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in\Desktop\KSP stuff\Dec2020 engines\"/>
    </mc:Choice>
  </mc:AlternateContent>
  <xr:revisionPtr revIDLastSave="0" documentId="13_ncr:1_{3B2BA0E1-7579-4648-9512-55B2D84AD2F9}" xr6:coauthVersionLast="46" xr6:coauthVersionMax="46" xr10:uidLastSave="{00000000-0000-0000-0000-000000000000}"/>
  <bookViews>
    <workbookView xWindow="-110" yWindow="-110" windowWidth="25820" windowHeight="14020" firstSheet="2" activeTab="3" xr2:uid="{26BB2EEE-4937-459D-8616-C394FF023E3B}"/>
  </bookViews>
  <sheets>
    <sheet name="Engine 1" sheetId="1" r:id="rId1"/>
    <sheet name="Engine2" sheetId="3" r:id="rId2"/>
    <sheet name="Engine3" sheetId="16" r:id="rId3"/>
    <sheet name="Science" sheetId="4" r:id="rId4"/>
    <sheet name="OldTechTree" sheetId="6" state="hidden" r:id="rId5"/>
    <sheet name="Avionics" sheetId="14" r:id="rId6"/>
    <sheet name="Tweakscale" sheetId="15" r:id="rId7"/>
    <sheet name="Cores" sheetId="5" r:id="rId8"/>
    <sheet name="Solar" sheetId="7" r:id="rId9"/>
    <sheet name="Comms" sheetId="11" r:id="rId10"/>
    <sheet name="Scan" sheetId="12" r:id="rId11"/>
    <sheet name="RTG" sheetId="8" r:id="rId12"/>
    <sheet name="Fuel" sheetId="9" r:id="rId13"/>
    <sheet name="NEng" sheetId="10" r:id="rId14"/>
    <sheet name="Ion" sheetId="13" r:id="rId15"/>
    <sheet name="GTT" sheetId="17" r:id="rId16"/>
    <sheet name="RP0Avionics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4" l="1"/>
  <c r="L42" i="4"/>
  <c r="M42" i="4"/>
  <c r="J42" i="4"/>
  <c r="G42" i="4"/>
  <c r="H42" i="4"/>
  <c r="I42" i="4"/>
  <c r="F42" i="4"/>
  <c r="G43" i="4"/>
  <c r="H43" i="4"/>
  <c r="I43" i="4"/>
  <c r="J43" i="4"/>
  <c r="K43" i="4"/>
  <c r="L43" i="4"/>
  <c r="M43" i="4"/>
  <c r="F43" i="4"/>
  <c r="G44" i="4"/>
  <c r="H44" i="4"/>
  <c r="I44" i="4"/>
  <c r="J44" i="4"/>
  <c r="K44" i="4"/>
  <c r="L44" i="4"/>
  <c r="M44" i="4"/>
  <c r="F44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M47" i="4"/>
  <c r="L47" i="4"/>
  <c r="K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47" i="4"/>
  <c r="B4" i="4"/>
  <c r="B5" i="4" s="1"/>
  <c r="B6" i="4" s="1"/>
  <c r="B7" i="4" s="1"/>
  <c r="B8" i="4" s="1"/>
  <c r="B9" i="4" s="1"/>
  <c r="B10" i="4" s="1"/>
  <c r="B11" i="4" s="1"/>
  <c r="B12" i="4" s="1"/>
  <c r="B13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C3" i="4"/>
  <c r="D3" i="4"/>
  <c r="E3" i="4"/>
  <c r="C2" i="4"/>
  <c r="D2" i="4"/>
  <c r="E2" i="4"/>
  <c r="B3" i="4"/>
  <c r="B2" i="4"/>
  <c r="F49" i="17"/>
  <c r="G49" i="17" s="1"/>
  <c r="H49" i="17" s="1"/>
  <c r="I49" i="17" s="1"/>
  <c r="J49" i="17" s="1"/>
  <c r="K49" i="17" s="1"/>
  <c r="L49" i="17" s="1"/>
  <c r="M49" i="17" s="1"/>
  <c r="N49" i="17" s="1"/>
  <c r="E49" i="17"/>
  <c r="D49" i="17"/>
  <c r="N3" i="4"/>
  <c r="N4" i="4" s="1"/>
  <c r="N5" i="4" s="1"/>
  <c r="N6" i="4" s="1"/>
  <c r="N7" i="4" s="1"/>
  <c r="N8" i="4" s="1"/>
  <c r="N9" i="4" s="1"/>
  <c r="N10" i="4" s="1"/>
  <c r="N11" i="4" s="1"/>
  <c r="N12" i="4" s="1"/>
  <c r="E48" i="17"/>
  <c r="F48" i="17"/>
  <c r="G48" i="17"/>
  <c r="H48" i="17"/>
  <c r="I48" i="17"/>
  <c r="J48" i="17"/>
  <c r="K48" i="17"/>
  <c r="L48" i="17"/>
  <c r="M48" i="17"/>
  <c r="N48" i="17"/>
  <c r="D48" i="17"/>
  <c r="E51" i="17"/>
  <c r="F51" i="17"/>
  <c r="G51" i="17"/>
  <c r="H51" i="17"/>
  <c r="J51" i="17"/>
  <c r="K51" i="17"/>
  <c r="L51" i="17"/>
  <c r="M51" i="17"/>
  <c r="N51" i="17"/>
  <c r="D54" i="17"/>
  <c r="E54" i="17"/>
  <c r="F54" i="17"/>
  <c r="G54" i="17"/>
  <c r="H54" i="17"/>
  <c r="J54" i="17"/>
  <c r="K54" i="17"/>
  <c r="L54" i="17"/>
  <c r="M54" i="17"/>
  <c r="N54" i="17"/>
  <c r="G57" i="17"/>
  <c r="I57" i="17"/>
  <c r="J57" i="17"/>
  <c r="K57" i="17"/>
  <c r="L57" i="17"/>
  <c r="M57" i="17"/>
  <c r="N57" i="17"/>
  <c r="F60" i="17"/>
  <c r="H60" i="17"/>
  <c r="J60" i="17"/>
  <c r="L60" i="17"/>
  <c r="M60" i="17"/>
  <c r="N60" i="17"/>
  <c r="F63" i="17"/>
  <c r="H63" i="17"/>
  <c r="J63" i="17"/>
  <c r="L63" i="17"/>
  <c r="M63" i="17"/>
  <c r="N63" i="17"/>
  <c r="D66" i="17"/>
  <c r="E66" i="17"/>
  <c r="F66" i="17"/>
  <c r="G66" i="17"/>
  <c r="H66" i="17"/>
  <c r="I66" i="17"/>
  <c r="J66" i="17"/>
  <c r="K66" i="17"/>
  <c r="L66" i="17"/>
  <c r="M66" i="17"/>
  <c r="N66" i="17"/>
  <c r="K69" i="17"/>
  <c r="L69" i="17"/>
  <c r="M69" i="17"/>
  <c r="N69" i="17"/>
  <c r="H72" i="17"/>
  <c r="J72" i="17"/>
  <c r="K72" i="17"/>
  <c r="L72" i="17"/>
  <c r="M72" i="17"/>
  <c r="N72" i="17"/>
  <c r="D75" i="17"/>
  <c r="E75" i="17"/>
  <c r="F75" i="17"/>
  <c r="G75" i="17"/>
  <c r="H75" i="17"/>
  <c r="I75" i="17"/>
  <c r="J75" i="17"/>
  <c r="K75" i="17"/>
  <c r="L75" i="17"/>
  <c r="M75" i="17"/>
  <c r="N75" i="17"/>
  <c r="G78" i="17"/>
  <c r="I78" i="17"/>
  <c r="K78" i="17"/>
  <c r="M78" i="17"/>
  <c r="N78" i="17"/>
  <c r="F81" i="17"/>
  <c r="G81" i="17"/>
  <c r="I81" i="17"/>
  <c r="J81" i="17"/>
  <c r="K81" i="17"/>
  <c r="L81" i="17"/>
  <c r="M81" i="17"/>
  <c r="N81" i="17"/>
  <c r="F84" i="17"/>
  <c r="G84" i="17"/>
  <c r="H84" i="17"/>
  <c r="I84" i="17"/>
  <c r="J84" i="17"/>
  <c r="K84" i="17"/>
  <c r="L84" i="17"/>
  <c r="M84" i="17"/>
  <c r="N84" i="17"/>
  <c r="F87" i="17"/>
  <c r="G87" i="17"/>
  <c r="H87" i="17"/>
  <c r="J87" i="17"/>
  <c r="L87" i="17"/>
  <c r="M87" i="17"/>
  <c r="N87" i="17"/>
  <c r="D90" i="17"/>
  <c r="E90" i="17"/>
  <c r="F90" i="17"/>
  <c r="H90" i="17"/>
  <c r="J90" i="17"/>
  <c r="K90" i="17"/>
  <c r="L90" i="17"/>
  <c r="C72" i="17"/>
  <c r="S5" i="18"/>
  <c r="S6" i="18"/>
  <c r="S7" i="18"/>
  <c r="S8" i="18"/>
  <c r="S9" i="18"/>
  <c r="S10" i="18"/>
  <c r="S11" i="18"/>
  <c r="S12" i="18"/>
  <c r="S13" i="18"/>
  <c r="S14" i="18"/>
  <c r="S15" i="18"/>
  <c r="S4" i="18"/>
  <c r="B73" i="16"/>
  <c r="M8" i="16"/>
  <c r="M9" i="16"/>
  <c r="M10" i="16"/>
  <c r="M11" i="16"/>
  <c r="M12" i="16"/>
  <c r="M13" i="16"/>
  <c r="M14" i="16"/>
  <c r="M7" i="16"/>
  <c r="C60" i="16"/>
  <c r="C61" i="16"/>
  <c r="C62" i="16"/>
  <c r="C63" i="16"/>
  <c r="C64" i="16"/>
  <c r="C65" i="16"/>
  <c r="C66" i="16"/>
  <c r="C67" i="16"/>
  <c r="C59" i="16"/>
  <c r="R4" i="18"/>
  <c r="R5" i="18"/>
  <c r="R6" i="18"/>
  <c r="R7" i="18"/>
  <c r="R8" i="18"/>
  <c r="R9" i="18"/>
  <c r="R10" i="18"/>
  <c r="R11" i="18"/>
  <c r="R12" i="18"/>
  <c r="R13" i="18"/>
  <c r="R14" i="18"/>
  <c r="R15" i="18"/>
  <c r="R3" i="18"/>
  <c r="Q4" i="18"/>
  <c r="Q5" i="18"/>
  <c r="Q6" i="18"/>
  <c r="Q7" i="18"/>
  <c r="Q8" i="18"/>
  <c r="Q9" i="18"/>
  <c r="Q10" i="18"/>
  <c r="Q11" i="18"/>
  <c r="Q12" i="18"/>
  <c r="Q13" i="18"/>
  <c r="Q14" i="18"/>
  <c r="Q15" i="18"/>
  <c r="Q3" i="18"/>
  <c r="P4" i="18"/>
  <c r="P5" i="18"/>
  <c r="P6" i="18"/>
  <c r="P7" i="18"/>
  <c r="P8" i="18"/>
  <c r="P9" i="18"/>
  <c r="P10" i="18"/>
  <c r="P11" i="18"/>
  <c r="P12" i="18"/>
  <c r="P13" i="18"/>
  <c r="P14" i="18"/>
  <c r="P15" i="18"/>
  <c r="P3" i="18"/>
  <c r="B10" i="17"/>
  <c r="B13" i="17" s="1"/>
  <c r="B16" i="17" s="1"/>
  <c r="B19" i="17" s="1"/>
  <c r="B22" i="17" s="1"/>
  <c r="B25" i="17" s="1"/>
  <c r="B28" i="17" s="1"/>
  <c r="B31" i="17" s="1"/>
  <c r="B34" i="17" s="1"/>
  <c r="B37" i="17" s="1"/>
  <c r="B40" i="17" s="1"/>
  <c r="B43" i="17" s="1"/>
  <c r="F9" i="7"/>
  <c r="G9" i="7" s="1"/>
  <c r="F10" i="7"/>
  <c r="F11" i="7"/>
  <c r="F12" i="7"/>
  <c r="F8" i="7"/>
  <c r="G8" i="7" s="1"/>
  <c r="H3" i="7"/>
  <c r="H4" i="7"/>
  <c r="H5" i="7"/>
  <c r="H6" i="7"/>
  <c r="H7" i="7"/>
  <c r="H8" i="7"/>
  <c r="H9" i="7"/>
  <c r="H10" i="7"/>
  <c r="H11" i="7"/>
  <c r="H12" i="7"/>
  <c r="H2" i="7"/>
  <c r="F138" i="13"/>
  <c r="E138" i="13"/>
  <c r="G97" i="13"/>
  <c r="G98" i="13"/>
  <c r="G99" i="13"/>
  <c r="G100" i="13"/>
  <c r="G101" i="13"/>
  <c r="G102" i="13"/>
  <c r="N119" i="13"/>
  <c r="N120" i="13"/>
  <c r="N121" i="13"/>
  <c r="N122" i="13"/>
  <c r="N124" i="13"/>
  <c r="N125" i="13"/>
  <c r="N126" i="13"/>
  <c r="N127" i="13"/>
  <c r="N129" i="13"/>
  <c r="N130" i="13"/>
  <c r="N131" i="13"/>
  <c r="N118" i="13"/>
  <c r="O5" i="5"/>
  <c r="O6" i="5"/>
  <c r="O7" i="5"/>
  <c r="O8" i="5"/>
  <c r="O9" i="5"/>
  <c r="O10" i="5"/>
  <c r="O11" i="5"/>
  <c r="O12" i="5"/>
  <c r="O4" i="5"/>
  <c r="N4" i="5"/>
  <c r="N5" i="5"/>
  <c r="N6" i="5"/>
  <c r="N8" i="5"/>
  <c r="N9" i="5"/>
  <c r="N10" i="5"/>
  <c r="N11" i="5"/>
  <c r="N12" i="5"/>
  <c r="N7" i="5"/>
  <c r="H50" i="16"/>
  <c r="H51" i="16"/>
  <c r="H52" i="16"/>
  <c r="H53" i="16"/>
  <c r="H54" i="16"/>
  <c r="H49" i="16"/>
  <c r="G50" i="16"/>
  <c r="G51" i="16"/>
  <c r="G52" i="16"/>
  <c r="G53" i="16"/>
  <c r="G54" i="16"/>
  <c r="G49" i="16"/>
  <c r="F50" i="16"/>
  <c r="F51" i="16"/>
  <c r="F52" i="16"/>
  <c r="F53" i="16"/>
  <c r="F54" i="16"/>
  <c r="F49" i="16"/>
  <c r="F40" i="16"/>
  <c r="F41" i="16"/>
  <c r="F42" i="16"/>
  <c r="F43" i="16"/>
  <c r="F44" i="16"/>
  <c r="F39" i="16"/>
  <c r="E40" i="16"/>
  <c r="E41" i="16"/>
  <c r="E42" i="16"/>
  <c r="E43" i="16"/>
  <c r="E44" i="16"/>
  <c r="E39" i="16"/>
  <c r="K20" i="16"/>
  <c r="K21" i="16"/>
  <c r="K22" i="16"/>
  <c r="K23" i="16"/>
  <c r="K24" i="16"/>
  <c r="K25" i="16"/>
  <c r="K26" i="16"/>
  <c r="K27" i="16"/>
  <c r="K28" i="16"/>
  <c r="K29" i="16"/>
  <c r="K19" i="16"/>
  <c r="D18" i="16"/>
  <c r="E18" i="16"/>
  <c r="F18" i="16"/>
  <c r="G18" i="16"/>
  <c r="H18" i="16"/>
  <c r="I18" i="16"/>
  <c r="J18" i="16"/>
  <c r="D19" i="16"/>
  <c r="E19" i="16"/>
  <c r="F19" i="16"/>
  <c r="G19" i="16"/>
  <c r="H19" i="16"/>
  <c r="I19" i="16"/>
  <c r="J19" i="16"/>
  <c r="D20" i="16"/>
  <c r="E20" i="16"/>
  <c r="F20" i="16"/>
  <c r="G20" i="16"/>
  <c r="H20" i="16"/>
  <c r="I20" i="16"/>
  <c r="J20" i="16"/>
  <c r="D21" i="16"/>
  <c r="E21" i="16"/>
  <c r="F21" i="16"/>
  <c r="G21" i="16"/>
  <c r="H21" i="16"/>
  <c r="I21" i="16"/>
  <c r="J21" i="16"/>
  <c r="D22" i="16"/>
  <c r="E22" i="16"/>
  <c r="F22" i="16"/>
  <c r="G22" i="16"/>
  <c r="H22" i="16"/>
  <c r="I22" i="16"/>
  <c r="J22" i="16"/>
  <c r="D23" i="16"/>
  <c r="E23" i="16"/>
  <c r="F23" i="16"/>
  <c r="G23" i="16"/>
  <c r="H23" i="16"/>
  <c r="I23" i="16"/>
  <c r="J23" i="16"/>
  <c r="D24" i="16"/>
  <c r="E24" i="16"/>
  <c r="F24" i="16"/>
  <c r="G24" i="16"/>
  <c r="H24" i="16"/>
  <c r="I24" i="16"/>
  <c r="J24" i="16"/>
  <c r="D25" i="16"/>
  <c r="E25" i="16"/>
  <c r="F25" i="16"/>
  <c r="G25" i="16"/>
  <c r="H25" i="16"/>
  <c r="I25" i="16"/>
  <c r="J25" i="16"/>
  <c r="D26" i="16"/>
  <c r="E26" i="16"/>
  <c r="F26" i="16"/>
  <c r="G26" i="16"/>
  <c r="H26" i="16"/>
  <c r="I26" i="16"/>
  <c r="J26" i="16"/>
  <c r="D27" i="16"/>
  <c r="E27" i="16"/>
  <c r="F27" i="16"/>
  <c r="G27" i="16"/>
  <c r="H27" i="16"/>
  <c r="I27" i="16"/>
  <c r="J27" i="16"/>
  <c r="D28" i="16"/>
  <c r="E28" i="16"/>
  <c r="F28" i="16"/>
  <c r="G28" i="16"/>
  <c r="H28" i="16"/>
  <c r="I28" i="16"/>
  <c r="J28" i="16"/>
  <c r="E29" i="16"/>
  <c r="F29" i="16"/>
  <c r="G29" i="16"/>
  <c r="H29" i="16"/>
  <c r="I29" i="16"/>
  <c r="J29" i="16"/>
  <c r="D29" i="16"/>
  <c r="J16" i="16"/>
  <c r="I16" i="16"/>
  <c r="L3" i="16"/>
  <c r="L4" i="16"/>
  <c r="L5" i="16"/>
  <c r="L6" i="16"/>
  <c r="L7" i="16"/>
  <c r="L8" i="16"/>
  <c r="K3" i="16"/>
  <c r="K4" i="16"/>
  <c r="K5" i="16"/>
  <c r="K6" i="16"/>
  <c r="J3" i="16"/>
  <c r="J4" i="16"/>
  <c r="J5" i="16"/>
  <c r="I3" i="16"/>
  <c r="I4" i="16"/>
  <c r="I5" i="16"/>
  <c r="I6" i="16"/>
  <c r="I7" i="16"/>
  <c r="I8" i="16"/>
  <c r="D3" i="16"/>
  <c r="E3" i="16"/>
  <c r="F3" i="16"/>
  <c r="G3" i="16"/>
  <c r="D4" i="16"/>
  <c r="E4" i="16"/>
  <c r="F4" i="16"/>
  <c r="G4" i="16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L10" i="16" s="1"/>
  <c r="G10" i="16"/>
  <c r="D11" i="16"/>
  <c r="E11" i="16"/>
  <c r="F11" i="16"/>
  <c r="G11" i="16"/>
  <c r="D12" i="16"/>
  <c r="E12" i="16"/>
  <c r="F12" i="16"/>
  <c r="L12" i="16" s="1"/>
  <c r="G12" i="16"/>
  <c r="D13" i="16"/>
  <c r="E13" i="16"/>
  <c r="F13" i="16"/>
  <c r="G13" i="16"/>
  <c r="D14" i="16"/>
  <c r="E14" i="16"/>
  <c r="F14" i="16"/>
  <c r="L14" i="16" s="1"/>
  <c r="G14" i="16"/>
  <c r="H5" i="16"/>
  <c r="H6" i="16"/>
  <c r="H7" i="16"/>
  <c r="H8" i="16"/>
  <c r="H9" i="16"/>
  <c r="H10" i="16"/>
  <c r="H11" i="16"/>
  <c r="H12" i="16"/>
  <c r="H13" i="16"/>
  <c r="H14" i="16"/>
  <c r="I9" i="16"/>
  <c r="I10" i="16"/>
  <c r="I11" i="16"/>
  <c r="I12" i="16"/>
  <c r="I13" i="16"/>
  <c r="I14" i="16"/>
  <c r="K1" i="16"/>
  <c r="K7" i="16" s="1"/>
  <c r="J1" i="16"/>
  <c r="J14" i="16" s="1"/>
  <c r="L11" i="16"/>
  <c r="L13" i="16"/>
  <c r="L9" i="16"/>
  <c r="H4" i="16"/>
  <c r="H3" i="16"/>
  <c r="B32" i="16"/>
  <c r="T6" i="16"/>
  <c r="T7" i="16"/>
  <c r="T8" i="16"/>
  <c r="T9" i="16"/>
  <c r="T10" i="16"/>
  <c r="T11" i="16"/>
  <c r="T12" i="16"/>
  <c r="T5" i="16"/>
  <c r="R4" i="16"/>
  <c r="R5" i="16"/>
  <c r="R6" i="16"/>
  <c r="R7" i="16"/>
  <c r="R8" i="16"/>
  <c r="R9" i="16"/>
  <c r="R10" i="16"/>
  <c r="R11" i="16"/>
  <c r="R12" i="16"/>
  <c r="R3" i="16"/>
  <c r="R28" i="15"/>
  <c r="S25" i="15"/>
  <c r="S11" i="15"/>
  <c r="S23" i="15"/>
  <c r="S22" i="15"/>
  <c r="T5" i="15"/>
  <c r="S21" i="15"/>
  <c r="U10" i="15"/>
  <c r="U11" i="15"/>
  <c r="U9" i="15"/>
  <c r="S24" i="15"/>
  <c r="S20" i="15"/>
  <c r="S19" i="15"/>
  <c r="S18" i="15"/>
  <c r="S10" i="15"/>
  <c r="S9" i="15"/>
  <c r="P14" i="15"/>
  <c r="W11" i="15"/>
  <c r="W10" i="15"/>
  <c r="W9" i="15"/>
  <c r="W8" i="15"/>
  <c r="D10" i="8"/>
  <c r="D11" i="8"/>
  <c r="D12" i="8"/>
  <c r="D13" i="8"/>
  <c r="D9" i="8"/>
  <c r="R16" i="14"/>
  <c r="R17" i="14"/>
  <c r="R18" i="14"/>
  <c r="R15" i="14"/>
  <c r="Q18" i="14"/>
  <c r="Q17" i="14"/>
  <c r="Q16" i="14"/>
  <c r="Q15" i="14"/>
  <c r="I103" i="13"/>
  <c r="O70" i="14"/>
  <c r="O71" i="14"/>
  <c r="O72" i="14"/>
  <c r="N70" i="14"/>
  <c r="N71" i="14"/>
  <c r="N72" i="14"/>
  <c r="N69" i="14"/>
  <c r="G69" i="14"/>
  <c r="F68" i="14"/>
  <c r="F69" i="14"/>
  <c r="G57" i="14"/>
  <c r="F56" i="14"/>
  <c r="F57" i="14"/>
  <c r="F32" i="14"/>
  <c r="F33" i="14"/>
  <c r="G33" i="14" s="1"/>
  <c r="G21" i="14"/>
  <c r="F20" i="14"/>
  <c r="F21" i="14"/>
  <c r="F23" i="14"/>
  <c r="G23" i="14" s="1"/>
  <c r="F24" i="14"/>
  <c r="G24" i="14" s="1"/>
  <c r="F22" i="14"/>
  <c r="G22" i="14" s="1"/>
  <c r="F35" i="14"/>
  <c r="G35" i="14" s="1"/>
  <c r="H17" i="14"/>
  <c r="H29" i="14" s="1"/>
  <c r="H41" i="14" s="1"/>
  <c r="H18" i="14"/>
  <c r="I18" i="14" s="1"/>
  <c r="I30" i="14" s="1"/>
  <c r="I42" i="14" s="1"/>
  <c r="H19" i="14"/>
  <c r="H31" i="14" s="1"/>
  <c r="H43" i="14" s="1"/>
  <c r="H20" i="14"/>
  <c r="I20" i="14" s="1"/>
  <c r="H21" i="14"/>
  <c r="I21" i="14" s="1"/>
  <c r="H16" i="14"/>
  <c r="H28" i="14" s="1"/>
  <c r="H40" i="14" s="1"/>
  <c r="H64" i="14" s="1"/>
  <c r="M29" i="14"/>
  <c r="E30" i="14"/>
  <c r="K42" i="14" s="1"/>
  <c r="K66" i="14" s="1"/>
  <c r="E31" i="14"/>
  <c r="N19" i="14" s="1"/>
  <c r="E33" i="14"/>
  <c r="N21" i="14" s="1"/>
  <c r="E34" i="14"/>
  <c r="N22" i="14" s="1"/>
  <c r="E35" i="14"/>
  <c r="N23" i="14" s="1"/>
  <c r="E36" i="14"/>
  <c r="E48" i="14" s="1"/>
  <c r="E29" i="14"/>
  <c r="E41" i="14" s="1"/>
  <c r="E53" i="14" s="1"/>
  <c r="E77" i="14" s="1"/>
  <c r="E6" i="14"/>
  <c r="E7" i="14"/>
  <c r="E32" i="14" s="1"/>
  <c r="D30" i="14"/>
  <c r="M18" i="14" s="1"/>
  <c r="D31" i="14"/>
  <c r="D43" i="14" s="1"/>
  <c r="D32" i="14"/>
  <c r="J44" i="14" s="1"/>
  <c r="J68" i="14" s="1"/>
  <c r="D33" i="14"/>
  <c r="J45" i="14" s="1"/>
  <c r="J69" i="14" s="1"/>
  <c r="D34" i="14"/>
  <c r="D46" i="14" s="1"/>
  <c r="D35" i="14"/>
  <c r="J47" i="14" s="1"/>
  <c r="J71" i="14" s="1"/>
  <c r="D36" i="14"/>
  <c r="J48" i="14" s="1"/>
  <c r="J72" i="14" s="1"/>
  <c r="D29" i="14"/>
  <c r="M17" i="14" s="1"/>
  <c r="C29" i="14"/>
  <c r="C41" i="14" s="1"/>
  <c r="C53" i="14" s="1"/>
  <c r="C77" i="14" s="1"/>
  <c r="C30" i="14"/>
  <c r="C42" i="14" s="1"/>
  <c r="C54" i="14" s="1"/>
  <c r="C78" i="14" s="1"/>
  <c r="C31" i="14"/>
  <c r="C43" i="14" s="1"/>
  <c r="C32" i="14"/>
  <c r="C44" i="14" s="1"/>
  <c r="C56" i="14" s="1"/>
  <c r="C80" i="14" s="1"/>
  <c r="C33" i="14"/>
  <c r="C45" i="14" s="1"/>
  <c r="C57" i="14" s="1"/>
  <c r="C81" i="14" s="1"/>
  <c r="C34" i="14"/>
  <c r="C46" i="14" s="1"/>
  <c r="C35" i="14"/>
  <c r="C47" i="14" s="1"/>
  <c r="C36" i="14"/>
  <c r="C48" i="14" s="1"/>
  <c r="C28" i="14"/>
  <c r="C40" i="14" s="1"/>
  <c r="B28" i="14"/>
  <c r="B40" i="14" s="1"/>
  <c r="B52" i="14" s="1"/>
  <c r="B76" i="14" s="1"/>
  <c r="B29" i="14"/>
  <c r="B41" i="14" s="1"/>
  <c r="B30" i="14"/>
  <c r="B42" i="14" s="1"/>
  <c r="B31" i="14"/>
  <c r="B43" i="14" s="1"/>
  <c r="B32" i="14"/>
  <c r="B44" i="14" s="1"/>
  <c r="B33" i="14"/>
  <c r="B45" i="14" s="1"/>
  <c r="B34" i="14"/>
  <c r="B46" i="14" s="1"/>
  <c r="B35" i="14"/>
  <c r="B47" i="14" s="1"/>
  <c r="B59" i="14" s="1"/>
  <c r="B83" i="14" s="1"/>
  <c r="B36" i="14"/>
  <c r="B48" i="14" s="1"/>
  <c r="B27" i="14"/>
  <c r="B39" i="14" s="1"/>
  <c r="H22" i="14"/>
  <c r="H34" i="14" s="1"/>
  <c r="H46" i="14" s="1"/>
  <c r="H23" i="14"/>
  <c r="H35" i="14" s="1"/>
  <c r="H47" i="14" s="1"/>
  <c r="H24" i="14"/>
  <c r="H36" i="14" s="1"/>
  <c r="H48" i="14" s="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2" i="11"/>
  <c r="M10" i="11"/>
  <c r="M15" i="11" s="1"/>
  <c r="M7" i="11"/>
  <c r="O60" i="1"/>
  <c r="G10" i="7"/>
  <c r="G11" i="7"/>
  <c r="G12" i="7"/>
  <c r="F3" i="7"/>
  <c r="F4" i="7"/>
  <c r="F5" i="7"/>
  <c r="F6" i="7"/>
  <c r="F7" i="7"/>
  <c r="F2" i="7"/>
  <c r="O18" i="4"/>
  <c r="O12" i="4"/>
  <c r="O9" i="4"/>
  <c r="O8" i="4"/>
  <c r="O7" i="4"/>
  <c r="K14" i="16" l="1"/>
  <c r="K13" i="16"/>
  <c r="K12" i="16"/>
  <c r="J6" i="16"/>
  <c r="K11" i="16"/>
  <c r="J13" i="16"/>
  <c r="K10" i="16"/>
  <c r="J12" i="16"/>
  <c r="K9" i="16"/>
  <c r="J11" i="16"/>
  <c r="K8" i="16"/>
  <c r="J10" i="16"/>
  <c r="J9" i="16"/>
  <c r="J8" i="16"/>
  <c r="J7" i="16"/>
  <c r="F36" i="14"/>
  <c r="G36" i="14" s="1"/>
  <c r="H30" i="14"/>
  <c r="H42" i="14" s="1"/>
  <c r="H66" i="14" s="1"/>
  <c r="K41" i="14"/>
  <c r="K65" i="14" s="1"/>
  <c r="I19" i="14"/>
  <c r="I31" i="14" s="1"/>
  <c r="I43" i="14" s="1"/>
  <c r="F34" i="14"/>
  <c r="G34" i="14" s="1"/>
  <c r="N17" i="14"/>
  <c r="O17" i="14" s="1"/>
  <c r="D41" i="14"/>
  <c r="D53" i="14" s="1"/>
  <c r="D77" i="14" s="1"/>
  <c r="K45" i="14"/>
  <c r="K69" i="14" s="1"/>
  <c r="M23" i="14"/>
  <c r="D47" i="14"/>
  <c r="D59" i="14" s="1"/>
  <c r="D83" i="14" s="1"/>
  <c r="M24" i="14"/>
  <c r="E45" i="14"/>
  <c r="E57" i="14" s="1"/>
  <c r="E81" i="14" s="1"/>
  <c r="E47" i="14"/>
  <c r="E71" i="14" s="1"/>
  <c r="D55" i="14"/>
  <c r="D79" i="14" s="1"/>
  <c r="D67" i="14"/>
  <c r="C52" i="14"/>
  <c r="C76" i="14" s="1"/>
  <c r="C64" i="14"/>
  <c r="J43" i="14"/>
  <c r="J67" i="14" s="1"/>
  <c r="E42" i="14"/>
  <c r="E54" i="14" s="1"/>
  <c r="E78" i="14" s="1"/>
  <c r="N18" i="14"/>
  <c r="O18" i="14" s="1"/>
  <c r="J42" i="14"/>
  <c r="J66" i="14" s="1"/>
  <c r="H32" i="14"/>
  <c r="H44" i="14" s="1"/>
  <c r="H56" i="14" s="1"/>
  <c r="H80" i="14" s="1"/>
  <c r="D44" i="14"/>
  <c r="D56" i="14" s="1"/>
  <c r="D80" i="14" s="1"/>
  <c r="M19" i="14"/>
  <c r="I17" i="14"/>
  <c r="I29" i="14" s="1"/>
  <c r="I41" i="14" s="1"/>
  <c r="I53" i="14" s="1"/>
  <c r="I77" i="14" s="1"/>
  <c r="H65" i="14"/>
  <c r="H53" i="14"/>
  <c r="H77" i="14" s="1"/>
  <c r="H33" i="14"/>
  <c r="H45" i="14" s="1"/>
  <c r="H57" i="14" s="1"/>
  <c r="H81" i="14" s="1"/>
  <c r="D70" i="14"/>
  <c r="D58" i="14"/>
  <c r="D82" i="14" s="1"/>
  <c r="M22" i="14"/>
  <c r="I24" i="14"/>
  <c r="I36" i="14" s="1"/>
  <c r="I48" i="14" s="1"/>
  <c r="I60" i="14" s="1"/>
  <c r="I84" i="14" s="1"/>
  <c r="I23" i="14"/>
  <c r="I35" i="14" s="1"/>
  <c r="I47" i="14" s="1"/>
  <c r="I22" i="14"/>
  <c r="I34" i="14" s="1"/>
  <c r="I46" i="14" s="1"/>
  <c r="J46" i="14"/>
  <c r="J70" i="14" s="1"/>
  <c r="L70" i="14" s="1"/>
  <c r="B60" i="14"/>
  <c r="B84" i="14" s="1"/>
  <c r="B72" i="14"/>
  <c r="N20" i="14"/>
  <c r="K44" i="14"/>
  <c r="K68" i="14" s="1"/>
  <c r="E44" i="14"/>
  <c r="H58" i="14"/>
  <c r="H82" i="14" s="1"/>
  <c r="H70" i="14"/>
  <c r="B57" i="14"/>
  <c r="B81" i="14" s="1"/>
  <c r="B69" i="14"/>
  <c r="I66" i="14"/>
  <c r="I54" i="14"/>
  <c r="I78" i="14" s="1"/>
  <c r="B56" i="14"/>
  <c r="B80" i="14" s="1"/>
  <c r="B68" i="14"/>
  <c r="B51" i="14"/>
  <c r="B75" i="14" s="1"/>
  <c r="B63" i="14"/>
  <c r="B58" i="14"/>
  <c r="B82" i="14" s="1"/>
  <c r="B70" i="14"/>
  <c r="C72" i="14"/>
  <c r="F72" i="14" s="1"/>
  <c r="G72" i="14" s="1"/>
  <c r="C60" i="14"/>
  <c r="B54" i="14"/>
  <c r="B78" i="14" s="1"/>
  <c r="B66" i="14"/>
  <c r="B53" i="14"/>
  <c r="B77" i="14" s="1"/>
  <c r="B65" i="14"/>
  <c r="C58" i="14"/>
  <c r="F58" i="14" s="1"/>
  <c r="G58" i="14" s="1"/>
  <c r="C70" i="14"/>
  <c r="F70" i="14" s="1"/>
  <c r="G70" i="14" s="1"/>
  <c r="B55" i="14"/>
  <c r="B79" i="14" s="1"/>
  <c r="B67" i="14"/>
  <c r="E72" i="14"/>
  <c r="E60" i="14"/>
  <c r="E84" i="14" s="1"/>
  <c r="H67" i="14"/>
  <c r="H55" i="14"/>
  <c r="H79" i="14" s="1"/>
  <c r="H71" i="14"/>
  <c r="H59" i="14"/>
  <c r="H83" i="14" s="1"/>
  <c r="C71" i="14"/>
  <c r="F71" i="14" s="1"/>
  <c r="G71" i="14" s="1"/>
  <c r="C59" i="14"/>
  <c r="H72" i="14"/>
  <c r="H60" i="14"/>
  <c r="H84" i="14" s="1"/>
  <c r="C55" i="14"/>
  <c r="C79" i="14" s="1"/>
  <c r="C67" i="14"/>
  <c r="D48" i="14"/>
  <c r="E46" i="14"/>
  <c r="B64" i="14"/>
  <c r="M21" i="14"/>
  <c r="K48" i="14"/>
  <c r="K72" i="14" s="1"/>
  <c r="M72" i="14" s="1"/>
  <c r="M20" i="14"/>
  <c r="D45" i="14"/>
  <c r="E43" i="14"/>
  <c r="K47" i="14"/>
  <c r="K71" i="14" s="1"/>
  <c r="M71" i="14" s="1"/>
  <c r="H52" i="14"/>
  <c r="H76" i="14" s="1"/>
  <c r="J41" i="14"/>
  <c r="J65" i="14" s="1"/>
  <c r="B71" i="14"/>
  <c r="C69" i="14"/>
  <c r="K46" i="14"/>
  <c r="K70" i="14" s="1"/>
  <c r="N24" i="14"/>
  <c r="D42" i="14"/>
  <c r="C68" i="14"/>
  <c r="E65" i="14"/>
  <c r="K43" i="14"/>
  <c r="K67" i="14" s="1"/>
  <c r="C66" i="14"/>
  <c r="C65" i="14"/>
  <c r="I33" i="14"/>
  <c r="I45" i="14" s="1"/>
  <c r="I32" i="14"/>
  <c r="I44" i="14" s="1"/>
  <c r="S82" i="13"/>
  <c r="S83" i="13"/>
  <c r="S84" i="13"/>
  <c r="S85" i="13"/>
  <c r="Q81" i="13"/>
  <c r="Q82" i="13"/>
  <c r="Q83" i="13"/>
  <c r="Q84" i="13"/>
  <c r="Q85" i="13"/>
  <c r="Q80" i="13"/>
  <c r="S91" i="13"/>
  <c r="S92" i="13"/>
  <c r="S93" i="13"/>
  <c r="S94" i="13"/>
  <c r="R90" i="13"/>
  <c r="R81" i="13" s="1"/>
  <c r="R91" i="13"/>
  <c r="R82" i="13" s="1"/>
  <c r="R92" i="13"/>
  <c r="R83" i="13" s="1"/>
  <c r="R93" i="13"/>
  <c r="R84" i="13" s="1"/>
  <c r="R94" i="13"/>
  <c r="R85" i="13" s="1"/>
  <c r="Q90" i="13"/>
  <c r="Q91" i="13"/>
  <c r="Q92" i="13"/>
  <c r="Q93" i="13"/>
  <c r="Q94" i="13"/>
  <c r="Q89" i="13"/>
  <c r="J113" i="13"/>
  <c r="G113" i="13" s="1"/>
  <c r="J112" i="13"/>
  <c r="G112" i="13" s="1"/>
  <c r="E128" i="13"/>
  <c r="E127" i="13"/>
  <c r="E126" i="13"/>
  <c r="T9" i="13"/>
  <c r="C83" i="14" l="1"/>
  <c r="F59" i="14"/>
  <c r="G59" i="14" s="1"/>
  <c r="C84" i="14"/>
  <c r="F60" i="14"/>
  <c r="G60" i="14" s="1"/>
  <c r="H68" i="14"/>
  <c r="H54" i="14"/>
  <c r="H78" i="14" s="1"/>
  <c r="D68" i="14"/>
  <c r="E69" i="14"/>
  <c r="E59" i="14"/>
  <c r="E83" i="14" s="1"/>
  <c r="C82" i="14"/>
  <c r="D65" i="14"/>
  <c r="D71" i="14"/>
  <c r="L71" i="14" s="1"/>
  <c r="E66" i="14"/>
  <c r="H69" i="14"/>
  <c r="I72" i="14"/>
  <c r="I65" i="14"/>
  <c r="D60" i="14"/>
  <c r="D84" i="14" s="1"/>
  <c r="D72" i="14"/>
  <c r="L72" i="14" s="1"/>
  <c r="E58" i="14"/>
  <c r="E82" i="14" s="1"/>
  <c r="E70" i="14"/>
  <c r="M70" i="14" s="1"/>
  <c r="I67" i="14"/>
  <c r="I55" i="14"/>
  <c r="I79" i="14" s="1"/>
  <c r="D57" i="14"/>
  <c r="D81" i="14" s="1"/>
  <c r="D69" i="14"/>
  <c r="I58" i="14"/>
  <c r="I82" i="14" s="1"/>
  <c r="I70" i="14"/>
  <c r="D54" i="14"/>
  <c r="D78" i="14" s="1"/>
  <c r="D66" i="14"/>
  <c r="E56" i="14"/>
  <c r="E80" i="14" s="1"/>
  <c r="E68" i="14"/>
  <c r="I59" i="14"/>
  <c r="I83" i="14" s="1"/>
  <c r="I71" i="14"/>
  <c r="E55" i="14"/>
  <c r="E79" i="14" s="1"/>
  <c r="E67" i="14"/>
  <c r="I68" i="14"/>
  <c r="I56" i="14"/>
  <c r="I80" i="14" s="1"/>
  <c r="I69" i="14"/>
  <c r="I57" i="14"/>
  <c r="I81" i="14" s="1"/>
  <c r="U3" i="13"/>
  <c r="U4" i="13"/>
  <c r="U5" i="13"/>
  <c r="U6" i="13"/>
  <c r="U7" i="13"/>
  <c r="U2" i="13"/>
  <c r="U20" i="13"/>
  <c r="T20" i="13"/>
  <c r="T21" i="13"/>
  <c r="U21" i="13" s="1"/>
  <c r="T22" i="13"/>
  <c r="U22" i="13" s="1"/>
  <c r="U9" i="13"/>
  <c r="T11" i="13"/>
  <c r="U11" i="13" s="1"/>
  <c r="T10" i="13"/>
  <c r="U10" i="13" s="1"/>
  <c r="T2" i="13"/>
  <c r="T5" i="13"/>
  <c r="T6" i="13"/>
  <c r="T7" i="13"/>
  <c r="T4" i="13"/>
  <c r="T3" i="13" l="1"/>
  <c r="R21" i="13"/>
  <c r="R22" i="13"/>
  <c r="R20" i="13"/>
  <c r="R10" i="13"/>
  <c r="R11" i="13"/>
  <c r="R9" i="13"/>
  <c r="R3" i="13"/>
  <c r="R4" i="13"/>
  <c r="R5" i="13"/>
  <c r="R6" i="13"/>
  <c r="R7" i="13"/>
  <c r="R2" i="13"/>
  <c r="H109" i="13" l="1"/>
  <c r="H110" i="13"/>
  <c r="H111" i="13"/>
  <c r="H108" i="13"/>
  <c r="F109" i="13"/>
  <c r="I109" i="13" s="1"/>
  <c r="F110" i="13"/>
  <c r="I110" i="13" s="1"/>
  <c r="F111" i="13"/>
  <c r="I111" i="13" s="1"/>
  <c r="F108" i="13"/>
  <c r="I108" i="13" s="1"/>
  <c r="M129" i="13" s="1"/>
  <c r="H104" i="13"/>
  <c r="H105" i="13"/>
  <c r="J105" i="13" s="1"/>
  <c r="H106" i="13"/>
  <c r="J106" i="13" s="1"/>
  <c r="H107" i="13"/>
  <c r="H103" i="13"/>
  <c r="K105" i="13"/>
  <c r="F104" i="13"/>
  <c r="F105" i="13"/>
  <c r="F106" i="13"/>
  <c r="F107" i="13"/>
  <c r="I107" i="13" s="1"/>
  <c r="F103" i="13"/>
  <c r="M103" i="13" s="1"/>
  <c r="H98" i="13"/>
  <c r="H99" i="13"/>
  <c r="H100" i="13"/>
  <c r="H101" i="13"/>
  <c r="H102" i="13"/>
  <c r="H97" i="13"/>
  <c r="K99" i="13"/>
  <c r="K97" i="13"/>
  <c r="F98" i="13"/>
  <c r="F99" i="13"/>
  <c r="F100" i="13"/>
  <c r="K100" i="13" s="1"/>
  <c r="F101" i="13"/>
  <c r="F102" i="13"/>
  <c r="F97" i="13"/>
  <c r="L39" i="13"/>
  <c r="N3" i="13"/>
  <c r="N4" i="13"/>
  <c r="N5" i="13"/>
  <c r="N6" i="13"/>
  <c r="N7" i="13"/>
  <c r="N9" i="13"/>
  <c r="N10" i="13"/>
  <c r="N11" i="13"/>
  <c r="N13" i="13"/>
  <c r="N14" i="13"/>
  <c r="N15" i="13"/>
  <c r="N16" i="13"/>
  <c r="N17" i="13"/>
  <c r="N18" i="13"/>
  <c r="N20" i="13"/>
  <c r="N21" i="13"/>
  <c r="N22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7" i="13"/>
  <c r="N38" i="13"/>
  <c r="N39" i="13"/>
  <c r="N2" i="13"/>
  <c r="L3" i="13"/>
  <c r="L4" i="13"/>
  <c r="L5" i="13"/>
  <c r="L6" i="13"/>
  <c r="L7" i="13"/>
  <c r="L9" i="13"/>
  <c r="L10" i="13"/>
  <c r="L11" i="13"/>
  <c r="L13" i="13"/>
  <c r="L14" i="13"/>
  <c r="L15" i="13"/>
  <c r="L16" i="13"/>
  <c r="L17" i="13"/>
  <c r="L18" i="13"/>
  <c r="L20" i="13"/>
  <c r="L21" i="13"/>
  <c r="L22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7" i="13"/>
  <c r="L38" i="13"/>
  <c r="L2" i="13"/>
  <c r="J56" i="13"/>
  <c r="J55" i="13"/>
  <c r="I39" i="13"/>
  <c r="F39" i="13"/>
  <c r="H39" i="13" s="1"/>
  <c r="I37" i="13"/>
  <c r="I38" i="13"/>
  <c r="F38" i="13"/>
  <c r="H38" i="13" s="1"/>
  <c r="F37" i="13"/>
  <c r="H37" i="13" s="1"/>
  <c r="I33" i="13"/>
  <c r="I34" i="13"/>
  <c r="I35" i="13"/>
  <c r="I32" i="13"/>
  <c r="F35" i="13"/>
  <c r="H35" i="13" s="1"/>
  <c r="F34" i="13"/>
  <c r="H34" i="13" s="1"/>
  <c r="F33" i="13"/>
  <c r="H33" i="13" s="1"/>
  <c r="F32" i="13"/>
  <c r="H32" i="13" s="1"/>
  <c r="F31" i="13"/>
  <c r="H31" i="13" s="1"/>
  <c r="I31" i="13"/>
  <c r="F30" i="13"/>
  <c r="H30" i="13" s="1"/>
  <c r="I30" i="13"/>
  <c r="F29" i="13"/>
  <c r="H29" i="13" s="1"/>
  <c r="I29" i="13"/>
  <c r="F28" i="13"/>
  <c r="H28" i="13" s="1"/>
  <c r="I28" i="13"/>
  <c r="I24" i="13"/>
  <c r="I25" i="13"/>
  <c r="I26" i="13"/>
  <c r="I27" i="13"/>
  <c r="F24" i="13"/>
  <c r="H24" i="13" s="1"/>
  <c r="F25" i="13"/>
  <c r="H25" i="13" s="1"/>
  <c r="F26" i="13"/>
  <c r="H26" i="13" s="1"/>
  <c r="F27" i="13"/>
  <c r="H27" i="13" s="1"/>
  <c r="I22" i="13"/>
  <c r="F22" i="13"/>
  <c r="H22" i="13" s="1"/>
  <c r="I21" i="13"/>
  <c r="F21" i="13"/>
  <c r="H21" i="13" s="1"/>
  <c r="I3" i="13"/>
  <c r="I4" i="13"/>
  <c r="I5" i="13"/>
  <c r="I6" i="13"/>
  <c r="I7" i="13"/>
  <c r="I9" i="13"/>
  <c r="I10" i="13"/>
  <c r="I11" i="13"/>
  <c r="I13" i="13"/>
  <c r="I14" i="13"/>
  <c r="I15" i="13"/>
  <c r="I16" i="13"/>
  <c r="I17" i="13"/>
  <c r="I18" i="13"/>
  <c r="I20" i="13"/>
  <c r="I2" i="13"/>
  <c r="F20" i="13"/>
  <c r="H20" i="13" s="1"/>
  <c r="F18" i="13"/>
  <c r="H18" i="13" s="1"/>
  <c r="F17" i="13"/>
  <c r="H17" i="13" s="1"/>
  <c r="F13" i="13"/>
  <c r="H13" i="13" s="1"/>
  <c r="F14" i="13"/>
  <c r="H14" i="13" s="1"/>
  <c r="F15" i="13"/>
  <c r="H15" i="13" s="1"/>
  <c r="F16" i="13"/>
  <c r="H16" i="13" s="1"/>
  <c r="F3" i="13"/>
  <c r="H3" i="13" s="1"/>
  <c r="F2" i="13"/>
  <c r="H2" i="13" s="1"/>
  <c r="F11" i="13"/>
  <c r="H11" i="13" s="1"/>
  <c r="F10" i="13"/>
  <c r="H10" i="13" s="1"/>
  <c r="F9" i="13"/>
  <c r="H9" i="13" s="1"/>
  <c r="F7" i="13"/>
  <c r="H7" i="13" s="1"/>
  <c r="F6" i="13"/>
  <c r="H6" i="13" s="1"/>
  <c r="F5" i="13"/>
  <c r="H5" i="13" s="1"/>
  <c r="F4" i="13"/>
  <c r="H4" i="13" s="1"/>
  <c r="M106" i="13" l="1"/>
  <c r="I106" i="13"/>
  <c r="M127" i="13" s="1"/>
  <c r="M105" i="13"/>
  <c r="I105" i="13"/>
  <c r="J104" i="13"/>
  <c r="M104" i="13"/>
  <c r="I104" i="13"/>
  <c r="K104" i="13"/>
  <c r="M131" i="13"/>
  <c r="M130" i="13"/>
  <c r="I102" i="13"/>
  <c r="M102" i="13"/>
  <c r="J102" i="13"/>
  <c r="K102" i="13"/>
  <c r="I101" i="13"/>
  <c r="M101" i="13"/>
  <c r="J101" i="13"/>
  <c r="K101" i="13"/>
  <c r="I100" i="13"/>
  <c r="M100" i="13"/>
  <c r="J100" i="13"/>
  <c r="O121" i="13"/>
  <c r="O120" i="13"/>
  <c r="I99" i="13"/>
  <c r="M99" i="13"/>
  <c r="J99" i="13"/>
  <c r="I98" i="13"/>
  <c r="M119" i="13" s="1"/>
  <c r="M98" i="13"/>
  <c r="J98" i="13"/>
  <c r="K98" i="13"/>
  <c r="S98" i="13" s="1"/>
  <c r="W98" i="13" s="1"/>
  <c r="I97" i="13"/>
  <c r="M97" i="13"/>
  <c r="J97" i="13"/>
  <c r="J107" i="13"/>
  <c r="M107" i="13"/>
  <c r="K107" i="13"/>
  <c r="O107" i="13" s="1"/>
  <c r="K106" i="13"/>
  <c r="O126" i="13" s="1"/>
  <c r="K103" i="13"/>
  <c r="J103" i="13"/>
  <c r="K111" i="13"/>
  <c r="T111" i="13" s="1"/>
  <c r="X111" i="13" s="1"/>
  <c r="M111" i="13"/>
  <c r="J111" i="13"/>
  <c r="K110" i="13"/>
  <c r="O110" i="13" s="1"/>
  <c r="J110" i="13"/>
  <c r="M110" i="13"/>
  <c r="K109" i="13"/>
  <c r="M109" i="13"/>
  <c r="J109" i="13"/>
  <c r="J108" i="13"/>
  <c r="M108" i="13"/>
  <c r="K108" i="13"/>
  <c r="G105" i="13"/>
  <c r="O104" i="13"/>
  <c r="S108" i="13"/>
  <c r="W108" i="13" s="1"/>
  <c r="O108" i="13"/>
  <c r="S99" i="13"/>
  <c r="W99" i="13" s="1"/>
  <c r="R99" i="13"/>
  <c r="T99" i="13"/>
  <c r="X99" i="13" s="1"/>
  <c r="O99" i="13"/>
  <c r="O97" i="13"/>
  <c r="S97" i="13"/>
  <c r="W97" i="13" s="1"/>
  <c r="T97" i="13"/>
  <c r="X97" i="13" s="1"/>
  <c r="R97" i="13"/>
  <c r="S101" i="13"/>
  <c r="W101" i="13" s="1"/>
  <c r="O101" i="13"/>
  <c r="R101" i="13"/>
  <c r="T101" i="13"/>
  <c r="X101" i="13" s="1"/>
  <c r="R100" i="13"/>
  <c r="T100" i="13"/>
  <c r="X100" i="13" s="1"/>
  <c r="O100" i="13"/>
  <c r="S100" i="13"/>
  <c r="W100" i="13" s="1"/>
  <c r="O98" i="13"/>
  <c r="S105" i="13"/>
  <c r="W105" i="13" s="1"/>
  <c r="O105" i="13"/>
  <c r="T105" i="13"/>
  <c r="X105" i="13" s="1"/>
  <c r="R105" i="13"/>
  <c r="R103" i="13"/>
  <c r="L17" i="8"/>
  <c r="L18" i="8"/>
  <c r="L19" i="8"/>
  <c r="L20" i="8"/>
  <c r="L21" i="8"/>
  <c r="L16" i="8"/>
  <c r="D34" i="8"/>
  <c r="F45" i="8" s="1"/>
  <c r="D35" i="8"/>
  <c r="D46" i="8" s="1"/>
  <c r="D36" i="8"/>
  <c r="E36" i="8" s="1"/>
  <c r="D37" i="8"/>
  <c r="E37" i="8" s="1"/>
  <c r="D38" i="8"/>
  <c r="E38" i="8" s="1"/>
  <c r="D33" i="8"/>
  <c r="E33" i="8" s="1"/>
  <c r="K17" i="8"/>
  <c r="K18" i="8"/>
  <c r="K19" i="8"/>
  <c r="K20" i="8"/>
  <c r="K21" i="8"/>
  <c r="K16" i="8"/>
  <c r="E26" i="8"/>
  <c r="E27" i="8"/>
  <c r="E28" i="8"/>
  <c r="E29" i="8"/>
  <c r="E30" i="8"/>
  <c r="E25" i="8"/>
  <c r="D30" i="8"/>
  <c r="D29" i="8"/>
  <c r="D26" i="8"/>
  <c r="D27" i="8"/>
  <c r="D28" i="8"/>
  <c r="D25" i="8"/>
  <c r="J17" i="8"/>
  <c r="J18" i="8"/>
  <c r="J19" i="8"/>
  <c r="J20" i="8"/>
  <c r="J21" i="8"/>
  <c r="J16" i="8"/>
  <c r="I20" i="8"/>
  <c r="I21" i="8"/>
  <c r="I16" i="8"/>
  <c r="H17" i="8"/>
  <c r="I17" i="8" s="1"/>
  <c r="H18" i="8"/>
  <c r="I18" i="8" s="1"/>
  <c r="H19" i="8"/>
  <c r="I19" i="8" s="1"/>
  <c r="H20" i="8"/>
  <c r="H21" i="8"/>
  <c r="H16" i="8"/>
  <c r="C10" i="8"/>
  <c r="C11" i="8"/>
  <c r="C12" i="8"/>
  <c r="C13" i="8"/>
  <c r="C9" i="8"/>
  <c r="E4" i="8"/>
  <c r="D4" i="8"/>
  <c r="T107" i="13" l="1"/>
  <c r="X107" i="13" s="1"/>
  <c r="R107" i="13"/>
  <c r="V107" i="13" s="1"/>
  <c r="S107" i="13"/>
  <c r="W107" i="13" s="1"/>
  <c r="M126" i="13"/>
  <c r="G106" i="13"/>
  <c r="O127" i="13"/>
  <c r="M125" i="13"/>
  <c r="M124" i="13"/>
  <c r="G104" i="13"/>
  <c r="O124" i="13"/>
  <c r="O125" i="13"/>
  <c r="S104" i="13"/>
  <c r="W104" i="13" s="1"/>
  <c r="R104" i="13"/>
  <c r="V104" i="13" s="1"/>
  <c r="T104" i="13"/>
  <c r="X104" i="13" s="1"/>
  <c r="T110" i="13"/>
  <c r="X110" i="13" s="1"/>
  <c r="G110" i="13"/>
  <c r="O131" i="13"/>
  <c r="S110" i="13"/>
  <c r="W110" i="13" s="1"/>
  <c r="R110" i="13"/>
  <c r="G109" i="13"/>
  <c r="O130" i="13"/>
  <c r="G108" i="13"/>
  <c r="O129" i="13"/>
  <c r="S102" i="13"/>
  <c r="W102" i="13" s="1"/>
  <c r="R102" i="13"/>
  <c r="M122" i="13"/>
  <c r="T102" i="13"/>
  <c r="X102" i="13" s="1"/>
  <c r="O102" i="13"/>
  <c r="R98" i="13"/>
  <c r="U98" i="13" s="1"/>
  <c r="Y98" i="13" s="1"/>
  <c r="T98" i="13"/>
  <c r="X98" i="13" s="1"/>
  <c r="M121" i="13"/>
  <c r="O122" i="13"/>
  <c r="M120" i="13"/>
  <c r="M118" i="13"/>
  <c r="O118" i="13"/>
  <c r="O119" i="13"/>
  <c r="G103" i="13"/>
  <c r="G107" i="13"/>
  <c r="O106" i="13"/>
  <c r="R106" i="13"/>
  <c r="V106" i="13" s="1"/>
  <c r="T106" i="13"/>
  <c r="X106" i="13" s="1"/>
  <c r="S106" i="13"/>
  <c r="W106" i="13" s="1"/>
  <c r="S103" i="13"/>
  <c r="W103" i="13" s="1"/>
  <c r="T103" i="13"/>
  <c r="X103" i="13" s="1"/>
  <c r="O103" i="13"/>
  <c r="G111" i="13"/>
  <c r="S111" i="13"/>
  <c r="W111" i="13" s="1"/>
  <c r="O111" i="13"/>
  <c r="R111" i="13"/>
  <c r="V111" i="13" s="1"/>
  <c r="R109" i="13"/>
  <c r="V109" i="13" s="1"/>
  <c r="S109" i="13"/>
  <c r="W109" i="13" s="1"/>
  <c r="T109" i="13"/>
  <c r="X109" i="13" s="1"/>
  <c r="O109" i="13"/>
  <c r="R108" i="13"/>
  <c r="V108" i="13" s="1"/>
  <c r="T108" i="13"/>
  <c r="X108" i="13" s="1"/>
  <c r="V99" i="13"/>
  <c r="U99" i="13"/>
  <c r="Y99" i="13" s="1"/>
  <c r="V110" i="13"/>
  <c r="U110" i="13"/>
  <c r="Y110" i="13" s="1"/>
  <c r="V100" i="13"/>
  <c r="U100" i="13"/>
  <c r="Y100" i="13" s="1"/>
  <c r="V102" i="13"/>
  <c r="U102" i="13"/>
  <c r="Y102" i="13" s="1"/>
  <c r="V101" i="13"/>
  <c r="U101" i="13"/>
  <c r="Y101" i="13" s="1"/>
  <c r="V98" i="13"/>
  <c r="V103" i="13"/>
  <c r="U103" i="13"/>
  <c r="Y103" i="13" s="1"/>
  <c r="V105" i="13"/>
  <c r="U105" i="13"/>
  <c r="Y105" i="13" s="1"/>
  <c r="V97" i="13"/>
  <c r="U97" i="13"/>
  <c r="Y97" i="13" s="1"/>
  <c r="E35" i="8"/>
  <c r="F35" i="8" s="1"/>
  <c r="G35" i="8" s="1"/>
  <c r="E34" i="8"/>
  <c r="F33" i="8"/>
  <c r="G33" i="8" s="1"/>
  <c r="E44" i="8"/>
  <c r="G44" i="8"/>
  <c r="C44" i="8"/>
  <c r="G49" i="8"/>
  <c r="F38" i="8"/>
  <c r="G38" i="8" s="1"/>
  <c r="E49" i="8"/>
  <c r="C49" i="8"/>
  <c r="G48" i="8"/>
  <c r="E48" i="8"/>
  <c r="C48" i="8"/>
  <c r="F37" i="8"/>
  <c r="G37" i="8" s="1"/>
  <c r="F36" i="8"/>
  <c r="G36" i="8" s="1"/>
  <c r="G47" i="8"/>
  <c r="E47" i="8"/>
  <c r="C47" i="8"/>
  <c r="F44" i="8"/>
  <c r="F49" i="8"/>
  <c r="C45" i="8"/>
  <c r="F48" i="8"/>
  <c r="F47" i="8"/>
  <c r="F46" i="8"/>
  <c r="E45" i="8"/>
  <c r="B44" i="8"/>
  <c r="D44" i="8"/>
  <c r="B49" i="8"/>
  <c r="D49" i="8"/>
  <c r="B48" i="8"/>
  <c r="D48" i="8"/>
  <c r="B47" i="8"/>
  <c r="D47" i="8"/>
  <c r="B46" i="8"/>
  <c r="B45" i="8"/>
  <c r="D45" i="8"/>
  <c r="D39" i="7"/>
  <c r="D40" i="7"/>
  <c r="D41" i="7"/>
  <c r="D42" i="7"/>
  <c r="D43" i="7"/>
  <c r="D44" i="7"/>
  <c r="D45" i="7"/>
  <c r="D46" i="7"/>
  <c r="D47" i="7"/>
  <c r="C40" i="7"/>
  <c r="C41" i="7"/>
  <c r="C42" i="7"/>
  <c r="C43" i="7"/>
  <c r="C44" i="7"/>
  <c r="C45" i="7"/>
  <c r="C46" i="7"/>
  <c r="C47" i="7"/>
  <c r="C39" i="7"/>
  <c r="B40" i="7"/>
  <c r="B41" i="7"/>
  <c r="B42" i="7"/>
  <c r="B43" i="7"/>
  <c r="B44" i="7"/>
  <c r="B45" i="7"/>
  <c r="B46" i="7"/>
  <c r="B47" i="7"/>
  <c r="B39" i="7"/>
  <c r="O20" i="5"/>
  <c r="O21" i="5" s="1"/>
  <c r="U107" i="13" l="1"/>
  <c r="Y107" i="13" s="1"/>
  <c r="U104" i="13"/>
  <c r="Y104" i="13" s="1"/>
  <c r="U106" i="13"/>
  <c r="Y106" i="13" s="1"/>
  <c r="U111" i="13"/>
  <c r="Y111" i="13" s="1"/>
  <c r="U109" i="13"/>
  <c r="Y109" i="13" s="1"/>
  <c r="U108" i="13"/>
  <c r="Y108" i="13" s="1"/>
  <c r="C46" i="8"/>
  <c r="G46" i="8"/>
  <c r="E46" i="8"/>
  <c r="G45" i="8"/>
  <c r="F34" i="8"/>
  <c r="G34" i="8" s="1"/>
  <c r="E18" i="5"/>
  <c r="E17" i="5"/>
  <c r="E21" i="5"/>
  <c r="E20" i="5"/>
  <c r="E19" i="5"/>
  <c r="E95" i="5"/>
  <c r="B89" i="5"/>
  <c r="B90" i="5"/>
  <c r="B91" i="5"/>
  <c r="B92" i="5"/>
  <c r="B93" i="5"/>
  <c r="B94" i="5"/>
  <c r="C95" i="5"/>
  <c r="B95" i="5"/>
  <c r="B88" i="5"/>
  <c r="F78" i="5"/>
  <c r="F79" i="5"/>
  <c r="F80" i="5"/>
  <c r="F81" i="5"/>
  <c r="F82" i="5"/>
  <c r="F83" i="5"/>
  <c r="F76" i="5"/>
  <c r="F77" i="5"/>
  <c r="D76" i="5"/>
  <c r="D77" i="5"/>
  <c r="D78" i="5"/>
  <c r="D79" i="5"/>
  <c r="D80" i="5"/>
  <c r="D81" i="5"/>
  <c r="D82" i="5"/>
  <c r="D83" i="5"/>
  <c r="B75" i="5"/>
  <c r="B76" i="5"/>
  <c r="B77" i="5"/>
  <c r="B78" i="5"/>
  <c r="B79" i="5"/>
  <c r="B80" i="5"/>
  <c r="B81" i="5"/>
  <c r="B82" i="5"/>
  <c r="B83" i="5"/>
  <c r="B74" i="5"/>
  <c r="D64" i="5"/>
  <c r="D65" i="5"/>
  <c r="D66" i="5"/>
  <c r="D67" i="5"/>
  <c r="D68" i="5"/>
  <c r="D69" i="5"/>
  <c r="D70" i="5"/>
  <c r="D71" i="5"/>
  <c r="B63" i="5"/>
  <c r="B64" i="5"/>
  <c r="B65" i="5"/>
  <c r="B66" i="5"/>
  <c r="B67" i="5"/>
  <c r="B68" i="5"/>
  <c r="B69" i="5"/>
  <c r="B70" i="5"/>
  <c r="B71" i="5"/>
  <c r="B62" i="5"/>
  <c r="C6" i="7"/>
  <c r="C7" i="7"/>
  <c r="C8" i="7"/>
  <c r="C9" i="7"/>
  <c r="C10" i="7"/>
  <c r="C11" i="7"/>
  <c r="C12" i="7"/>
  <c r="C2" i="7"/>
  <c r="C3" i="7"/>
  <c r="C4" i="7"/>
  <c r="C5" i="7"/>
  <c r="J21" i="7"/>
  <c r="Q5" i="7"/>
  <c r="P5" i="7"/>
  <c r="R10" i="7"/>
  <c r="R11" i="7"/>
  <c r="R12" i="7"/>
  <c r="R9" i="7"/>
  <c r="B4" i="8"/>
  <c r="O5" i="7"/>
  <c r="J11" i="7"/>
  <c r="E66" i="5" l="1"/>
  <c r="E65" i="5"/>
  <c r="C52" i="5"/>
  <c r="C54" i="5"/>
  <c r="C56" i="5"/>
  <c r="C58" i="5"/>
  <c r="C51" i="5"/>
  <c r="E44" i="5"/>
  <c r="E45" i="5"/>
  <c r="E46" i="5"/>
  <c r="E47" i="5"/>
  <c r="C39" i="5"/>
  <c r="C41" i="5"/>
  <c r="C53" i="5" s="1"/>
  <c r="C43" i="5"/>
  <c r="C55" i="5" s="1"/>
  <c r="C45" i="5"/>
  <c r="C57" i="5" s="1"/>
  <c r="C47" i="5"/>
  <c r="C59" i="5" s="1"/>
  <c r="D33" i="5"/>
  <c r="D34" i="5"/>
  <c r="D35" i="5"/>
  <c r="C28" i="5"/>
  <c r="C29" i="5"/>
  <c r="C30" i="5"/>
  <c r="C31" i="5"/>
  <c r="C32" i="5"/>
  <c r="C33" i="5"/>
  <c r="C34" i="5"/>
  <c r="C35" i="5"/>
  <c r="C27" i="5"/>
  <c r="E67" i="5"/>
  <c r="E68" i="5"/>
  <c r="E69" i="5"/>
  <c r="E22" i="5"/>
  <c r="E70" i="5" s="1"/>
  <c r="E23" i="5"/>
  <c r="E71" i="5" s="1"/>
  <c r="B27" i="5"/>
  <c r="B28" i="5"/>
  <c r="B29" i="5"/>
  <c r="B30" i="5"/>
  <c r="B31" i="5"/>
  <c r="B32" i="5"/>
  <c r="B33" i="5"/>
  <c r="B34" i="5"/>
  <c r="B35" i="5"/>
  <c r="B26" i="5"/>
  <c r="C77" i="5" l="1"/>
  <c r="C65" i="5"/>
  <c r="C71" i="5"/>
  <c r="C83" i="5"/>
  <c r="C81" i="5"/>
  <c r="C69" i="5"/>
  <c r="C67" i="5"/>
  <c r="C79" i="5"/>
  <c r="E80" i="5"/>
  <c r="G80" i="5"/>
  <c r="C92" i="5" s="1"/>
  <c r="E92" i="5" s="1"/>
  <c r="E78" i="5"/>
  <c r="G78" i="5"/>
  <c r="C90" i="5" s="1"/>
  <c r="E90" i="5" s="1"/>
  <c r="C70" i="5"/>
  <c r="C82" i="5"/>
  <c r="C75" i="5"/>
  <c r="C63" i="5"/>
  <c r="G83" i="5"/>
  <c r="E83" i="5"/>
  <c r="C66" i="5"/>
  <c r="C78" i="5"/>
  <c r="C80" i="5"/>
  <c r="C68" i="5"/>
  <c r="G77" i="5"/>
  <c r="C89" i="5" s="1"/>
  <c r="E89" i="5" s="1"/>
  <c r="E77" i="5"/>
  <c r="G82" i="5"/>
  <c r="C94" i="5" s="1"/>
  <c r="E94" i="5" s="1"/>
  <c r="E82" i="5"/>
  <c r="E81" i="5"/>
  <c r="G81" i="5"/>
  <c r="C93" i="5" s="1"/>
  <c r="E93" i="5" s="1"/>
  <c r="C76" i="5"/>
  <c r="C64" i="5"/>
  <c r="E79" i="5"/>
  <c r="G79" i="5"/>
  <c r="C91" i="5" s="1"/>
  <c r="E91" i="5" s="1"/>
  <c r="E141" i="10"/>
  <c r="E140" i="10"/>
  <c r="A140" i="10"/>
  <c r="A141" i="10"/>
  <c r="D149" i="10"/>
  <c r="C145" i="10"/>
  <c r="C137" i="10" s="1"/>
  <c r="D137" i="10" s="1"/>
  <c r="C140" i="10" l="1"/>
  <c r="D140" i="10" s="1"/>
  <c r="C141" i="10"/>
  <c r="D141" i="10" s="1"/>
  <c r="C138" i="10"/>
  <c r="C139" i="10"/>
  <c r="E131" i="10"/>
  <c r="E130" i="10"/>
  <c r="D131" i="10"/>
  <c r="D130" i="10"/>
  <c r="F114" i="10"/>
  <c r="F115" i="10"/>
  <c r="F116" i="10"/>
  <c r="F117" i="10"/>
  <c r="F118" i="10"/>
  <c r="F119" i="10"/>
  <c r="F113" i="10"/>
  <c r="E114" i="10"/>
  <c r="E115" i="10"/>
  <c r="E116" i="10"/>
  <c r="E117" i="10"/>
  <c r="E118" i="10"/>
  <c r="E119" i="10"/>
  <c r="E113" i="10"/>
  <c r="K108" i="10"/>
  <c r="K109" i="10"/>
  <c r="J108" i="10"/>
  <c r="J109" i="10"/>
  <c r="J110" i="10"/>
  <c r="J107" i="10"/>
  <c r="I108" i="10"/>
  <c r="I109" i="10"/>
  <c r="I110" i="10"/>
  <c r="K110" i="10" s="1"/>
  <c r="I107" i="10"/>
  <c r="K107" i="10" s="1"/>
  <c r="H108" i="10"/>
  <c r="H109" i="10"/>
  <c r="H110" i="10"/>
  <c r="H107" i="10"/>
  <c r="G108" i="10"/>
  <c r="G109" i="10"/>
  <c r="G110" i="10"/>
  <c r="G107" i="10"/>
  <c r="E97" i="10"/>
  <c r="E98" i="10"/>
  <c r="E99" i="10"/>
  <c r="E96" i="10"/>
  <c r="D97" i="10"/>
  <c r="D98" i="10"/>
  <c r="D99" i="10"/>
  <c r="D96" i="10"/>
  <c r="D58" i="10"/>
  <c r="J33" i="10"/>
  <c r="J39" i="10"/>
  <c r="J40" i="10" s="1"/>
  <c r="J41" i="10" s="1"/>
  <c r="J42" i="10" s="1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C24" i="9"/>
  <c r="D24" i="9"/>
  <c r="E24" i="9"/>
  <c r="B24" i="9"/>
  <c r="D16" i="9"/>
  <c r="D17" i="9"/>
  <c r="D18" i="9"/>
  <c r="D19" i="9"/>
  <c r="D20" i="9"/>
  <c r="D21" i="9"/>
  <c r="D15" i="9"/>
  <c r="E14" i="9"/>
  <c r="E15" i="9"/>
  <c r="E16" i="9"/>
  <c r="E17" i="9"/>
  <c r="E18" i="9"/>
  <c r="E19" i="9"/>
  <c r="E20" i="9"/>
  <c r="E21" i="9"/>
  <c r="E13" i="9"/>
  <c r="C19" i="9"/>
  <c r="B19" i="9"/>
  <c r="C18" i="9"/>
  <c r="B18" i="9"/>
  <c r="B16" i="9"/>
  <c r="C13" i="9"/>
  <c r="B13" i="9"/>
  <c r="B40" i="6"/>
  <c r="B37" i="6"/>
  <c r="B34" i="6"/>
  <c r="B31" i="6"/>
  <c r="B28" i="6"/>
  <c r="B25" i="6"/>
  <c r="B22" i="6"/>
  <c r="B19" i="6"/>
  <c r="B16" i="6"/>
  <c r="B13" i="6"/>
  <c r="B10" i="6"/>
  <c r="B7" i="6"/>
  <c r="AC5" i="3" l="1"/>
  <c r="AC6" i="3"/>
  <c r="AC7" i="3"/>
  <c r="AC8" i="3"/>
  <c r="AC9" i="3"/>
  <c r="AC10" i="3"/>
  <c r="AC4" i="3"/>
  <c r="AD5" i="3"/>
  <c r="Y5" i="3" s="1"/>
  <c r="V5" i="3" s="1"/>
  <c r="AD6" i="3"/>
  <c r="Y6" i="3" s="1"/>
  <c r="V6" i="3" s="1"/>
  <c r="AD7" i="3"/>
  <c r="Y7" i="3" s="1"/>
  <c r="V7" i="3" s="1"/>
  <c r="AD8" i="3"/>
  <c r="Y8" i="3" s="1"/>
  <c r="V8" i="3" s="1"/>
  <c r="AD9" i="3"/>
  <c r="Y9" i="3" s="1"/>
  <c r="V9" i="3" s="1"/>
  <c r="AD10" i="3"/>
  <c r="AD4" i="3"/>
  <c r="Y4" i="3" s="1"/>
  <c r="V4" i="3" s="1"/>
  <c r="AN5" i="3"/>
  <c r="AK5" i="3" s="1"/>
  <c r="AN6" i="3"/>
  <c r="AK6" i="3" s="1"/>
  <c r="AN7" i="3"/>
  <c r="AK7" i="3" s="1"/>
  <c r="AN8" i="3"/>
  <c r="AK8" i="3" s="1"/>
  <c r="AN9" i="3"/>
  <c r="AK9" i="3" s="1"/>
  <c r="AN10" i="3"/>
  <c r="AK10" i="3" s="1"/>
  <c r="AN4" i="3"/>
  <c r="AK4" i="3" s="1"/>
  <c r="AI7" i="3"/>
  <c r="AF7" i="3" s="1"/>
  <c r="AI8" i="3"/>
  <c r="J6" i="3"/>
  <c r="G6" i="3" s="1"/>
  <c r="E5" i="3"/>
  <c r="B5" i="3" s="1"/>
  <c r="E6" i="3"/>
  <c r="AI6" i="3" s="1"/>
  <c r="AF6" i="3" s="1"/>
  <c r="E7" i="3"/>
  <c r="J7" i="3" s="1"/>
  <c r="G7" i="3" s="1"/>
  <c r="E8" i="3"/>
  <c r="E9" i="3"/>
  <c r="AI9" i="3" s="1"/>
  <c r="AF9" i="3" s="1"/>
  <c r="E4" i="3"/>
  <c r="AI4" i="3" s="1"/>
  <c r="T5" i="3"/>
  <c r="Q5" i="3" s="1"/>
  <c r="T6" i="3"/>
  <c r="Q6" i="3" s="1"/>
  <c r="T7" i="3"/>
  <c r="Q7" i="3" s="1"/>
  <c r="T8" i="3"/>
  <c r="Q8" i="3" s="1"/>
  <c r="T9" i="3"/>
  <c r="Q9" i="3" s="1"/>
  <c r="T10" i="3"/>
  <c r="Q10" i="3" s="1"/>
  <c r="T11" i="3"/>
  <c r="Q11" i="3" s="1"/>
  <c r="T4" i="3"/>
  <c r="Q4" i="3" s="1"/>
  <c r="X5" i="3"/>
  <c r="X6" i="3"/>
  <c r="X7" i="3"/>
  <c r="X8" i="3"/>
  <c r="X9" i="3"/>
  <c r="X10" i="3"/>
  <c r="X4" i="3"/>
  <c r="AB5" i="3"/>
  <c r="AB6" i="3"/>
  <c r="AB7" i="3"/>
  <c r="AB8" i="3"/>
  <c r="AB9" i="3"/>
  <c r="AB10" i="3"/>
  <c r="AB4" i="3"/>
  <c r="AE5" i="3"/>
  <c r="AE6" i="3"/>
  <c r="AE7" i="3"/>
  <c r="AE8" i="3"/>
  <c r="AE9" i="3"/>
  <c r="AE10" i="3"/>
  <c r="AE4" i="3"/>
  <c r="Y10" i="3"/>
  <c r="V10" i="3" s="1"/>
  <c r="L5" i="3"/>
  <c r="L6" i="3"/>
  <c r="L7" i="3"/>
  <c r="L8" i="3"/>
  <c r="L9" i="3"/>
  <c r="L10" i="3"/>
  <c r="L11" i="3"/>
  <c r="L4" i="3"/>
  <c r="X11" i="3"/>
  <c r="AC11" i="3"/>
  <c r="I52" i="1"/>
  <c r="I53" i="1"/>
  <c r="I54" i="1"/>
  <c r="I55" i="1"/>
  <c r="I56" i="1"/>
  <c r="I51" i="1"/>
  <c r="B7" i="3"/>
  <c r="B4" i="3"/>
  <c r="B39" i="1"/>
  <c r="B3" i="1"/>
  <c r="Q35" i="1"/>
  <c r="Q36" i="1"/>
  <c r="Q37" i="1"/>
  <c r="Q38" i="1"/>
  <c r="Q39" i="1"/>
  <c r="Q40" i="1"/>
  <c r="Q41" i="1"/>
  <c r="Q34" i="1"/>
  <c r="P36" i="1"/>
  <c r="P37" i="1"/>
  <c r="P38" i="1"/>
  <c r="P39" i="1"/>
  <c r="P40" i="1"/>
  <c r="P41" i="1"/>
  <c r="P35" i="1"/>
  <c r="O35" i="1"/>
  <c r="O36" i="1"/>
  <c r="O37" i="1"/>
  <c r="O38" i="1"/>
  <c r="O39" i="1"/>
  <c r="O40" i="1"/>
  <c r="O41" i="1"/>
  <c r="O34" i="1"/>
  <c r="N35" i="1"/>
  <c r="N36" i="1"/>
  <c r="N37" i="1"/>
  <c r="N38" i="1"/>
  <c r="N39" i="1"/>
  <c r="N40" i="1"/>
  <c r="N41" i="1"/>
  <c r="N34" i="1"/>
  <c r="M36" i="1"/>
  <c r="M37" i="1"/>
  <c r="M38" i="1"/>
  <c r="M39" i="1"/>
  <c r="M40" i="1"/>
  <c r="M41" i="1"/>
  <c r="M35" i="1"/>
  <c r="L35" i="1"/>
  <c r="L36" i="1"/>
  <c r="L37" i="1"/>
  <c r="L38" i="1"/>
  <c r="L39" i="1"/>
  <c r="L40" i="1"/>
  <c r="L41" i="1"/>
  <c r="L34" i="1"/>
  <c r="K35" i="1"/>
  <c r="K36" i="1"/>
  <c r="K37" i="1"/>
  <c r="K38" i="1"/>
  <c r="K39" i="1"/>
  <c r="K40" i="1"/>
  <c r="K41" i="1"/>
  <c r="K34" i="1"/>
  <c r="J36" i="1"/>
  <c r="J37" i="1"/>
  <c r="J38" i="1"/>
  <c r="J39" i="1"/>
  <c r="J40" i="1"/>
  <c r="J41" i="1"/>
  <c r="J35" i="1"/>
  <c r="Q25" i="1"/>
  <c r="Q26" i="1"/>
  <c r="Q27" i="1"/>
  <c r="Q24" i="1"/>
  <c r="Q28" i="1"/>
  <c r="Q29" i="1"/>
  <c r="Q30" i="1"/>
  <c r="Q31" i="1"/>
  <c r="P26" i="1"/>
  <c r="P27" i="1"/>
  <c r="P28" i="1"/>
  <c r="P29" i="1"/>
  <c r="P30" i="1"/>
  <c r="P31" i="1"/>
  <c r="P25" i="1"/>
  <c r="O25" i="1"/>
  <c r="O26" i="1"/>
  <c r="O27" i="1"/>
  <c r="O28" i="1"/>
  <c r="O29" i="1"/>
  <c r="O30" i="1"/>
  <c r="O31" i="1"/>
  <c r="O24" i="1"/>
  <c r="N25" i="1"/>
  <c r="N26" i="1"/>
  <c r="N27" i="1"/>
  <c r="N28" i="1"/>
  <c r="N29" i="1"/>
  <c r="N30" i="1"/>
  <c r="N31" i="1"/>
  <c r="N24" i="1"/>
  <c r="M26" i="1"/>
  <c r="M27" i="1"/>
  <c r="M28" i="1"/>
  <c r="M29" i="1"/>
  <c r="M30" i="1"/>
  <c r="M31" i="1"/>
  <c r="M25" i="1"/>
  <c r="L25" i="1"/>
  <c r="L26" i="1"/>
  <c r="L27" i="1"/>
  <c r="L28" i="1"/>
  <c r="L29" i="1"/>
  <c r="L30" i="1"/>
  <c r="L31" i="1"/>
  <c r="L24" i="1"/>
  <c r="K25" i="1"/>
  <c r="K26" i="1"/>
  <c r="K27" i="1"/>
  <c r="K28" i="1"/>
  <c r="K29" i="1"/>
  <c r="K30" i="1"/>
  <c r="K31" i="1"/>
  <c r="K24" i="1"/>
  <c r="Q15" i="1"/>
  <c r="Q16" i="1"/>
  <c r="Q17" i="1"/>
  <c r="Q18" i="1"/>
  <c r="Q19" i="1"/>
  <c r="Q20" i="1"/>
  <c r="Q21" i="1"/>
  <c r="O15" i="1"/>
  <c r="O16" i="1"/>
  <c r="O17" i="1"/>
  <c r="O18" i="1"/>
  <c r="O19" i="1"/>
  <c r="O20" i="1"/>
  <c r="O21" i="1"/>
  <c r="N15" i="1"/>
  <c r="N16" i="1"/>
  <c r="N17" i="1"/>
  <c r="N18" i="1"/>
  <c r="N19" i="1"/>
  <c r="N20" i="1"/>
  <c r="N21" i="1"/>
  <c r="P15" i="1"/>
  <c r="P16" i="1"/>
  <c r="P17" i="1"/>
  <c r="P18" i="1"/>
  <c r="P19" i="1"/>
  <c r="P20" i="1"/>
  <c r="P21" i="1"/>
  <c r="P14" i="1"/>
  <c r="Q14" i="1" s="1"/>
  <c r="M15" i="1"/>
  <c r="M16" i="1"/>
  <c r="M17" i="1"/>
  <c r="M18" i="1"/>
  <c r="M19" i="1"/>
  <c r="M20" i="1"/>
  <c r="M21" i="1"/>
  <c r="M14" i="1"/>
  <c r="N14" i="1" s="1"/>
  <c r="L15" i="1"/>
  <c r="L16" i="1"/>
  <c r="L17" i="1"/>
  <c r="L18" i="1"/>
  <c r="L19" i="1"/>
  <c r="L20" i="1"/>
  <c r="L21" i="1"/>
  <c r="K15" i="1"/>
  <c r="K16" i="1"/>
  <c r="K17" i="1"/>
  <c r="K18" i="1"/>
  <c r="K19" i="1"/>
  <c r="K20" i="1"/>
  <c r="K21" i="1"/>
  <c r="O14" i="1"/>
  <c r="L14" i="1"/>
  <c r="K14" i="1"/>
  <c r="N10" i="1"/>
  <c r="N8" i="1"/>
  <c r="N7" i="1"/>
  <c r="M9" i="1"/>
  <c r="O9" i="1" s="1"/>
  <c r="M6" i="1"/>
  <c r="O6" i="1" s="1"/>
  <c r="J8" i="1"/>
  <c r="J7" i="1"/>
  <c r="L8" i="1"/>
  <c r="L7" i="1"/>
  <c r="J10" i="1"/>
  <c r="L10" i="1"/>
  <c r="N3" i="1"/>
  <c r="N5" i="1" s="1"/>
  <c r="L5" i="1"/>
  <c r="L4" i="1"/>
  <c r="M3" i="1"/>
  <c r="U4" i="1"/>
  <c r="M5" i="1"/>
  <c r="B4" i="1"/>
  <c r="A19" i="1"/>
  <c r="B10" i="1"/>
  <c r="B13" i="1" s="1"/>
  <c r="C13" i="1" s="1"/>
  <c r="J4" i="3" l="1"/>
  <c r="G4" i="3" s="1"/>
  <c r="J5" i="3"/>
  <c r="G5" i="3" s="1"/>
  <c r="AI5" i="3"/>
  <c r="AF5" i="3" s="1"/>
  <c r="AF8" i="3"/>
  <c r="AF4" i="3"/>
  <c r="AA7" i="3"/>
  <c r="AA6" i="3"/>
  <c r="AA5" i="3"/>
  <c r="AA10" i="3"/>
  <c r="AA4" i="3"/>
  <c r="AA8" i="3"/>
  <c r="AA9" i="3"/>
  <c r="B8" i="3"/>
  <c r="B9" i="3"/>
  <c r="B6" i="3"/>
  <c r="O3" i="1"/>
  <c r="M8" i="1"/>
  <c r="O8" i="1" s="1"/>
  <c r="N4" i="1"/>
  <c r="M4" i="1"/>
  <c r="O4" i="1" s="1"/>
  <c r="M7" i="1"/>
  <c r="O7" i="1" s="1"/>
  <c r="M10" i="1"/>
  <c r="O10" i="1" s="1"/>
  <c r="O5" i="1"/>
  <c r="C10" i="1"/>
  <c r="B8" i="1"/>
  <c r="C8" i="1" s="1"/>
  <c r="B7" i="1"/>
  <c r="C7" i="1" s="1"/>
  <c r="B9" i="1"/>
  <c r="C9" i="1" s="1"/>
  <c r="B12" i="1"/>
  <c r="C12" i="1" s="1"/>
  <c r="B11" i="1"/>
  <c r="C11" i="1" s="1"/>
  <c r="B14" i="1"/>
  <c r="C14" i="1" s="1"/>
</calcChain>
</file>

<file path=xl/sharedStrings.xml><?xml version="1.0" encoding="utf-8"?>
<sst xmlns="http://schemas.openxmlformats.org/spreadsheetml/2006/main" count="1974" uniqueCount="1107">
  <si>
    <t>Input 1.25m</t>
  </si>
  <si>
    <t>kN</t>
  </si>
  <si>
    <t>Dia</t>
  </si>
  <si>
    <t>Mass</t>
  </si>
  <si>
    <t>tons</t>
  </si>
  <si>
    <t>TWR</t>
  </si>
  <si>
    <t>kN/m2</t>
  </si>
  <si>
    <t>m</t>
  </si>
  <si>
    <t>Terrier</t>
  </si>
  <si>
    <t>Swivel</t>
  </si>
  <si>
    <t>SSME</t>
  </si>
  <si>
    <t>Aerozine</t>
  </si>
  <si>
    <t>Kerolox</t>
  </si>
  <si>
    <t>Hydrolox</t>
  </si>
  <si>
    <t>ISPVac</t>
  </si>
  <si>
    <t>ISPVac20</t>
  </si>
  <si>
    <t>ISPAtm20</t>
  </si>
  <si>
    <t>Mass20</t>
  </si>
  <si>
    <t>O</t>
  </si>
  <si>
    <t>L</t>
  </si>
  <si>
    <t>L+</t>
  </si>
  <si>
    <t>Type</t>
  </si>
  <si>
    <t>TypeCur</t>
  </si>
  <si>
    <t>TypeNew</t>
  </si>
  <si>
    <t>U+</t>
  </si>
  <si>
    <t>ISP</t>
  </si>
  <si>
    <t>U</t>
  </si>
  <si>
    <t>129/369</t>
  </si>
  <si>
    <t>213/355</t>
  </si>
  <si>
    <t>304/337</t>
  </si>
  <si>
    <t>285/347</t>
  </si>
  <si>
    <t>kn/m2</t>
  </si>
  <si>
    <t>~1.3</t>
  </si>
  <si>
    <t>ISPVacFac</t>
  </si>
  <si>
    <t>ISPAtmFac</t>
  </si>
  <si>
    <t>Terr K</t>
  </si>
  <si>
    <t>Terr H</t>
  </si>
  <si>
    <t>Terr A</t>
  </si>
  <si>
    <t>Swivel K</t>
  </si>
  <si>
    <t>Swivel H</t>
  </si>
  <si>
    <t>Swivel A</t>
  </si>
  <si>
    <t>SSME K</t>
  </si>
  <si>
    <t>SSME H</t>
  </si>
  <si>
    <t>ISPAtm</t>
  </si>
  <si>
    <t>Factors</t>
  </si>
  <si>
    <t>EngMassFact</t>
  </si>
  <si>
    <t>EngThrFact</t>
  </si>
  <si>
    <t>Sizes</t>
  </si>
  <si>
    <t>Thrust</t>
  </si>
  <si>
    <t>Base Model</t>
  </si>
  <si>
    <t>Hecate</t>
  </si>
  <si>
    <t>Base Model:</t>
  </si>
  <si>
    <t>ISP Atm</t>
  </si>
  <si>
    <t>ISP Vac</t>
  </si>
  <si>
    <t>TWRVac</t>
  </si>
  <si>
    <t>Vesuvius</t>
  </si>
  <si>
    <t>A</t>
  </si>
  <si>
    <t>B</t>
  </si>
  <si>
    <t>C</t>
  </si>
  <si>
    <t>D</t>
  </si>
  <si>
    <t>E</t>
  </si>
  <si>
    <t>F</t>
  </si>
  <si>
    <t>G</t>
  </si>
  <si>
    <t>Vacuum Hydrolox - U+</t>
  </si>
  <si>
    <t>Upper Kerolox - U</t>
  </si>
  <si>
    <t>Upper Aerozine - U</t>
  </si>
  <si>
    <t>Upper Hydrolox - U</t>
  </si>
  <si>
    <t>Surface Kerolox - L</t>
  </si>
  <si>
    <t>Lower Hydrolox - L+</t>
  </si>
  <si>
    <t>Vacuum Kerolox - U+</t>
  </si>
  <si>
    <t>Vacuum Aerozine - O</t>
  </si>
  <si>
    <t>Ignitions</t>
  </si>
  <si>
    <t>techtree</t>
  </si>
  <si>
    <t>Name</t>
  </si>
  <si>
    <t>start</t>
  </si>
  <si>
    <t>basicRocketry</t>
  </si>
  <si>
    <t>generalRocketry</t>
  </si>
  <si>
    <t>advRocketry</t>
  </si>
  <si>
    <t>heavyRocketry</t>
  </si>
  <si>
    <t>heavierRocketry</t>
  </si>
  <si>
    <t>veryHeavyRocketry</t>
  </si>
  <si>
    <t>experimentalRocketry</t>
  </si>
  <si>
    <t>giganticRocketry</t>
  </si>
  <si>
    <t>colossalRocketry</t>
  </si>
  <si>
    <t>Orbital</t>
  </si>
  <si>
    <t>Atmos</t>
  </si>
  <si>
    <t>Surface</t>
  </si>
  <si>
    <t>Node</t>
  </si>
  <si>
    <t>engineering101</t>
  </si>
  <si>
    <t>survivability</t>
  </si>
  <si>
    <t>basicScience</t>
  </si>
  <si>
    <t>spaceExploration</t>
  </si>
  <si>
    <t>advExploration</t>
  </si>
  <si>
    <t>experimentalScience</t>
  </si>
  <si>
    <t>mass</t>
  </si>
  <si>
    <t>value</t>
  </si>
  <si>
    <t>Lower</t>
  </si>
  <si>
    <t>Upper</t>
  </si>
  <si>
    <t>Probe</t>
  </si>
  <si>
    <t>ProbeDeep</t>
  </si>
  <si>
    <t>probeCoreOcto2_v2</t>
  </si>
  <si>
    <t>probeCoreSphere_v2</t>
  </si>
  <si>
    <t>Notes</t>
  </si>
  <si>
    <t>Sputnik</t>
  </si>
  <si>
    <t>nfex-probe-rnd-1</t>
  </si>
  <si>
    <t>Suggest TL</t>
  </si>
  <si>
    <t>probeCoreCube</t>
  </si>
  <si>
    <t>probeCoreHex_v2</t>
  </si>
  <si>
    <t>probeCoreOcto_v2</t>
  </si>
  <si>
    <t>RWheel</t>
  </si>
  <si>
    <t>Size</t>
  </si>
  <si>
    <t>Length</t>
  </si>
  <si>
    <t>Short</t>
  </si>
  <si>
    <t>Medium</t>
  </si>
  <si>
    <t>Vlong</t>
  </si>
  <si>
    <t>probeStackSmall</t>
  </si>
  <si>
    <t>Vshort</t>
  </si>
  <si>
    <t>nfex-probe-plto-1</t>
  </si>
  <si>
    <t>Sphere</t>
  </si>
  <si>
    <t>Triangle, med</t>
  </si>
  <si>
    <t>nfex-probe-stp-1</t>
  </si>
  <si>
    <t>nfex-probe-dsk-1</t>
  </si>
  <si>
    <t>nfex-probe-rkt-1</t>
  </si>
  <si>
    <t>DELETE</t>
  </si>
  <si>
    <t>nfex-probe-chfr-1</t>
  </si>
  <si>
    <t>SQUARE</t>
  </si>
  <si>
    <t>HECS2_ProbeCore</t>
  </si>
  <si>
    <t>Long</t>
  </si>
  <si>
    <t>nfex-probe-sqr-1</t>
  </si>
  <si>
    <t>nfex-probe-cyl-1</t>
  </si>
  <si>
    <t>probeStackLarge</t>
  </si>
  <si>
    <t>nflv-drone-core-5-1</t>
  </si>
  <si>
    <t>nflv-drone-core-75-1</t>
  </si>
  <si>
    <t>model</t>
  </si>
  <si>
    <t>Lower@2.5</t>
  </si>
  <si>
    <t>Upper@1.25</t>
  </si>
  <si>
    <t>ec/s</t>
  </si>
  <si>
    <t>ec</t>
  </si>
  <si>
    <t>MOVE</t>
  </si>
  <si>
    <t>rocketry</t>
  </si>
  <si>
    <t>nuclear</t>
  </si>
  <si>
    <t>nuclearPropulsion</t>
  </si>
  <si>
    <t>nuclearPower</t>
  </si>
  <si>
    <t>improvedNuclearPropulsion</t>
  </si>
  <si>
    <t>experimentalNuclearPropulsion</t>
  </si>
  <si>
    <t>exoticNuclearPropulsion</t>
  </si>
  <si>
    <t>improvedNuclearPower</t>
  </si>
  <si>
    <t>nuclearFuelSystems</t>
  </si>
  <si>
    <t>fuel</t>
  </si>
  <si>
    <t>generalConstruction</t>
  </si>
  <si>
    <t>stability</t>
  </si>
  <si>
    <t>fuelSystems</t>
  </si>
  <si>
    <t>advFuelSystems</t>
  </si>
  <si>
    <t>largeVolumeContainment</t>
  </si>
  <si>
    <t>highPerformanceFuelSystems</t>
  </si>
  <si>
    <t>specialisedFuelStorage</t>
  </si>
  <si>
    <t>exoticFuelStorage</t>
  </si>
  <si>
    <t>nuke power</t>
  </si>
  <si>
    <t>electrics</t>
  </si>
  <si>
    <t>Science</t>
  </si>
  <si>
    <t>rtgpower</t>
  </si>
  <si>
    <t>specialisedElectrics</t>
  </si>
  <si>
    <t>experimentalElectrics</t>
  </si>
  <si>
    <t>highTechElectricalSystems</t>
  </si>
  <si>
    <t>advScienceTech</t>
  </si>
  <si>
    <t>ions</t>
  </si>
  <si>
    <t>ionPropulsion</t>
  </si>
  <si>
    <t>advIonPropulsion</t>
  </si>
  <si>
    <t>plasma</t>
  </si>
  <si>
    <t>plasmaPropulsion</t>
  </si>
  <si>
    <t>NEWNODE</t>
  </si>
  <si>
    <t>Probes</t>
  </si>
  <si>
    <t>Capsules</t>
  </si>
  <si>
    <t>miniaturization</t>
  </si>
  <si>
    <t>precisionEngineering</t>
  </si>
  <si>
    <t>Comms</t>
  </si>
  <si>
    <t>Category</t>
  </si>
  <si>
    <t>unmannedTech</t>
  </si>
  <si>
    <t>advUnmannedTech</t>
  </si>
  <si>
    <t>artificialIntelligence</t>
  </si>
  <si>
    <t>Engineer</t>
  </si>
  <si>
    <t>flightControl</t>
  </si>
  <si>
    <t>advFlightControl</t>
  </si>
  <si>
    <t>commandModules</t>
  </si>
  <si>
    <t>electronics</t>
  </si>
  <si>
    <t>automation</t>
  </si>
  <si>
    <t>mechatronics</t>
  </si>
  <si>
    <t>aviation</t>
  </si>
  <si>
    <t>advConstruction</t>
  </si>
  <si>
    <t>specialisedConstruction</t>
  </si>
  <si>
    <t>composites</t>
  </si>
  <si>
    <t>meta-materials</t>
  </si>
  <si>
    <t>orbitalAssembly</t>
  </si>
  <si>
    <t>advMetalworks</t>
  </si>
  <si>
    <t>advNuclearPower</t>
  </si>
  <si>
    <t>fusionRockets</t>
  </si>
  <si>
    <t>advNuclearPropulsion</t>
  </si>
  <si>
    <t>actuators</t>
  </si>
  <si>
    <t>advElectrics</t>
  </si>
  <si>
    <t>largeElectrics</t>
  </si>
  <si>
    <t>advSolarTech</t>
  </si>
  <si>
    <t>cuttingEdgeSolarTech</t>
  </si>
  <si>
    <t>expGriddedThrusters</t>
  </si>
  <si>
    <t>advGriddedThrusters</t>
  </si>
  <si>
    <t>advEMSystems</t>
  </si>
  <si>
    <t>scienceTech</t>
  </si>
  <si>
    <t>fieldScience</t>
  </si>
  <si>
    <t>advancedMotors</t>
  </si>
  <si>
    <t>specialisedControl</t>
  </si>
  <si>
    <t>heavyLanding</t>
  </si>
  <si>
    <t>EC/t</t>
  </si>
  <si>
    <t>Standard</t>
  </si>
  <si>
    <t>HP</t>
  </si>
  <si>
    <t>Cryo</t>
  </si>
  <si>
    <t>Electric</t>
  </si>
  <si>
    <t>*10000</t>
  </si>
  <si>
    <t>convert</t>
  </si>
  <si>
    <t>SNRE</t>
  </si>
  <si>
    <t>NERVA-II</t>
  </si>
  <si>
    <t>1.25m dia</t>
  </si>
  <si>
    <t>NERVA-Alpha</t>
  </si>
  <si>
    <t>NERVA-Gamma</t>
  </si>
  <si>
    <t>NERVA-NTR '91</t>
  </si>
  <si>
    <t>5m dia</t>
  </si>
  <si>
    <t>NERVA XE</t>
  </si>
  <si>
    <t>Timberwind 45</t>
  </si>
  <si>
    <t>Timberwind 75</t>
  </si>
  <si>
    <t>Timberwind 250</t>
  </si>
  <si>
    <t>8.7m dia</t>
  </si>
  <si>
    <t>6.1m dia</t>
  </si>
  <si>
    <t>4.25m dia</t>
  </si>
  <si>
    <t>RD-0410</t>
  </si>
  <si>
    <t>1.6m dia</t>
  </si>
  <si>
    <t>KSP</t>
  </si>
  <si>
    <t>LV-N Nerv</t>
  </si>
  <si>
    <t>TL</t>
  </si>
  <si>
    <t>LV-N Nerv Meth</t>
  </si>
  <si>
    <t>LV-N Nerv Amm</t>
  </si>
  <si>
    <t>Eel</t>
  </si>
  <si>
    <t>Eel Amm</t>
  </si>
  <si>
    <t>Eel Meth</t>
  </si>
  <si>
    <t>Max -1 level?</t>
  </si>
  <si>
    <t>Neptune</t>
  </si>
  <si>
    <t>Multiple engines?</t>
  </si>
  <si>
    <t>Stubber</t>
  </si>
  <si>
    <t>Poseidon</t>
  </si>
  <si>
    <t>Scylla</t>
  </si>
  <si>
    <t>Liberator</t>
  </si>
  <si>
    <t>Emancipator</t>
  </si>
  <si>
    <t>Deliverance</t>
  </si>
  <si>
    <t>Has 2 engines, remove liquid fuel module</t>
  </si>
  <si>
    <t>TWEAKSCALE IS BROKEN FOR REALFUELS, CREATE MULTIPLE SIZES</t>
  </si>
  <si>
    <t>Always requires Lox? Broken</t>
  </si>
  <si>
    <t>TL1</t>
  </si>
  <si>
    <t>TL2</t>
  </si>
  <si>
    <t>TL3</t>
  </si>
  <si>
    <t>TL4</t>
  </si>
  <si>
    <t>TL5</t>
  </si>
  <si>
    <t>TL6</t>
  </si>
  <si>
    <t>TL7</t>
  </si>
  <si>
    <t>Nerv</t>
  </si>
  <si>
    <t>N+</t>
  </si>
  <si>
    <t>N</t>
  </si>
  <si>
    <t>TWRV</t>
  </si>
  <si>
    <t>TWRV+</t>
  </si>
  <si>
    <t>New Plan</t>
  </si>
  <si>
    <t>Lineup</t>
  </si>
  <si>
    <t>1.25m N+1</t>
  </si>
  <si>
    <t>1.25m N+2</t>
  </si>
  <si>
    <t>1.25m N+3</t>
  </si>
  <si>
    <t>1.25m N+4</t>
  </si>
  <si>
    <t>1.25m N+5</t>
  </si>
  <si>
    <t>1.25m N+6</t>
  </si>
  <si>
    <t>1.25m N+7</t>
  </si>
  <si>
    <t>1.25m N2</t>
  </si>
  <si>
    <t>1.25m N3</t>
  </si>
  <si>
    <t>1.25m N4</t>
  </si>
  <si>
    <t>1.25m N5</t>
  </si>
  <si>
    <t>1.25m N6</t>
  </si>
  <si>
    <t>1.25m N7</t>
  </si>
  <si>
    <t>0.625m N+3</t>
  </si>
  <si>
    <t>0.625m N+4</t>
  </si>
  <si>
    <t>0.625m N+5</t>
  </si>
  <si>
    <t>0.625m N+6</t>
  </si>
  <si>
    <t>0.625m N+7</t>
  </si>
  <si>
    <t>2.5m N4</t>
  </si>
  <si>
    <t>2.5m N5</t>
  </si>
  <si>
    <t>2.5m N6</t>
  </si>
  <si>
    <t>2.5m N7</t>
  </si>
  <si>
    <t>sec</t>
  </si>
  <si>
    <t>hr</t>
  </si>
  <si>
    <t>min</t>
  </si>
  <si>
    <t>day</t>
  </si>
  <si>
    <t>year</t>
  </si>
  <si>
    <t>life in years</t>
  </si>
  <si>
    <t>rate/s</t>
  </si>
  <si>
    <t>units</t>
  </si>
  <si>
    <t>TWRHyd</t>
  </si>
  <si>
    <t>TWRAmm</t>
  </si>
  <si>
    <t>TWRMeth</t>
  </si>
  <si>
    <t>TWR is increasing relative to ISP??</t>
  </si>
  <si>
    <t>No thrust specified:</t>
  </si>
  <si>
    <t>Thrust specified:</t>
  </si>
  <si>
    <t>34kN, 0.320t</t>
  </si>
  <si>
    <t>adding origmass</t>
  </si>
  <si>
    <t>+isp</t>
  </si>
  <si>
    <t>+twr</t>
  </si>
  <si>
    <t>ISPAmm</t>
  </si>
  <si>
    <t>%twr</t>
  </si>
  <si>
    <t>%mass</t>
  </si>
  <si>
    <t>%isp</t>
  </si>
  <si>
    <t>%massdec</t>
  </si>
  <si>
    <t>multi</t>
  </si>
  <si>
    <t>Meth</t>
  </si>
  <si>
    <t>Ammo</t>
  </si>
  <si>
    <t>meth%</t>
  </si>
  <si>
    <t>amm%</t>
  </si>
  <si>
    <t>ammonia</t>
  </si>
  <si>
    <t>high temp</t>
  </si>
  <si>
    <t>methane</t>
  </si>
  <si>
    <t>hydrogen</t>
  </si>
  <si>
    <t>lowest temp</t>
  </si>
  <si>
    <t>mid temp</t>
  </si>
  <si>
    <t>highest isp</t>
  </si>
  <si>
    <t>lowest thrust</t>
  </si>
  <si>
    <t>emancipator</t>
  </si>
  <si>
    <t>twr</t>
  </si>
  <si>
    <t>isp</t>
  </si>
  <si>
    <t>mid isp</t>
  </si>
  <si>
    <t>low isp</t>
  </si>
  <si>
    <t>twr%</t>
  </si>
  <si>
    <t>isp%</t>
  </si>
  <si>
    <t>2O:1H</t>
  </si>
  <si>
    <t>4O:1H</t>
  </si>
  <si>
    <t>TWRN</t>
  </si>
  <si>
    <t>TWRN+</t>
  </si>
  <si>
    <t>ISPN+</t>
  </si>
  <si>
    <t>Thrust H2</t>
  </si>
  <si>
    <t>Thrust CH4</t>
  </si>
  <si>
    <t>Thrust NH3</t>
  </si>
  <si>
    <t>Thrust 2O1H</t>
  </si>
  <si>
    <t>Thrust 4O1H</t>
  </si>
  <si>
    <t>ign</t>
  </si>
  <si>
    <t>Final Lineup</t>
  </si>
  <si>
    <t>0.625 N+</t>
  </si>
  <si>
    <t>1.25 N</t>
  </si>
  <si>
    <t>1.25 N+</t>
  </si>
  <si>
    <t>2.5 N</t>
  </si>
  <si>
    <t>2.5 N+</t>
  </si>
  <si>
    <t>partname</t>
  </si>
  <si>
    <t>ntr-sc-0625-1</t>
  </si>
  <si>
    <t>NERV</t>
  </si>
  <si>
    <t>nuclearEngine</t>
  </si>
  <si>
    <t>ntr-sc-125-1</t>
  </si>
  <si>
    <t>ntr-sc-125-2</t>
  </si>
  <si>
    <t>2.5 N+ Bimod</t>
  </si>
  <si>
    <t>1.25 N Bimod</t>
  </si>
  <si>
    <t>ntr-gc-25-2</t>
  </si>
  <si>
    <t>ntr-sc-25-1</t>
  </si>
  <si>
    <t>ntr-gc-25-1</t>
  </si>
  <si>
    <t>nuclearPropulsion1995</t>
  </si>
  <si>
    <t>retract</t>
  </si>
  <si>
    <t>yes</t>
  </si>
  <si>
    <t>hydrolox</t>
  </si>
  <si>
    <t>no</t>
  </si>
  <si>
    <t>ntr-sc-375-1</t>
  </si>
  <si>
    <t>ntr-gc-25-3</t>
  </si>
  <si>
    <t>aerospike</t>
  </si>
  <si>
    <t>gone</t>
  </si>
  <si>
    <t>Prelim Lineup</t>
  </si>
  <si>
    <t>1.25 N H2O</t>
  </si>
  <si>
    <t>2.5 N H2O</t>
  </si>
  <si>
    <t>rescale 2.5</t>
  </si>
  <si>
    <t>rescale 1.25</t>
  </si>
  <si>
    <t>bimod</t>
  </si>
  <si>
    <t>ispsl</t>
  </si>
  <si>
    <t>ispvac</t>
  </si>
  <si>
    <t>expNuclearPropulsion</t>
  </si>
  <si>
    <t>ionPropulsion2040</t>
  </si>
  <si>
    <t>ionPropulsion2060</t>
  </si>
  <si>
    <t>Tons/ton - lower</t>
  </si>
  <si>
    <t>Tons/ton - upper</t>
  </si>
  <si>
    <t>Tons/ton - probe</t>
  </si>
  <si>
    <t>mass - base</t>
  </si>
  <si>
    <t>mass - capability</t>
  </si>
  <si>
    <t>EC/ton</t>
  </si>
  <si>
    <t>Probe snooze</t>
  </si>
  <si>
    <t>PD Snooze</t>
  </si>
  <si>
    <t>minimum size</t>
  </si>
  <si>
    <t>maximum</t>
  </si>
  <si>
    <t>0.25x</t>
  </si>
  <si>
    <t>4x</t>
  </si>
  <si>
    <t>largeUnmanned</t>
  </si>
  <si>
    <t>Bepicolombo</t>
  </si>
  <si>
    <t>Mercury</t>
  </si>
  <si>
    <t>Earth</t>
  </si>
  <si>
    <t>kW/m2</t>
  </si>
  <si>
    <t>Area</t>
  </si>
  <si>
    <t>m2</t>
  </si>
  <si>
    <t>Output</t>
  </si>
  <si>
    <t>kW</t>
  </si>
  <si>
    <t>Distance</t>
  </si>
  <si>
    <t>AU</t>
  </si>
  <si>
    <t>Efficiency</t>
  </si>
  <si>
    <t>RO</t>
  </si>
  <si>
    <t>OKEB-100</t>
  </si>
  <si>
    <t>RO Battery</t>
  </si>
  <si>
    <t>Battery-25</t>
  </si>
  <si>
    <t>Charge</t>
  </si>
  <si>
    <t>t</t>
  </si>
  <si>
    <t>Charge/ton</t>
  </si>
  <si>
    <t>RO Solar</t>
  </si>
  <si>
    <t>Level 1</t>
  </si>
  <si>
    <t>Level 2</t>
  </si>
  <si>
    <t>Level 3</t>
  </si>
  <si>
    <t>Level 4</t>
  </si>
  <si>
    <t>Static mass</t>
  </si>
  <si>
    <t>Moving mass</t>
  </si>
  <si>
    <t>t/m2</t>
  </si>
  <si>
    <t>ton</t>
  </si>
  <si>
    <t>kW/s</t>
  </si>
  <si>
    <t>kw/t</t>
  </si>
  <si>
    <t>kw/ts</t>
  </si>
  <si>
    <t>w</t>
  </si>
  <si>
    <t>batterypack</t>
  </si>
  <si>
    <t>bankmini</t>
  </si>
  <si>
    <t>kW/t</t>
  </si>
  <si>
    <t>ec/t</t>
  </si>
  <si>
    <t>static</t>
  </si>
  <si>
    <t>moving</t>
  </si>
  <si>
    <t>Battery</t>
  </si>
  <si>
    <t>Drydens</t>
  </si>
  <si>
    <t>Tech</t>
  </si>
  <si>
    <t>electrics2040</t>
  </si>
  <si>
    <t>electrics2060</t>
  </si>
  <si>
    <t>exoticSolarTech</t>
  </si>
  <si>
    <t>advPVMaterials</t>
  </si>
  <si>
    <t>equiv ec mass/mass</t>
  </si>
  <si>
    <t>endurance (mins)</t>
  </si>
  <si>
    <t>endurance (hours)</t>
  </si>
  <si>
    <t>days</t>
  </si>
  <si>
    <t>CommsCore</t>
  </si>
  <si>
    <t>EC</t>
  </si>
  <si>
    <t>EC/s</t>
  </si>
  <si>
    <t>Mins</t>
  </si>
  <si>
    <t>Hours</t>
  </si>
  <si>
    <t>probes2040</t>
  </si>
  <si>
    <t>probes2020</t>
  </si>
  <si>
    <t>Panel</t>
  </si>
  <si>
    <t>Ec/ts</t>
  </si>
  <si>
    <t>Ec/tm</t>
  </si>
  <si>
    <t>Ec/tr</t>
  </si>
  <si>
    <t>solarPanels2</t>
  </si>
  <si>
    <t>Panel2</t>
  </si>
  <si>
    <t>solarPanels4</t>
  </si>
  <si>
    <t>solarPanels5</t>
  </si>
  <si>
    <t>largeSolarPanel</t>
  </si>
  <si>
    <t>nfs-panel-deploying-concentrator-1x4-juno-1</t>
  </si>
  <si>
    <t>advanced movable</t>
  </si>
  <si>
    <t>nfs-panel-deploying-advanced-1x2-mro-1</t>
  </si>
  <si>
    <t>nfs-panel-deploying-advanced-3x1-hayabusa-1</t>
  </si>
  <si>
    <t>advanced movable short</t>
  </si>
  <si>
    <t>nfs-panel-deploying-advanced-1x2-wv4-1</t>
  </si>
  <si>
    <t>advanced static foldable</t>
  </si>
  <si>
    <t>advanced static wide foldable</t>
  </si>
  <si>
    <t>massive movable</t>
  </si>
  <si>
    <t>nfs-panel-deploying-advanced-2x20-hub-1</t>
  </si>
  <si>
    <t>nfs-panel-deploying-advanced-1x3-orion-2</t>
  </si>
  <si>
    <t>advanced retract</t>
  </si>
  <si>
    <t>nfs-panel-deploying-blanket-orion-1</t>
  </si>
  <si>
    <t>advanced retract no cover</t>
  </si>
  <si>
    <t>use nfsolar subtypes tweakscale</t>
  </si>
  <si>
    <t>basic static</t>
  </si>
  <si>
    <t>basic movable</t>
  </si>
  <si>
    <t>basic retractable</t>
  </si>
  <si>
    <t>EC/ss</t>
  </si>
  <si>
    <t>EC/sm</t>
  </si>
  <si>
    <t>EC/tr</t>
  </si>
  <si>
    <t>RO to KSP</t>
  </si>
  <si>
    <t>Factor</t>
  </si>
  <si>
    <t>NFE</t>
  </si>
  <si>
    <t>EC/s/t</t>
  </si>
  <si>
    <t>rtg2040</t>
  </si>
  <si>
    <t>rtg2060</t>
  </si>
  <si>
    <t>Reactors</t>
  </si>
  <si>
    <t>0.625m</t>
  </si>
  <si>
    <t>Fuel</t>
  </si>
  <si>
    <t>1.25m</t>
  </si>
  <si>
    <t>2.5m</t>
  </si>
  <si>
    <t>2.5m -2</t>
  </si>
  <si>
    <t>3.75m</t>
  </si>
  <si>
    <t>3.75m -2</t>
  </si>
  <si>
    <t>Years</t>
  </si>
  <si>
    <t>Days</t>
  </si>
  <si>
    <t>Safe400</t>
  </si>
  <si>
    <t>KP 1kW</t>
  </si>
  <si>
    <t>KP 10kW</t>
  </si>
  <si>
    <t>W</t>
  </si>
  <si>
    <t>BES-5</t>
  </si>
  <si>
    <t>TOPAZ-I</t>
  </si>
  <si>
    <t>RAPID-L</t>
  </si>
  <si>
    <t>EC/t equ</t>
  </si>
  <si>
    <t>nuclear2040</t>
  </si>
  <si>
    <t>nuclear2060</t>
  </si>
  <si>
    <t>Burn/kW</t>
  </si>
  <si>
    <t>Burn/EC</t>
  </si>
  <si>
    <t>Burn</t>
  </si>
  <si>
    <t>E50</t>
  </si>
  <si>
    <t>B50</t>
  </si>
  <si>
    <t>E33</t>
  </si>
  <si>
    <t>B33</t>
  </si>
  <si>
    <t>E17</t>
  </si>
  <si>
    <t>B17</t>
  </si>
  <si>
    <t>Have 17% 33% 50%</t>
  </si>
  <si>
    <t>Ident</t>
  </si>
  <si>
    <t>Use - stubby</t>
  </si>
  <si>
    <t>Use - standard</t>
  </si>
  <si>
    <t>Use - flat</t>
  </si>
  <si>
    <t>2040+</t>
  </si>
  <si>
    <t>ok</t>
  </si>
  <si>
    <t>wip</t>
  </si>
  <si>
    <t>TBD</t>
  </si>
  <si>
    <t>largeNuclearPower</t>
  </si>
  <si>
    <t>38 EC/kg</t>
  </si>
  <si>
    <t>570 W/kg</t>
  </si>
  <si>
    <t>Parts</t>
  </si>
  <si>
    <t>Omni</t>
  </si>
  <si>
    <t>mediumDishAntenna</t>
  </si>
  <si>
    <t>improvedComms</t>
  </si>
  <si>
    <t>longAntenna</t>
  </si>
  <si>
    <t>lunarRangeComms</t>
  </si>
  <si>
    <t>SurfAntenna</t>
  </si>
  <si>
    <t>unlockParts</t>
  </si>
  <si>
    <t>HighGainAntenna</t>
  </si>
  <si>
    <t>interplanetaryComms</t>
  </si>
  <si>
    <t>HighGainAntenna5</t>
  </si>
  <si>
    <t>RelayAntenna5</t>
  </si>
  <si>
    <t>commDish</t>
  </si>
  <si>
    <t>deepSpaceComms</t>
  </si>
  <si>
    <t>RelayAntenna50</t>
  </si>
  <si>
    <t>largeScaleComms</t>
  </si>
  <si>
    <t>RelayAntenna100</t>
  </si>
  <si>
    <t>massiveScaleComms</t>
  </si>
  <si>
    <t>Range</t>
  </si>
  <si>
    <t>Gnode</t>
  </si>
  <si>
    <t>200Mm</t>
  </si>
  <si>
    <t>Bitrate</t>
  </si>
  <si>
    <t>1Mb</t>
  </si>
  <si>
    <t>400Mm</t>
  </si>
  <si>
    <t>512kb</t>
  </si>
  <si>
    <t>300Gm</t>
  </si>
  <si>
    <t>Lunar</t>
  </si>
  <si>
    <t>Inner</t>
  </si>
  <si>
    <t>Mars-ish</t>
  </si>
  <si>
    <t>350Gm</t>
  </si>
  <si>
    <t>768kb</t>
  </si>
  <si>
    <t>400Gm</t>
  </si>
  <si>
    <t>Mars</t>
  </si>
  <si>
    <t>Angle</t>
  </si>
  <si>
    <t>1Tm</t>
  </si>
  <si>
    <t>Jupiter?</t>
  </si>
  <si>
    <t>2.5Tm</t>
  </si>
  <si>
    <t>Jupiter</t>
  </si>
  <si>
    <t>2Mb</t>
  </si>
  <si>
    <t>15Tm</t>
  </si>
  <si>
    <t>Pluto</t>
  </si>
  <si>
    <t>30Tm</t>
  </si>
  <si>
    <t>515kb</t>
  </si>
  <si>
    <t>Pluto+</t>
  </si>
  <si>
    <t>Node Name</t>
  </si>
  <si>
    <t>Year</t>
  </si>
  <si>
    <t>Change</t>
  </si>
  <si>
    <t>None</t>
  </si>
  <si>
    <t>Wide comms</t>
  </si>
  <si>
    <t>Range up to 600Gm</t>
  </si>
  <si>
    <t>Lighter r50</t>
  </si>
  <si>
    <t>lighter h5</t>
  </si>
  <si>
    <t>done</t>
  </si>
  <si>
    <t>comms1995</t>
  </si>
  <si>
    <t>comms2020</t>
  </si>
  <si>
    <t>thrust</t>
  </si>
  <si>
    <t>HiSnap</t>
  </si>
  <si>
    <t>ionXenon-0625-2</t>
  </si>
  <si>
    <t>Jewel-2</t>
  </si>
  <si>
    <t>ionXenon-0625-4</t>
  </si>
  <si>
    <t>Jewel-4</t>
  </si>
  <si>
    <t>ionXenon-0625-3</t>
  </si>
  <si>
    <t>Jewel-8</t>
  </si>
  <si>
    <t>ionXenon-0625-5</t>
  </si>
  <si>
    <t>Gyro-1</t>
  </si>
  <si>
    <t>ionArgon-0625</t>
  </si>
  <si>
    <t>ionArgon-0625-3</t>
  </si>
  <si>
    <t>Triplet</t>
  </si>
  <si>
    <t>Gyro-2</t>
  </si>
  <si>
    <t>ionArgon-0625-2</t>
  </si>
  <si>
    <t>Dawn</t>
  </si>
  <si>
    <t>ionEngine</t>
  </si>
  <si>
    <t>After</t>
  </si>
  <si>
    <t>ionXenon-0625</t>
  </si>
  <si>
    <t>pit-0625</t>
  </si>
  <si>
    <t>Tree</t>
  </si>
  <si>
    <t>Scintillator - Min</t>
  </si>
  <si>
    <t>Scintillator - Max</t>
  </si>
  <si>
    <t>Inductor - Min</t>
  </si>
  <si>
    <t>Inductor - Max</t>
  </si>
  <si>
    <t>pit-125</t>
  </si>
  <si>
    <t>Repulsor - Min</t>
  </si>
  <si>
    <t>Repulsor - Max</t>
  </si>
  <si>
    <t>pit-25</t>
  </si>
  <si>
    <t>Charon</t>
  </si>
  <si>
    <t>mpdt-0625</t>
  </si>
  <si>
    <t>EC/kN</t>
  </si>
  <si>
    <t>Pyrios</t>
  </si>
  <si>
    <t>mpdt-125</t>
  </si>
  <si>
    <t>Colossus</t>
  </si>
  <si>
    <t>mpdt-25</t>
  </si>
  <si>
    <t>Helicon Argon MinISP</t>
  </si>
  <si>
    <t>Helicon Argon MaxISP</t>
  </si>
  <si>
    <t>Helicon Xenon MinISP</t>
  </si>
  <si>
    <t>Helicon Xenon MaxISP</t>
  </si>
  <si>
    <t>vasimr-0625</t>
  </si>
  <si>
    <t>Magnet Argon MaxISP</t>
  </si>
  <si>
    <t>Magnet Xenon MinISP</t>
  </si>
  <si>
    <t>Magnet Xenon MaxISP</t>
  </si>
  <si>
    <t>vasimr-125</t>
  </si>
  <si>
    <t>Magnet Argon MinISP</t>
  </si>
  <si>
    <t>Cycle Argon MinISP</t>
  </si>
  <si>
    <t>Cycle Argon MaxISP</t>
  </si>
  <si>
    <t>Cycle Xenon MinISP</t>
  </si>
  <si>
    <t>Cycle Xenon MaxISP</t>
  </si>
  <si>
    <t>vasimr-25</t>
  </si>
  <si>
    <t>Hel Argon MinISP</t>
  </si>
  <si>
    <t>Mag Argon MinISP 0.825</t>
  </si>
  <si>
    <t>Mag Xenon MaxISP 0.825</t>
  </si>
  <si>
    <t>ISP/EC * TWR</t>
  </si>
  <si>
    <t>High</t>
  </si>
  <si>
    <t>Low</t>
  </si>
  <si>
    <t>Xenon</t>
  </si>
  <si>
    <t>Lighter gas</t>
  </si>
  <si>
    <t>More EC/s</t>
  </si>
  <si>
    <t>Krypton</t>
  </si>
  <si>
    <t>Higher</t>
  </si>
  <si>
    <t>Lower atomic mass</t>
  </si>
  <si>
    <t>Lower TWR</t>
  </si>
  <si>
    <t>Lithium</t>
  </si>
  <si>
    <t>amu</t>
  </si>
  <si>
    <t>ion'ion ev</t>
  </si>
  <si>
    <t>Argon</t>
  </si>
  <si>
    <t>ISPQuote</t>
  </si>
  <si>
    <t>W/mN</t>
  </si>
  <si>
    <t>Helium</t>
  </si>
  <si>
    <t>Neon</t>
  </si>
  <si>
    <t>AMU</t>
  </si>
  <si>
    <t>Lowest</t>
  </si>
  <si>
    <t>Highest</t>
  </si>
  <si>
    <t>Notes:</t>
  </si>
  <si>
    <t>Heavier the propellant, more thrust</t>
  </si>
  <si>
    <t>Lighter the propellant, higher ISP</t>
  </si>
  <si>
    <t>Low ISP</t>
  </si>
  <si>
    <t>Low Thrust</t>
  </si>
  <si>
    <t>High ISP</t>
  </si>
  <si>
    <t>Low EC/s</t>
  </si>
  <si>
    <t>High EC/s</t>
  </si>
  <si>
    <t>Lighter the propellant, higher EC/s</t>
  </si>
  <si>
    <t>Medium EC/s</t>
  </si>
  <si>
    <t>Medium Thrust</t>
  </si>
  <si>
    <t>Medium ISP</t>
  </si>
  <si>
    <t>IRL:</t>
  </si>
  <si>
    <t>TWR*100</t>
  </si>
  <si>
    <t>High Thrust</t>
  </si>
  <si>
    <t>Med ISP</t>
  </si>
  <si>
    <t>Med EC/s</t>
  </si>
  <si>
    <t>EC/s/kN</t>
  </si>
  <si>
    <t>EC/s/kn</t>
  </si>
  <si>
    <t>make 0.625m</t>
  </si>
  <si>
    <t>rescale</t>
  </si>
  <si>
    <t>remass</t>
  </si>
  <si>
    <t>w/Solar</t>
  </si>
  <si>
    <t>w/RTG</t>
  </si>
  <si>
    <t>w/Nuke</t>
  </si>
  <si>
    <t>SolarMerc</t>
  </si>
  <si>
    <t>Fuel/s</t>
  </si>
  <si>
    <t>Ratio fuel</t>
  </si>
  <si>
    <t>Ratio Ec</t>
  </si>
  <si>
    <t>Calc EC/s</t>
  </si>
  <si>
    <t>Diff</t>
  </si>
  <si>
    <t>Reqd ratio</t>
  </si>
  <si>
    <t>a</t>
  </si>
  <si>
    <t>b</t>
  </si>
  <si>
    <t>c</t>
  </si>
  <si>
    <t>a/b/c</t>
  </si>
  <si>
    <t>a/(b/c)</t>
  </si>
  <si>
    <t>(a/b)/c</t>
  </si>
  <si>
    <t>PropellantDens</t>
  </si>
  <si>
    <t>kN file</t>
  </si>
  <si>
    <t>TWR*ISP</t>
  </si>
  <si>
    <t>(T*I)/E</t>
  </si>
  <si>
    <t>Overachieves vs EC/s</t>
  </si>
  <si>
    <t xml:space="preserve">Argon </t>
  </si>
  <si>
    <t>Overachieves vs TWR&amp;ISP</t>
  </si>
  <si>
    <t>Overachives vs ISP</t>
  </si>
  <si>
    <t>ionArgon-0625-4</t>
  </si>
  <si>
    <t>ionArgon-0625-5</t>
  </si>
  <si>
    <t>mpdt-25-2</t>
  </si>
  <si>
    <t>plasmaPropulsion2060</t>
  </si>
  <si>
    <t>specializedPlasmaGeneration</t>
  </si>
  <si>
    <t>scansat-multi-modis-1</t>
  </si>
  <si>
    <t>Partname</t>
  </si>
  <si>
    <t>Scans</t>
  </si>
  <si>
    <t>B,VL</t>
  </si>
  <si>
    <t>Altmin</t>
  </si>
  <si>
    <t>Altmax</t>
  </si>
  <si>
    <t>Altbest</t>
  </si>
  <si>
    <t>scansat-multi-abi-1</t>
  </si>
  <si>
    <t>B,VL,RL</t>
  </si>
  <si>
    <t>Small</t>
  </si>
  <si>
    <t>Large</t>
  </si>
  <si>
    <t>scansat-multi-msi-1</t>
  </si>
  <si>
    <t>scansat-radar-poseidon-3b-1</t>
  </si>
  <si>
    <t>AL</t>
  </si>
  <si>
    <t>1m dia</t>
  </si>
  <si>
    <t>scansat-radar-seasat-1</t>
  </si>
  <si>
    <t>LargeSt</t>
  </si>
  <si>
    <t>3m x 1.25m</t>
  </si>
  <si>
    <t>scansat-sar-radarsat-2-1</t>
  </si>
  <si>
    <t>3m x 1m top</t>
  </si>
  <si>
    <t>AH</t>
  </si>
  <si>
    <t>scansat-sar-tandem-l-1</t>
  </si>
  <si>
    <t>B,AH</t>
  </si>
  <si>
    <t>3m x 1m x 1m</t>
  </si>
  <si>
    <t>stupid, remove</t>
  </si>
  <si>
    <t>scansat-sar-paz-1</t>
  </si>
  <si>
    <t>3m x 1m</t>
  </si>
  <si>
    <t>scansat-resources-crism-1</t>
  </si>
  <si>
    <t>RH</t>
  </si>
  <si>
    <t>scansat-resources-mise-1</t>
  </si>
  <si>
    <t>scansat-resources-hyperion-1</t>
  </si>
  <si>
    <t>0.5m x 1m</t>
  </si>
  <si>
    <t>scansat-recon-ikonos-1</t>
  </si>
  <si>
    <t>VH</t>
  </si>
  <si>
    <t>scansat-recon-worldview-3-1</t>
  </si>
  <si>
    <t xml:space="preserve">Large </t>
  </si>
  <si>
    <t>1m x 3m</t>
  </si>
  <si>
    <t>scansat-recon-kh11-1</t>
  </si>
  <si>
    <t>Xlarge</t>
  </si>
  <si>
    <t>1.25m x 5m</t>
  </si>
  <si>
    <t>Orbit - 1960 earth high orbit</t>
  </si>
  <si>
    <t>Suborb - 1945 earth lower and upper atmos</t>
  </si>
  <si>
    <t>Suborb/orb - 1955 earth low orbit</t>
  </si>
  <si>
    <t>Lunar Flyby - 1965 earth atmos, 1960 lunar orbit</t>
  </si>
  <si>
    <t>Lunar Probe Landing - 1965 lunar surface</t>
  </si>
  <si>
    <t>Changes</t>
  </si>
  <si>
    <t>Move venus comms to 1965</t>
  </si>
  <si>
    <t>Venusian heatshield to 1965</t>
  </si>
  <si>
    <t xml:space="preserve">Venus lander - </t>
  </si>
  <si>
    <t xml:space="preserve">Mars Flyby - </t>
  </si>
  <si>
    <t>Jupiter Flyby</t>
  </si>
  <si>
    <t>Venus Scanner</t>
  </si>
  <si>
    <t>Mars Scanner</t>
  </si>
  <si>
    <t>Mars Sample Return</t>
  </si>
  <si>
    <t>Mars Lander</t>
  </si>
  <si>
    <t>Earth scanner</t>
  </si>
  <si>
    <t>Lunar scanner</t>
  </si>
  <si>
    <t>Ceres/Vesta Orbiter</t>
  </si>
  <si>
    <t>Jupiter Moons Flyby / Orbiter</t>
  </si>
  <si>
    <t>Saturn/Uranus/Neptune Flyby</t>
  </si>
  <si>
    <t>Saturn Moons Flyby / Orbiter</t>
  </si>
  <si>
    <t>Body</t>
  </si>
  <si>
    <t>Moon</t>
  </si>
  <si>
    <t>Sun</t>
  </si>
  <si>
    <t>Landed</t>
  </si>
  <si>
    <t>OrbitCom</t>
  </si>
  <si>
    <t>AtmosCom</t>
  </si>
  <si>
    <t>Venus</t>
  </si>
  <si>
    <t>Ceres</t>
  </si>
  <si>
    <t>Vesta</t>
  </si>
  <si>
    <t>Mercury Flyby</t>
  </si>
  <si>
    <t>Pluto Flyby</t>
  </si>
  <si>
    <t>Saturn</t>
  </si>
  <si>
    <t>Uranus</t>
  </si>
  <si>
    <t>Callisto</t>
  </si>
  <si>
    <t>Europa</t>
  </si>
  <si>
    <t>Ganymede</t>
  </si>
  <si>
    <t>Io</t>
  </si>
  <si>
    <t>Titan</t>
  </si>
  <si>
    <t>Dione</t>
  </si>
  <si>
    <t>Enceladus</t>
  </si>
  <si>
    <t>Iapetus</t>
  </si>
  <si>
    <t>Mimas</t>
  </si>
  <si>
    <t>Rhea</t>
  </si>
  <si>
    <t>Tethys</t>
  </si>
  <si>
    <t>Ariel</t>
  </si>
  <si>
    <t>Miranda</t>
  </si>
  <si>
    <t>Oberon</t>
  </si>
  <si>
    <t>Titania</t>
  </si>
  <si>
    <t>Umbriel</t>
  </si>
  <si>
    <t>Triton</t>
  </si>
  <si>
    <t>Phobos</t>
  </si>
  <si>
    <t>Deimos</t>
  </si>
  <si>
    <t>Metis</t>
  </si>
  <si>
    <t>Adrastea</t>
  </si>
  <si>
    <t>Amalthea</t>
  </si>
  <si>
    <t>Pan</t>
  </si>
  <si>
    <t>Daphnis</t>
  </si>
  <si>
    <t>Hyperion</t>
  </si>
  <si>
    <t>Phoebe</t>
  </si>
  <si>
    <t>Pandora</t>
  </si>
  <si>
    <t>Prometheus</t>
  </si>
  <si>
    <t>Epimetheus</t>
  </si>
  <si>
    <t>Janus</t>
  </si>
  <si>
    <t>Proteus</t>
  </si>
  <si>
    <t>Styx</t>
  </si>
  <si>
    <t>Nix</t>
  </si>
  <si>
    <t>Kerberos</t>
  </si>
  <si>
    <t>Hydra</t>
  </si>
  <si>
    <t>Venus Flyby - 1960 venus orbit, sun</t>
  </si>
  <si>
    <t xml:space="preserve">Heatshield, decoupler 1955 </t>
  </si>
  <si>
    <t>Base</t>
  </si>
  <si>
    <t>Extra</t>
  </si>
  <si>
    <t>Orbit transmit at 1960</t>
  </si>
  <si>
    <t>Atmos,surface transmit at 1965</t>
  </si>
  <si>
    <t>Sun orbit (20)</t>
  </si>
  <si>
    <t>Crewed Orbital Flight</t>
  </si>
  <si>
    <t>High Orbit (7.5)</t>
  </si>
  <si>
    <t>Lunar Manned Landing - 1970 man&amp;unman sample return, surface sample</t>
  </si>
  <si>
    <t>Altimetry LowRes</t>
  </si>
  <si>
    <t>Altimetry HighRes</t>
  </si>
  <si>
    <t>Biome</t>
  </si>
  <si>
    <t>Resources</t>
  </si>
  <si>
    <t>Visual</t>
  </si>
  <si>
    <t>65 sample return to 1970</t>
  </si>
  <si>
    <t>Capacitor - EC/t</t>
  </si>
  <si>
    <t>Latest</t>
  </si>
  <si>
    <t>PackSize</t>
  </si>
  <si>
    <t>PackCost</t>
  </si>
  <si>
    <t>Lunar Omni</t>
  </si>
  <si>
    <t>Short Omni</t>
  </si>
  <si>
    <t>Power</t>
  </si>
  <si>
    <t>Mars Imp</t>
  </si>
  <si>
    <t>Mars2040</t>
  </si>
  <si>
    <t>Mars2060</t>
  </si>
  <si>
    <t>Jupiter Imp</t>
  </si>
  <si>
    <t>Pluto Imp</t>
  </si>
  <si>
    <t>Pluto2040</t>
  </si>
  <si>
    <t>Pluto2060</t>
  </si>
  <si>
    <t>Omni2020</t>
  </si>
  <si>
    <t>Wide</t>
  </si>
  <si>
    <t>100cost</t>
  </si>
  <si>
    <t>DSProbe</t>
  </si>
  <si>
    <t>Ton/t</t>
  </si>
  <si>
    <t>BaseTong</t>
  </si>
  <si>
    <t>Lower2.5</t>
  </si>
  <si>
    <t>Lower3.75</t>
  </si>
  <si>
    <t>Commsat</t>
  </si>
  <si>
    <t>MaxScience</t>
  </si>
  <si>
    <t>Margin</t>
  </si>
  <si>
    <t>MarginD</t>
  </si>
  <si>
    <t>M2D</t>
  </si>
  <si>
    <t>ECmass%</t>
  </si>
  <si>
    <t>ProbeSn</t>
  </si>
  <si>
    <t>DeepSn</t>
  </si>
  <si>
    <t>tokW</t>
  </si>
  <si>
    <t>kw</t>
  </si>
  <si>
    <t>Small Upper</t>
  </si>
  <si>
    <t>Hib%P</t>
  </si>
  <si>
    <t>Hib%D</t>
  </si>
  <si>
    <t>MicroUpper</t>
  </si>
  <si>
    <t>Up875Sn</t>
  </si>
  <si>
    <t>Up625Sn</t>
  </si>
  <si>
    <t>RE 1P</t>
  </si>
  <si>
    <t>Land 1P</t>
  </si>
  <si>
    <t>RE 3P</t>
  </si>
  <si>
    <t>Land 2P</t>
  </si>
  <si>
    <t>avionics</t>
  </si>
  <si>
    <t>SAS</t>
  </si>
  <si>
    <t>Level</t>
  </si>
  <si>
    <t>Engines</t>
  </si>
  <si>
    <t>0.1m</t>
  </si>
  <si>
    <t>0.15m</t>
  </si>
  <si>
    <t>0.25m</t>
  </si>
  <si>
    <t>0.5m</t>
  </si>
  <si>
    <t>0.75m</t>
  </si>
  <si>
    <t>0.875m</t>
  </si>
  <si>
    <t>1.0m</t>
  </si>
  <si>
    <t>1.125m</t>
  </si>
  <si>
    <t>1.375m</t>
  </si>
  <si>
    <t>1.5m</t>
  </si>
  <si>
    <t>1.75m</t>
  </si>
  <si>
    <t>1.875m</t>
  </si>
  <si>
    <t>2.0m</t>
  </si>
  <si>
    <t>2.25m</t>
  </si>
  <si>
    <t>2.75m</t>
  </si>
  <si>
    <t>3.0m</t>
  </si>
  <si>
    <t>3.5m</t>
  </si>
  <si>
    <t>4.0m</t>
  </si>
  <si>
    <t>4.5m</t>
  </si>
  <si>
    <t>5.0m</t>
  </si>
  <si>
    <t>6.25m</t>
  </si>
  <si>
    <t>7.5m</t>
  </si>
  <si>
    <t>8.75m</t>
  </si>
  <si>
    <t>10.0m</t>
  </si>
  <si>
    <t>Ion</t>
  </si>
  <si>
    <t>RTGs</t>
  </si>
  <si>
    <t>LowerAv</t>
  </si>
  <si>
    <t>UpperAv</t>
  </si>
  <si>
    <t>Tonnage</t>
  </si>
  <si>
    <t>Lowerx8</t>
  </si>
  <si>
    <t>lower*4</t>
  </si>
  <si>
    <t>Mass3?</t>
  </si>
  <si>
    <t>Mass2.5</t>
  </si>
  <si>
    <t>Vacuum</t>
  </si>
  <si>
    <t>0.3125m</t>
  </si>
  <si>
    <t>Scale</t>
  </si>
  <si>
    <t>VacAero</t>
  </si>
  <si>
    <t>Default</t>
  </si>
  <si>
    <t>0.625/3.75</t>
  </si>
  <si>
    <t>Remass</t>
  </si>
  <si>
    <t>Nuke engine</t>
  </si>
  <si>
    <t>Max Thrust</t>
  </si>
  <si>
    <t>Rad</t>
  </si>
  <si>
    <t>Increase</t>
  </si>
  <si>
    <t>New</t>
  </si>
  <si>
    <t>Aim</t>
  </si>
  <si>
    <t>diff</t>
  </si>
  <si>
    <t>y</t>
  </si>
  <si>
    <t>Newer</t>
  </si>
  <si>
    <t>Inc</t>
  </si>
  <si>
    <t>x</t>
  </si>
  <si>
    <t>Target</t>
  </si>
  <si>
    <t>KerLow</t>
  </si>
  <si>
    <t>KerUp</t>
  </si>
  <si>
    <t>KerLowV</t>
  </si>
  <si>
    <t>KerUpV</t>
  </si>
  <si>
    <t>KerVacV</t>
  </si>
  <si>
    <t>%low</t>
  </si>
  <si>
    <t>KerVac</t>
  </si>
  <si>
    <t>%vac</t>
  </si>
  <si>
    <t>KerLowA</t>
  </si>
  <si>
    <t>rocketry1975</t>
  </si>
  <si>
    <t>Factor=&gt;</t>
  </si>
  <si>
    <t>AeroUp</t>
  </si>
  <si>
    <t>AeroVac</t>
  </si>
  <si>
    <t>HyLow</t>
  </si>
  <si>
    <t>HyUp</t>
  </si>
  <si>
    <t>HyVac</t>
  </si>
  <si>
    <t>HyLowA</t>
  </si>
  <si>
    <t>IncTWR</t>
  </si>
  <si>
    <t>IncISP</t>
  </si>
  <si>
    <t>IncISPV</t>
  </si>
  <si>
    <t>IncISPA</t>
  </si>
  <si>
    <t>mass:</t>
  </si>
  <si>
    <t>cap:</t>
  </si>
  <si>
    <t>TWR%</t>
  </si>
  <si>
    <t>ISP+</t>
  </si>
  <si>
    <t>EC/S%</t>
  </si>
  <si>
    <t>%util</t>
  </si>
  <si>
    <t>tech1955</t>
  </si>
  <si>
    <t>eng1960</t>
  </si>
  <si>
    <t>rocketry1960</t>
  </si>
  <si>
    <t>rocketry1965</t>
  </si>
  <si>
    <t>rocketry1970</t>
  </si>
  <si>
    <t>rocketry1980</t>
  </si>
  <si>
    <t>rocketry1995</t>
  </si>
  <si>
    <t>rocketry2005</t>
  </si>
  <si>
    <t>rocketry2020</t>
  </si>
  <si>
    <t>rocketry2040</t>
  </si>
  <si>
    <t>rocketry2060</t>
  </si>
  <si>
    <t>nuclear1970</t>
  </si>
  <si>
    <t>nuclear1980</t>
  </si>
  <si>
    <t>nuclear1995</t>
  </si>
  <si>
    <t>nuclear2020</t>
  </si>
  <si>
    <t>fuel1970</t>
  </si>
  <si>
    <t>fuel1980</t>
  </si>
  <si>
    <t>fuel1995</t>
  </si>
  <si>
    <t>fuel2020</t>
  </si>
  <si>
    <t>fuel2040</t>
  </si>
  <si>
    <t>fuel2060</t>
  </si>
  <si>
    <t>eng1965</t>
  </si>
  <si>
    <t>eng1970</t>
  </si>
  <si>
    <t>eng1975</t>
  </si>
  <si>
    <t>eng1980</t>
  </si>
  <si>
    <t>eng1985</t>
  </si>
  <si>
    <t>eng1995</t>
  </si>
  <si>
    <t>eng2005</t>
  </si>
  <si>
    <t>eng2020</t>
  </si>
  <si>
    <t>electrics1960</t>
  </si>
  <si>
    <t>electrics1965</t>
  </si>
  <si>
    <t>electrics1970</t>
  </si>
  <si>
    <t>electrics1975</t>
  </si>
  <si>
    <t>electrics1980</t>
  </si>
  <si>
    <t>electrics1985</t>
  </si>
  <si>
    <t>rtg1975</t>
  </si>
  <si>
    <t>rtg1985</t>
  </si>
  <si>
    <t>rtg2005</t>
  </si>
  <si>
    <t>electrics1995</t>
  </si>
  <si>
    <t>electrics2005</t>
  </si>
  <si>
    <t>electrics2020</t>
  </si>
  <si>
    <t>science1970</t>
  </si>
  <si>
    <t>science1975</t>
  </si>
  <si>
    <t>science1985</t>
  </si>
  <si>
    <t>science1995</t>
  </si>
  <si>
    <t>science2005</t>
  </si>
  <si>
    <t>science2020</t>
  </si>
  <si>
    <t>science2040</t>
  </si>
  <si>
    <t>science2060</t>
  </si>
  <si>
    <t>probes1970</t>
  </si>
  <si>
    <t>probes1975</t>
  </si>
  <si>
    <t>probes1980</t>
  </si>
  <si>
    <t>probes1985</t>
  </si>
  <si>
    <t>probes1995</t>
  </si>
  <si>
    <t>probes2005</t>
  </si>
  <si>
    <t>probes2060</t>
  </si>
  <si>
    <t>comms1970</t>
  </si>
  <si>
    <t>comms1975</t>
  </si>
  <si>
    <t>comms1980</t>
  </si>
  <si>
    <t>comms2040</t>
  </si>
  <si>
    <t>comms2060</t>
  </si>
  <si>
    <t>capsules1960</t>
  </si>
  <si>
    <t>capsules1965</t>
  </si>
  <si>
    <t>capsules1970</t>
  </si>
  <si>
    <t>capsules1980</t>
  </si>
  <si>
    <t>capsules1995</t>
  </si>
  <si>
    <t>capsules2005</t>
  </si>
  <si>
    <t>capsules2020</t>
  </si>
  <si>
    <t>cryorocketry</t>
  </si>
  <si>
    <t>RDicon_scienceTech</t>
  </si>
  <si>
    <t>RDicon_rocketry-advanced</t>
  </si>
  <si>
    <t>RDicon_electrics</t>
  </si>
  <si>
    <t>RDicon_commandmodules</t>
  </si>
  <si>
    <t>RDicon_fuelSystems-advanced</t>
  </si>
  <si>
    <t>RDicon_propulsion-nuclear</t>
  </si>
  <si>
    <t>RDicon_unmanned-advanced</t>
  </si>
  <si>
    <t>RDicon_propulsion-ion</t>
  </si>
  <si>
    <t>RDicon_electrics-advanced</t>
  </si>
  <si>
    <t>RDicon_probes-large</t>
  </si>
  <si>
    <t>RDicon_electrics-experimental</t>
  </si>
  <si>
    <t>RDicon_propulsionSystems</t>
  </si>
  <si>
    <t>cryorocketry1965</t>
  </si>
  <si>
    <t>cryorocketry1970</t>
  </si>
  <si>
    <t>cryorocketry1975</t>
  </si>
  <si>
    <t>cryorocketry1980</t>
  </si>
  <si>
    <t>cryorocketry1995</t>
  </si>
  <si>
    <t>cryorocketry2005</t>
  </si>
  <si>
    <t>cryorocketry2020</t>
  </si>
  <si>
    <t>cryorocketry2040</t>
  </si>
  <si>
    <t>cryorocketry2060</t>
  </si>
  <si>
    <t>nukerocketry1975</t>
  </si>
  <si>
    <t>nukerocketry1985</t>
  </si>
  <si>
    <t>nukerocketry1995</t>
  </si>
  <si>
    <t>nukerocketry2005</t>
  </si>
  <si>
    <t>nukerocketry2020</t>
  </si>
  <si>
    <t>nukerocketry2040</t>
  </si>
  <si>
    <t>nukerocketry2060</t>
  </si>
  <si>
    <t>plasma2005</t>
  </si>
  <si>
    <t>plasma2020</t>
  </si>
  <si>
    <t>plasma2040</t>
  </si>
  <si>
    <t>plasma2060</t>
  </si>
  <si>
    <t>ionPropulsion2020</t>
  </si>
  <si>
    <t>ionPropulsion2005</t>
  </si>
  <si>
    <t>ionPropulsion1995</t>
  </si>
  <si>
    <t>ionPropulsion1980</t>
  </si>
  <si>
    <t>avionicsPrototypes</t>
  </si>
  <si>
    <t>earlyAvionics</t>
  </si>
  <si>
    <t>basicAvionics</t>
  </si>
  <si>
    <t>interplanetaryProbes</t>
  </si>
  <si>
    <t>improvedAvionics</t>
  </si>
  <si>
    <t>matureAvionics</t>
  </si>
  <si>
    <t>largeScaleAvionics</t>
  </si>
  <si>
    <t>advancedAvionics</t>
  </si>
  <si>
    <t>nextGenAvionics</t>
  </si>
  <si>
    <t>longTermAvionics</t>
  </si>
  <si>
    <t>internationalAvionics</t>
  </si>
  <si>
    <t>modernAvionics</t>
  </si>
  <si>
    <t>Near-Earth</t>
  </si>
  <si>
    <t>MassFact</t>
  </si>
  <si>
    <t>PowerFact</t>
  </si>
  <si>
    <t>Deep-Space</t>
  </si>
  <si>
    <t>Science-Core</t>
  </si>
  <si>
    <t>Power/Mass</t>
  </si>
  <si>
    <t>NE</t>
  </si>
  <si>
    <t>DS</t>
  </si>
  <si>
    <t>Mass/Mass</t>
  </si>
  <si>
    <t>DS/NE</t>
  </si>
  <si>
    <t>GTT</t>
  </si>
  <si>
    <t>RP0</t>
  </si>
  <si>
    <t>SRB</t>
  </si>
  <si>
    <t>eng2040</t>
  </si>
  <si>
    <t>Thrust1m</t>
  </si>
  <si>
    <t>SS SRB</t>
  </si>
  <si>
    <t>Diameter</t>
  </si>
  <si>
    <t>kN ASL</t>
  </si>
  <si>
    <t>Pred</t>
  </si>
  <si>
    <t>Decrease</t>
  </si>
  <si>
    <t>eng2060</t>
  </si>
  <si>
    <t>Costing</t>
  </si>
  <si>
    <t>Total</t>
  </si>
  <si>
    <t>capsules2040</t>
  </si>
  <si>
    <t>capsules2060</t>
  </si>
  <si>
    <t>Cumul</t>
  </si>
  <si>
    <t>Cumulative</t>
  </si>
  <si>
    <t>40000 science to unlock entire tree</t>
  </si>
  <si>
    <t>SampleReturn</t>
  </si>
  <si>
    <t>Orbit Only</t>
  </si>
  <si>
    <t>Surface Only</t>
  </si>
  <si>
    <t>SUM=&gt;</t>
  </si>
  <si>
    <t>SUM_INNER=&gt;</t>
  </si>
  <si>
    <t>SUM_LIKELY=&gt;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</si>
</sst>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00000000"/>
    <numFmt numFmtId="167" formatCode="0.0000000000"/>
    <numFmt numFmtId="168" formatCode="0.00000"/>
    <numFmt numFmtId="169" formatCode="0.0000000"/>
    <numFmt numFmtId="170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/>
    <xf numFmtId="2" fontId="0" fillId="0" borderId="0" xfId="0" applyNumberFormat="1"/>
    <xf numFmtId="164" fontId="0" fillId="0" borderId="0" xfId="0" applyNumberFormat="1"/>
    <xf numFmtId="2" fontId="0" fillId="4" borderId="0" xfId="0" applyNumberFormat="1" applyFill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5" borderId="0" xfId="0" applyFill="1"/>
    <xf numFmtId="164" fontId="0" fillId="5" borderId="0" xfId="0" applyNumberFormat="1" applyFill="1"/>
    <xf numFmtId="0" fontId="0" fillId="4" borderId="0" xfId="0" applyFill="1" applyBorder="1"/>
    <xf numFmtId="0" fontId="2" fillId="0" borderId="0" xfId="0" applyFont="1"/>
    <xf numFmtId="0" fontId="0" fillId="0" borderId="0" xfId="0" applyFill="1" applyBorder="1"/>
    <xf numFmtId="0" fontId="1" fillId="4" borderId="0" xfId="0" applyFont="1" applyFill="1"/>
    <xf numFmtId="0" fontId="0" fillId="5" borderId="0" xfId="0" applyFill="1" applyAlignment="1">
      <alignment horizontal="center"/>
    </xf>
    <xf numFmtId="0" fontId="0" fillId="5" borderId="7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7" xfId="0" applyNumberFormat="1" applyBorder="1"/>
    <xf numFmtId="0" fontId="0" fillId="2" borderId="7" xfId="0" applyFill="1" applyBorder="1"/>
    <xf numFmtId="2" fontId="0" fillId="5" borderId="0" xfId="0" applyNumberFormat="1" applyFill="1"/>
    <xf numFmtId="164" fontId="0" fillId="5" borderId="7" xfId="0" applyNumberFormat="1" applyFill="1" applyBorder="1"/>
    <xf numFmtId="0" fontId="4" fillId="0" borderId="0" xfId="0" applyFont="1" applyFill="1"/>
    <xf numFmtId="164" fontId="4" fillId="0" borderId="7" xfId="0" applyNumberFormat="1" applyFont="1" applyFill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1" fillId="0" borderId="0" xfId="0" applyFont="1"/>
    <xf numFmtId="0" fontId="5" fillId="0" borderId="0" xfId="0" applyFont="1"/>
    <xf numFmtId="0" fontId="0" fillId="0" borderId="0" xfId="0" applyFont="1"/>
    <xf numFmtId="165" fontId="0" fillId="0" borderId="0" xfId="0" applyNumberFormat="1"/>
    <xf numFmtId="165" fontId="0" fillId="5" borderId="0" xfId="0" applyNumberFormat="1" applyFill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quotePrefix="1"/>
    <xf numFmtId="0" fontId="1" fillId="2" borderId="0" xfId="0" applyFont="1" applyFill="1"/>
    <xf numFmtId="9" fontId="0" fillId="0" borderId="0" xfId="0" applyNumberFormat="1"/>
    <xf numFmtId="11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7" borderId="0" xfId="0" applyFill="1"/>
    <xf numFmtId="0" fontId="0" fillId="8" borderId="0" xfId="0" applyFill="1"/>
    <xf numFmtId="0" fontId="0" fillId="3" borderId="0" xfId="0" applyFill="1"/>
    <xf numFmtId="11" fontId="0" fillId="2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0" applyNumberFormat="1"/>
    <xf numFmtId="0" fontId="4" fillId="2" borderId="0" xfId="0" applyFont="1" applyFill="1"/>
    <xf numFmtId="0" fontId="4" fillId="0" borderId="0" xfId="0" applyFont="1"/>
    <xf numFmtId="11" fontId="0" fillId="0" borderId="0" xfId="0" applyNumberFormat="1" applyFill="1"/>
    <xf numFmtId="165" fontId="0" fillId="0" borderId="0" xfId="0" applyNumberFormat="1" applyFill="1"/>
    <xf numFmtId="169" fontId="0" fillId="0" borderId="0" xfId="0" applyNumberFormat="1"/>
    <xf numFmtId="170" fontId="0" fillId="0" borderId="0" xfId="0" applyNumberFormat="1"/>
    <xf numFmtId="169" fontId="0" fillId="5" borderId="0" xfId="0" applyNumberFormat="1" applyFill="1"/>
    <xf numFmtId="0" fontId="0" fillId="0" borderId="0" xfId="0" applyBorder="1"/>
    <xf numFmtId="0" fontId="0" fillId="0" borderId="0" xfId="0" applyAlignment="1">
      <alignment horizontal="center"/>
    </xf>
    <xf numFmtId="2" fontId="0" fillId="0" borderId="0" xfId="0" applyNumberFormat="1" applyFill="1"/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 applyAlignment="1">
      <alignment vertical="center"/>
    </xf>
    <xf numFmtId="0" fontId="0" fillId="0" borderId="11" xfId="0" applyBorder="1"/>
    <xf numFmtId="0" fontId="7" fillId="0" borderId="1" xfId="0" applyFont="1" applyFill="1" applyBorder="1"/>
    <xf numFmtId="0" fontId="2" fillId="0" borderId="11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Science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Science!$B$1</c:f>
              <c:strCache>
                <c:ptCount val="1"/>
                <c:pt idx="0">
                  <c:v>Orbital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Science!$A$2:$A$13</c:f>
              <c:numCache>
                <c:formatCode>General</c:formatCode>
                <c:ptCount val="12"/>
                <c:pt idx="0">
                  <c:v>1945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1985</c:v>
                </c:pt>
                <c:pt idx="7">
                  <c:v>1995</c:v>
                </c:pt>
                <c:pt idx="8">
                  <c:v>2005</c:v>
                </c:pt>
                <c:pt idx="9">
                  <c:v>2020</c:v>
                </c:pt>
                <c:pt idx="10">
                  <c:v>2040</c:v>
                </c:pt>
                <c:pt idx="11">
                  <c:v>2060</c:v>
                </c:pt>
              </c:numCache>
            </c:numRef>
          </c:xVal>
          <c:yVal>
            <c:numRef>
              <c:f>Science!$B$2:$B$13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28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E-4F8B-9599-8F20875D7C35}"/>
            </c:ext>
          </c:extLst>
        </c:ser>
        <c:ser>
          <c:idx val="1"/>
          <c:order val="1"/>
          <c:tx>
            <c:strRef>
              <c:f>Science!$C$1</c:f>
              <c:strCache>
                <c:ptCount val="1"/>
                <c:pt idx="0">
                  <c:v>Atmos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Science!$A$2:$A$13</c:f>
              <c:numCache>
                <c:formatCode>General</c:formatCode>
                <c:ptCount val="12"/>
                <c:pt idx="0">
                  <c:v>1945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1985</c:v>
                </c:pt>
                <c:pt idx="7">
                  <c:v>1995</c:v>
                </c:pt>
                <c:pt idx="8">
                  <c:v>2005</c:v>
                </c:pt>
                <c:pt idx="9">
                  <c:v>2020</c:v>
                </c:pt>
                <c:pt idx="10">
                  <c:v>2040</c:v>
                </c:pt>
                <c:pt idx="11">
                  <c:v>2060</c:v>
                </c:pt>
              </c:numCache>
            </c:numRef>
          </c:xVal>
          <c:yVal>
            <c:numRef>
              <c:f>Science!$C$2:$C$13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E-4F8B-9599-8F20875D7C35}"/>
            </c:ext>
          </c:extLst>
        </c:ser>
        <c:ser>
          <c:idx val="2"/>
          <c:order val="2"/>
          <c:tx>
            <c:strRef>
              <c:f>Science!$D$1</c:f>
              <c:strCache>
                <c:ptCount val="1"/>
                <c:pt idx="0">
                  <c:v>Surface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Science!$A$2:$A$13</c:f>
              <c:numCache>
                <c:formatCode>General</c:formatCode>
                <c:ptCount val="12"/>
                <c:pt idx="0">
                  <c:v>1945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1985</c:v>
                </c:pt>
                <c:pt idx="7">
                  <c:v>1995</c:v>
                </c:pt>
                <c:pt idx="8">
                  <c:v>2005</c:v>
                </c:pt>
                <c:pt idx="9">
                  <c:v>2020</c:v>
                </c:pt>
                <c:pt idx="10">
                  <c:v>2040</c:v>
                </c:pt>
                <c:pt idx="11">
                  <c:v>2060</c:v>
                </c:pt>
              </c:numCache>
            </c:numRef>
          </c:xVal>
          <c:yVal>
            <c:numRef>
              <c:f>Science!$D$2:$D$13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39</c:v>
                </c:pt>
                <c:pt idx="9">
                  <c:v>46</c:v>
                </c:pt>
                <c:pt idx="10">
                  <c:v>51</c:v>
                </c:pt>
                <c:pt idx="11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E-4F8B-9599-8F20875D7C35}"/>
            </c:ext>
          </c:extLst>
        </c:ser>
        <c:ser>
          <c:idx val="3"/>
          <c:order val="3"/>
          <c:tx>
            <c:strRef>
              <c:f>Science!$E$1</c:f>
              <c:strCache>
                <c:ptCount val="1"/>
                <c:pt idx="0">
                  <c:v>SampleReturn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Science!$A$2:$A$13</c:f>
              <c:numCache>
                <c:formatCode>General</c:formatCode>
                <c:ptCount val="12"/>
                <c:pt idx="0">
                  <c:v>1945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1985</c:v>
                </c:pt>
                <c:pt idx="7">
                  <c:v>1995</c:v>
                </c:pt>
                <c:pt idx="8">
                  <c:v>2005</c:v>
                </c:pt>
                <c:pt idx="9">
                  <c:v>2020</c:v>
                </c:pt>
                <c:pt idx="10">
                  <c:v>2040</c:v>
                </c:pt>
                <c:pt idx="11">
                  <c:v>2060</c:v>
                </c:pt>
              </c:numCache>
            </c:numRef>
          </c:xVal>
          <c:yVal>
            <c:numRef>
              <c:f>Science!$E$2:$E$13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56</c:v>
                </c:pt>
                <c:pt idx="10">
                  <c:v>56</c:v>
                </c:pt>
                <c:pt idx="1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E-4F8B-9599-8F20875D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0639"/>
        <c:axId val="538391055"/>
      </c:scatterChart>
      <c:valAx>
        <c:axId val="5383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055"/>
        <c:crosses val="autoZero"/>
        <c:crossBetween val="midCat"/>
      </c:valAx>
      <c:valAx>
        <c:axId val="5383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539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Tweakscale!$Q$21:$Q$25</c:f>
              <c:numCache>
                <c:formatCode>General</c:formatCode>
                <c:ptCount val="5"/>
                <c:pt idx="0">
                  <c:v>0.67349999999999999</c:v>
                </c:pt>
                <c:pt idx="1">
                  <c:v>0.57560999999999996</c:v>
                </c:pt>
                <c:pt idx="2">
                  <c:v>0.52280000000000004</c:v>
                </c:pt>
                <c:pt idx="3">
                  <c:v>0.5</c:v>
                </c:pt>
                <c:pt idx="4">
                  <c:v>7.3499999999999996E-2</c:v>
                </c:pt>
              </c:numCache>
            </c:numRef>
          </c:xVal>
          <c:yVal>
            <c:numRef>
              <c:f>Tweakscale!$R$21:$R$25</c:f>
              <c:numCache>
                <c:formatCode>General</c:formatCode>
                <c:ptCount val="5"/>
                <c:pt idx="0">
                  <c:v>2.2269999999999999</c:v>
                </c:pt>
                <c:pt idx="1">
                  <c:v>2.19</c:v>
                </c:pt>
                <c:pt idx="2">
                  <c:v>2.1705000000000001</c:v>
                </c:pt>
                <c:pt idx="3">
                  <c:v>2.161</c:v>
                </c:pt>
                <c:pt idx="4">
                  <c:v>2.0219999999999998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A-4A3D-8764-AB3A0758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06063"/>
        <c:axId val="207006895"/>
      </c:scatterChart>
      <c:valAx>
        <c:axId val="2070060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6895"/>
        <c:crosses val="autoZero"/>
        <c:crossBetween val="midCat"/>
      </c:valAx>
      <c:valAx>
        <c:axId val="2070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Fuel!$A$13:$A$21</c:f>
              <c:numCache>
                <c:formatCode>General</c:formatCode>
                <c:ptCount val="9"/>
                <c:pt idx="0">
                  <c:v>1945</c:v>
                </c:pt>
                <c:pt idx="1">
                  <c:v>1955</c:v>
                </c:pt>
                <c:pt idx="2">
                  <c:v>1965</c:v>
                </c:pt>
                <c:pt idx="3">
                  <c:v>1970</c:v>
                </c:pt>
                <c:pt idx="4">
                  <c:v>1980</c:v>
                </c:pt>
                <c:pt idx="5">
                  <c:v>1995</c:v>
                </c:pt>
                <c:pt idx="6">
                  <c:v>2020</c:v>
                </c:pt>
                <c:pt idx="7">
                  <c:v>2040</c:v>
                </c:pt>
                <c:pt idx="8">
                  <c:v>2060</c:v>
                </c:pt>
              </c:numCache>
            </c:numRef>
          </c:xVal>
          <c:yVal>
            <c:numRef>
              <c:f>Fuel!$B$13:$B$21</c:f>
              <c:numCache>
                <c:formatCode>General</c:formatCode>
                <c:ptCount val="9"/>
                <c:pt idx="0">
                  <c:v>0.125</c:v>
                </c:pt>
                <c:pt idx="1">
                  <c:v>0.08</c:v>
                </c:pt>
                <c:pt idx="2">
                  <c:v>5.7500000000000002E-2</c:v>
                </c:pt>
                <c:pt idx="3">
                  <c:v>0.05</c:v>
                </c:pt>
                <c:pt idx="4">
                  <c:v>0.04</c:v>
                </c:pt>
                <c:pt idx="5">
                  <c:v>3.0000000000000002E-2</c:v>
                </c:pt>
                <c:pt idx="6">
                  <c:v>2.3E-2</c:v>
                </c:pt>
                <c:pt idx="7">
                  <c:v>0.02</c:v>
                </c:pt>
                <c:pt idx="8">
                  <c:v>1.9E-2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0-468E-A28A-2020DF653E83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Fuel!$A$13:$A$21</c:f>
              <c:numCache>
                <c:formatCode>General</c:formatCode>
                <c:ptCount val="9"/>
                <c:pt idx="0">
                  <c:v>1945</c:v>
                </c:pt>
                <c:pt idx="1">
                  <c:v>1955</c:v>
                </c:pt>
                <c:pt idx="2">
                  <c:v>1965</c:v>
                </c:pt>
                <c:pt idx="3">
                  <c:v>1970</c:v>
                </c:pt>
                <c:pt idx="4">
                  <c:v>1980</c:v>
                </c:pt>
                <c:pt idx="5">
                  <c:v>1995</c:v>
                </c:pt>
                <c:pt idx="6">
                  <c:v>2020</c:v>
                </c:pt>
                <c:pt idx="7">
                  <c:v>2040</c:v>
                </c:pt>
                <c:pt idx="8">
                  <c:v>2060</c:v>
                </c:pt>
              </c:numCache>
            </c:numRef>
          </c:xVal>
          <c:yVal>
            <c:numRef>
              <c:f>Fuel!$C$13:$C$21</c:f>
              <c:numCache>
                <c:formatCode>General</c:formatCode>
                <c:ptCount val="9"/>
                <c:pt idx="0">
                  <c:v>0.3</c:v>
                </c:pt>
                <c:pt idx="1">
                  <c:v>0.22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0.11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4.4999999999999998E-2</c:v>
                </c:pt>
                <c:pt idx="8">
                  <c:v>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0-468E-A28A-2020DF653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73120"/>
        <c:axId val="1867065216"/>
      </c:scatterChart>
      <c:valAx>
        <c:axId val="1867073120"/>
        <c:scaling>
          <c:orientation val="minMax"/>
          <c:min val="19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65216"/>
        <c:crosses val="autoZero"/>
        <c:crossBetween val="midCat"/>
        <c:majorUnit val="10"/>
      </c:valAx>
      <c:valAx>
        <c:axId val="1867065216"/>
        <c:scaling>
          <c:orientation val="minMax"/>
          <c:max val="0.30000000000000004"/>
          <c:min val="1.8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7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AMU</a:t>
            </a:r>
            <a:r>
              <a:rPr lang="en-GB" baseline="0"/>
              <a:t> vs ISP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4899825021872266E-2"/>
                  <c:y val="-0.32322543015456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Ion!$B$50:$B$54</c:f>
              <c:numCache>
                <c:formatCode>General</c:formatCode>
                <c:ptCount val="5"/>
                <c:pt idx="0">
                  <c:v>131.30000000000001</c:v>
                </c:pt>
                <c:pt idx="1">
                  <c:v>83.8</c:v>
                </c:pt>
                <c:pt idx="2">
                  <c:v>39.9</c:v>
                </c:pt>
                <c:pt idx="3">
                  <c:v>20.2</c:v>
                </c:pt>
                <c:pt idx="4">
                  <c:v>4</c:v>
                </c:pt>
              </c:numCache>
            </c:numRef>
          </c:xVal>
          <c:yVal>
            <c:numRef>
              <c:f>Ion!$D$50:$D$54</c:f>
              <c:numCache>
                <c:formatCode>General</c:formatCode>
                <c:ptCount val="5"/>
                <c:pt idx="0">
                  <c:v>3359</c:v>
                </c:pt>
                <c:pt idx="1">
                  <c:v>4205</c:v>
                </c:pt>
                <c:pt idx="2">
                  <c:v>6090</c:v>
                </c:pt>
                <c:pt idx="3">
                  <c:v>8569</c:v>
                </c:pt>
                <c:pt idx="4">
                  <c:v>19241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F-4B9C-9C12-85F4D336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41935"/>
        <c:axId val="662239439"/>
      </c:scatterChart>
      <c:valAx>
        <c:axId val="6622419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39439"/>
        <c:crosses val="autoZero"/>
        <c:crossBetween val="midCat"/>
      </c:valAx>
      <c:valAx>
        <c:axId val="662239439"/>
        <c:scaling>
          <c:logBase val="10"/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4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AMU vs W/mN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Ion!$B$50:$B$54</c:f>
              <c:numCache>
                <c:formatCode>General</c:formatCode>
                <c:ptCount val="5"/>
                <c:pt idx="0">
                  <c:v>131.30000000000001</c:v>
                </c:pt>
                <c:pt idx="1">
                  <c:v>83.8</c:v>
                </c:pt>
                <c:pt idx="2">
                  <c:v>39.9</c:v>
                </c:pt>
                <c:pt idx="3">
                  <c:v>20.2</c:v>
                </c:pt>
                <c:pt idx="4">
                  <c:v>4</c:v>
                </c:pt>
              </c:numCache>
            </c:numRef>
          </c:xVal>
          <c:yVal>
            <c:numRef>
              <c:f>Ion!$E$50:$E$54</c:f>
              <c:numCache>
                <c:formatCode>General</c:formatCode>
                <c:ptCount val="5"/>
                <c:pt idx="0">
                  <c:v>27.8</c:v>
                </c:pt>
                <c:pt idx="1">
                  <c:v>33.1</c:v>
                </c:pt>
                <c:pt idx="2">
                  <c:v>45</c:v>
                </c:pt>
                <c:pt idx="3">
                  <c:v>60.6</c:v>
                </c:pt>
                <c:pt idx="4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1-4B90-8EEA-4EA4A9BE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69231"/>
        <c:axId val="794571727"/>
      </c:scatterChart>
      <c:valAx>
        <c:axId val="7945692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71727"/>
        <c:crosses val="autoZero"/>
        <c:crossBetween val="midCat"/>
      </c:valAx>
      <c:valAx>
        <c:axId val="794571727"/>
        <c:scaling>
          <c:logBase val="10"/>
          <c:orientation val="minMax"/>
          <c:max val="1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6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Near-Earth Mass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RP0Avionics!$B$4:$B$15</c:f>
              <c:numCache>
                <c:formatCode>General</c:formatCode>
                <c:ptCount val="12"/>
                <c:pt idx="0">
                  <c:v>1955</c:v>
                </c:pt>
                <c:pt idx="1">
                  <c:v>1958</c:v>
                </c:pt>
                <c:pt idx="2">
                  <c:v>1960</c:v>
                </c:pt>
                <c:pt idx="3">
                  <c:v>1961</c:v>
                </c:pt>
                <c:pt idx="4">
                  <c:v>1963</c:v>
                </c:pt>
                <c:pt idx="5">
                  <c:v>1966</c:v>
                </c:pt>
                <c:pt idx="6">
                  <c:v>1971</c:v>
                </c:pt>
                <c:pt idx="7">
                  <c:v>1980</c:v>
                </c:pt>
                <c:pt idx="8">
                  <c:v>1985</c:v>
                </c:pt>
                <c:pt idx="9">
                  <c:v>1996</c:v>
                </c:pt>
                <c:pt idx="10">
                  <c:v>2008</c:v>
                </c:pt>
                <c:pt idx="11">
                  <c:v>2018</c:v>
                </c:pt>
              </c:numCache>
            </c:numRef>
          </c:xVal>
          <c:yVal>
            <c:numRef>
              <c:f>RP0Avionics!$C$4:$C$15</c:f>
              <c:numCache>
                <c:formatCode>General</c:formatCode>
                <c:ptCount val="12"/>
                <c:pt idx="0">
                  <c:v>69.712000000000003</c:v>
                </c:pt>
                <c:pt idx="1">
                  <c:v>59.13</c:v>
                </c:pt>
                <c:pt idx="2">
                  <c:v>50.152999999999999</c:v>
                </c:pt>
                <c:pt idx="3">
                  <c:v>42.54</c:v>
                </c:pt>
                <c:pt idx="4">
                  <c:v>36.082000000000001</c:v>
                </c:pt>
                <c:pt idx="5">
                  <c:v>30.605</c:v>
                </c:pt>
                <c:pt idx="6">
                  <c:v>25.959</c:v>
                </c:pt>
                <c:pt idx="7">
                  <c:v>22.018000000000001</c:v>
                </c:pt>
                <c:pt idx="8">
                  <c:v>18.675000000000001</c:v>
                </c:pt>
                <c:pt idx="9">
                  <c:v>15.84</c:v>
                </c:pt>
                <c:pt idx="10">
                  <c:v>13.436</c:v>
                </c:pt>
                <c:pt idx="11">
                  <c:v>11.396000000000001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9-4CBD-A6D8-4DC18A52F53B}"/>
            </c:ext>
          </c:extLst>
        </c:ser>
        <c:ser>
          <c:idx val="2"/>
          <c:order val="1"/>
          <c:tx>
            <c:v>GTT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RP0Avionics!$N$3:$N$15</c:f>
              <c:numCache>
                <c:formatCode>General</c:formatCode>
                <c:ptCount val="13"/>
                <c:pt idx="0">
                  <c:v>1945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1995</c:v>
                </c:pt>
                <c:pt idx="9">
                  <c:v>2005</c:v>
                </c:pt>
                <c:pt idx="10">
                  <c:v>2020</c:v>
                </c:pt>
                <c:pt idx="11">
                  <c:v>2040</c:v>
                </c:pt>
                <c:pt idx="12">
                  <c:v>2060</c:v>
                </c:pt>
              </c:numCache>
            </c:numRef>
          </c:xVal>
          <c:yVal>
            <c:numRef>
              <c:f>RP0Avionics!$O$3:$O$15</c:f>
              <c:numCache>
                <c:formatCode>General</c:formatCode>
                <c:ptCount val="13"/>
                <c:pt idx="0">
                  <c:v>87.99</c:v>
                </c:pt>
                <c:pt idx="1">
                  <c:v>69.712000000000003</c:v>
                </c:pt>
                <c:pt idx="2">
                  <c:v>50.152999999999999</c:v>
                </c:pt>
                <c:pt idx="3">
                  <c:v>31.2</c:v>
                </c:pt>
                <c:pt idx="4">
                  <c:v>26.4</c:v>
                </c:pt>
                <c:pt idx="5">
                  <c:v>24.05</c:v>
                </c:pt>
                <c:pt idx="6">
                  <c:v>21.2</c:v>
                </c:pt>
                <c:pt idx="7">
                  <c:v>19.100000000000001</c:v>
                </c:pt>
                <c:pt idx="8">
                  <c:v>16.03</c:v>
                </c:pt>
                <c:pt idx="9">
                  <c:v>13.61</c:v>
                </c:pt>
                <c:pt idx="10">
                  <c:v>11.003</c:v>
                </c:pt>
                <c:pt idx="11">
                  <c:v>9.1999999999999993</c:v>
                </c:pt>
                <c:pt idx="12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A9-4CBD-A6D8-4DC18A52F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069423"/>
        <c:axId val="1735076079"/>
      </c:scatterChart>
      <c:valAx>
        <c:axId val="17350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76079"/>
        <c:crosses val="autoZero"/>
        <c:crossBetween val="midCat"/>
      </c:valAx>
      <c:valAx>
        <c:axId val="17350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371475</xdr:colOff>
      <xdr:row>13</xdr:row>
      <xdr:rowOff>184149</xdr:rowOff>
    </xdr:from>
    <xdr:ext cx="238125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45D302-88D9-47DC-9750-F9BD3ED0A88B}"/>
            </a:ext>
          </a:extLst>
        </xdr:cNvPr>
        <xdr:cNvSpPr txBox="1"/>
      </xdr:nvSpPr>
      <xdr:spPr>
        <a:xfrm>
          <a:off x="10779125" y="2578099"/>
          <a:ext cx="2381250" cy="9534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ISPatm</a:t>
          </a:r>
          <a:r>
            <a:rPr lang="en-GB" sz="1100" baseline="0"/>
            <a:t> for non-Kerolox:</a:t>
          </a:r>
        </a:p>
        <a:p>
          <a:r>
            <a:rPr lang="en-GB" sz="1100" baseline="0"/>
            <a:t>Upper = 0.7</a:t>
          </a:r>
        </a:p>
        <a:p>
          <a:r>
            <a:rPr lang="en-GB" sz="1100" baseline="0"/>
            <a:t>Vac = 0.3</a:t>
          </a:r>
        </a:p>
        <a:p>
          <a:endParaRPr lang="en-GB" sz="1100" baseline="0"/>
        </a:p>
        <a:p>
          <a:endParaRPr lang="en-GB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15</xdr:row>
      <xdr:rowOff>38100</xdr:rowOff>
    </xdr:from>
    <xdr:to>
      <xdr:col>7</xdr:col>
      <xdr:colOff>425449</xdr:colOff>
      <xdr:row>36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A7526B-1444-4F31-82D9-2C9406ABD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127000</xdr:colOff>
      <xdr:row>15</xdr:row>
      <xdr:rowOff>152400</xdr:rowOff>
    </xdr:from>
    <xdr:ext cx="2711450" cy="3364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EA2704-3533-4CA9-8F7D-54A92F0D886C}"/>
            </a:ext>
          </a:extLst>
        </xdr:cNvPr>
        <xdr:cNvSpPr txBox="1"/>
      </xdr:nvSpPr>
      <xdr:spPr>
        <a:xfrm>
          <a:off x="3683000" y="2914650"/>
          <a:ext cx="2711450" cy="33646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1970: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Orbital = 15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Surface = 10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Atmos = 10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1995: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Orbital = 24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Surface = 30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Atmos = 20</a:t>
          </a:r>
          <a:endParaRPr lang="en-GB">
            <a:effectLst/>
          </a:endParaRPr>
        </a:p>
        <a:p>
          <a:endParaRPr lang="en-GB" sz="1100"/>
        </a:p>
        <a:p>
          <a:r>
            <a:rPr lang="en-GB" sz="1100"/>
            <a:t>2020: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Orbital = 27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Surface = 46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Atmos = 25</a:t>
          </a:r>
          <a:endParaRPr lang="en-GB">
            <a:effectLst/>
          </a:endParaRPr>
        </a:p>
        <a:p>
          <a:endParaRPr lang="en-GB" sz="1100" baseline="0"/>
        </a:p>
        <a:p>
          <a:r>
            <a:rPr lang="en-GB" sz="1100" baseline="0"/>
            <a:t>2060: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Orbital = 31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Surface = 54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Atmos = 35</a:t>
          </a:r>
          <a:endParaRPr lang="en-GB">
            <a:effectLst/>
          </a:endParaRPr>
        </a:p>
      </xdr:txBody>
    </xdr:sp>
    <xdr:clientData/>
  </xdr:oneCellAnchor>
  <xdr:twoCellAnchor>
    <xdr:from>
      <xdr:col>5</xdr:col>
      <xdr:colOff>104775</xdr:colOff>
      <xdr:row>0</xdr:row>
      <xdr:rowOff>25400</xdr:rowOff>
    </xdr:from>
    <xdr:to>
      <xdr:col>12</xdr:col>
      <xdr:colOff>520700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B67E4-9098-409E-8C13-E1CCCC366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295275</xdr:colOff>
      <xdr:row>41</xdr:row>
      <xdr:rowOff>85723</xdr:rowOff>
    </xdr:from>
    <xdr:ext cx="3670300" cy="18288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1BD7F0-00BA-4E5A-A296-866EB97CE20C}"/>
            </a:ext>
          </a:extLst>
        </xdr:cNvPr>
        <xdr:cNvSpPr txBox="1"/>
      </xdr:nvSpPr>
      <xdr:spPr>
        <a:xfrm>
          <a:off x="2124075" y="7505698"/>
          <a:ext cx="3670300" cy="18288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Copy or delete contents:</a:t>
          </a:r>
        </a:p>
        <a:p>
          <a:r>
            <a:rPr lang="en-GB" sz="1100"/>
            <a:t>-Landing, advanced landing, heavy landing</a:t>
          </a:r>
        </a:p>
        <a:p>
          <a:r>
            <a:rPr lang="en-GB" sz="1100"/>
            <a:t>-specialised</a:t>
          </a:r>
          <a:r>
            <a:rPr lang="en-GB" sz="1100" baseline="0"/>
            <a:t> control</a:t>
          </a:r>
        </a:p>
        <a:p>
          <a:r>
            <a:rPr lang="en-GB" sz="1100"/>
            <a:t>-aerodynamics,</a:t>
          </a:r>
          <a:r>
            <a:rPr lang="en-GB" sz="1100" baseline="0"/>
            <a:t> supersonicflight, highaltitiudeflight</a:t>
          </a:r>
        </a:p>
        <a:p>
          <a:r>
            <a:rPr lang="en-GB" sz="1100" baseline="0"/>
            <a:t>-hypersonic flight, aerospaceTech</a:t>
          </a:r>
        </a:p>
        <a:p>
          <a:r>
            <a:rPr lang="en-GB" sz="1100" baseline="0"/>
            <a:t>-advAerodynamics, heavyAerodynamics</a:t>
          </a:r>
        </a:p>
        <a:p>
          <a:r>
            <a:rPr lang="en-GB" sz="1100" baseline="0"/>
            <a:t>-experimentalAerodynamics, aerospaceComposites</a:t>
          </a:r>
        </a:p>
        <a:p>
          <a:r>
            <a:rPr lang="en-GB" sz="1100" baseline="0"/>
            <a:t>-precisionPropulsion and propulsionSystems?</a:t>
          </a:r>
          <a:endParaRPr lang="en-GB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12</xdr:row>
      <xdr:rowOff>106362</xdr:rowOff>
    </xdr:from>
    <xdr:to>
      <xdr:col>15</xdr:col>
      <xdr:colOff>1987550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9F138-88BC-40B4-86D5-2CE3A7EEC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619125</xdr:colOff>
      <xdr:row>35</xdr:row>
      <xdr:rowOff>104773</xdr:rowOff>
    </xdr:from>
    <xdr:ext cx="5575300" cy="27019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F17CE5-346F-4D55-8EC3-280E56532BAE}"/>
            </a:ext>
          </a:extLst>
        </xdr:cNvPr>
        <xdr:cNvSpPr txBox="1"/>
      </xdr:nvSpPr>
      <xdr:spPr>
        <a:xfrm>
          <a:off x="11458575" y="6438898"/>
          <a:ext cx="5575300" cy="270192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-Plan is to have a certain size avionics part attached to each stage based on diameter</a:t>
          </a:r>
        </a:p>
        <a:p>
          <a:r>
            <a:rPr lang="en-GB" sz="1100"/>
            <a:t>-Make sure</a:t>
          </a:r>
          <a:r>
            <a:rPr lang="en-GB" sz="1100" baseline="0"/>
            <a:t> tweakscale works with it</a:t>
          </a:r>
        </a:p>
        <a:p>
          <a:r>
            <a:rPr lang="en-GB" sz="1100" baseline="0"/>
            <a:t>-hibernate on probe cores from 1970 and upper stages from 1995</a:t>
          </a:r>
        </a:p>
        <a:p>
          <a:r>
            <a:rPr lang="en-GB" sz="1100" baseline="0"/>
            <a:t>-have a battery included</a:t>
          </a:r>
        </a:p>
        <a:p>
          <a:r>
            <a:rPr lang="en-GB" sz="1100" baseline="0"/>
            <a:t>-lower stage battery for 3min, upper for 10min, probe for 72hrs, deepProbe for 6wks</a:t>
          </a:r>
        </a:p>
        <a:p>
          <a:endParaRPr lang="en-GB" sz="1100" baseline="0"/>
        </a:p>
        <a:p>
          <a:r>
            <a:rPr lang="en-GB" sz="1100" baseline="0"/>
            <a:t>Reference values:</a:t>
          </a:r>
        </a:p>
        <a:p>
          <a:r>
            <a:rPr lang="en-GB" sz="1100" baseline="0"/>
            <a:t>-have a typical upper stage require 1x6 for power in 1970 (1.6/sec)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nfex-probe-plto-1 @ rescale 0.625</a:t>
          </a:r>
          <a:r>
            <a:rPr lang="en-GB"/>
            <a:t> </a:t>
          </a:r>
        </a:p>
        <a:p>
          <a:endParaRPr lang="en-GB" sz="1100"/>
        </a:p>
        <a:p>
          <a:r>
            <a:rPr lang="en-GB" sz="1100"/>
            <a:t>2005+ Probes have options of </a:t>
          </a:r>
        </a:p>
        <a:p>
          <a:r>
            <a:rPr lang="en-GB" sz="1100"/>
            <a:t>nfex-probe-plto-1 @ rescale 0.625</a:t>
          </a:r>
        </a:p>
        <a:p>
          <a:r>
            <a:rPr lang="en-GB" sz="1100"/>
            <a:t>probeCoreOcto_v2 @ rescale</a:t>
          </a:r>
          <a:r>
            <a:rPr lang="en-GB" sz="1100" baseline="0"/>
            <a:t> 0.833</a:t>
          </a:r>
          <a:endParaRPr lang="en-GB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4</xdr:row>
      <xdr:rowOff>96837</xdr:rowOff>
    </xdr:from>
    <xdr:to>
      <xdr:col>21</xdr:col>
      <xdr:colOff>57150</xdr:colOff>
      <xdr:row>19</xdr:row>
      <xdr:rowOff>131762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973B2-828C-4D87-82D3-15AA79A43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30</xdr:row>
      <xdr:rowOff>57149</xdr:rowOff>
    </xdr:from>
    <xdr:ext cx="4305300" cy="3057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0A0F16-C40D-49BC-95C3-BCD0630F441F}"/>
            </a:ext>
          </a:extLst>
        </xdr:cNvPr>
        <xdr:cNvSpPr txBox="1"/>
      </xdr:nvSpPr>
      <xdr:spPr>
        <a:xfrm>
          <a:off x="457200" y="5486399"/>
          <a:ext cx="4305300" cy="30575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Plan for Nuclear Engines:</a:t>
          </a:r>
        </a:p>
        <a:p>
          <a:r>
            <a:rPr lang="en-GB" sz="1100"/>
            <a:t>Try a fresh patch, deleting all current ModuleEnginesRF</a:t>
          </a:r>
        </a:p>
        <a:p>
          <a:r>
            <a:rPr lang="en-GB" sz="1100"/>
            <a:t>Maybe remove the NF reactor altogether, swap to RTG-style heatgen</a:t>
          </a:r>
        </a:p>
        <a:p>
          <a:endParaRPr lang="en-GB" sz="1100"/>
        </a:p>
        <a:p>
          <a:r>
            <a:rPr lang="en-GB" sz="1100"/>
            <a:t>Engines:</a:t>
          </a:r>
        </a:p>
        <a:p>
          <a:r>
            <a:rPr lang="en-GB" sz="1100"/>
            <a:t>Eel</a:t>
          </a:r>
          <a:r>
            <a:rPr lang="en-GB" sz="1100" baseline="0"/>
            <a:t> - 0.360t - 0.625m x 1.5m long </a:t>
          </a:r>
        </a:p>
        <a:p>
          <a:r>
            <a:rPr lang="en-GB" sz="1100" baseline="0"/>
            <a:t>Stubber - 1.86t - 1.25m x 2.5m long</a:t>
          </a:r>
        </a:p>
        <a:p>
          <a:r>
            <a:rPr lang="en-GB" sz="1100" baseline="0"/>
            <a:t>Nerv - 4.35t - 1.25m x 3m long</a:t>
          </a:r>
        </a:p>
        <a:p>
          <a:r>
            <a:rPr lang="en-GB" sz="1100" baseline="0"/>
            <a:t>Neptune - 2.36t - 1.25m x 4.5m long</a:t>
          </a:r>
        </a:p>
        <a:p>
          <a:r>
            <a:rPr lang="en-GB" sz="1100" baseline="0"/>
            <a:t>Poseidon - 10.8t -  2.5m x 4.5m long</a:t>
          </a:r>
        </a:p>
        <a:p>
          <a:r>
            <a:rPr lang="en-GB" sz="1100" baseline="0"/>
            <a:t>Liberator - 11.7t  - 2.5m x 4m long</a:t>
          </a:r>
        </a:p>
        <a:p>
          <a:r>
            <a:rPr lang="en-GB" sz="1100" baseline="0"/>
            <a:t>Emancipator - 17.8t - 2.5m x 6m long</a:t>
          </a:r>
        </a:p>
        <a:p>
          <a:endParaRPr lang="en-GB" sz="1100" baseline="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55</xdr:row>
      <xdr:rowOff>146050</xdr:rowOff>
    </xdr:from>
    <xdr:to>
      <xdr:col>6</xdr:col>
      <xdr:colOff>225425</xdr:colOff>
      <xdr:row>70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A8A30-3A1A-4053-857C-94CF0706C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403225</xdr:colOff>
      <xdr:row>56</xdr:row>
      <xdr:rowOff>165100</xdr:rowOff>
    </xdr:from>
    <xdr:to>
      <xdr:col>13</xdr:col>
      <xdr:colOff>473075</xdr:colOff>
      <xdr:row>71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D7351-7A61-48B6-82A9-18208AEA3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412749</xdr:colOff>
      <xdr:row>7</xdr:row>
      <xdr:rowOff>98426</xdr:rowOff>
    </xdr:from>
    <xdr:to>
      <xdr:col>4</xdr:col>
      <xdr:colOff>911224</xdr:colOff>
      <xdr:row>13</xdr:row>
      <xdr:rowOff>19053</xdr:rowOff>
    </xdr:to>
    <xdr:sp macro="" textlink="">
      <xdr:nvSpPr>
        <xdr:cNvPr id="2" name="Arrow: Bent-Up 1">
          <a:extLst>
            <a:ext uri="{FF2B5EF4-FFF2-40B4-BE49-F238E27FC236}">
              <a16:creationId xmlns:a16="http://schemas.microsoft.com/office/drawing/2014/main" id="{9C781EBE-99F0-47AF-BBC1-19985CBAEC7F}"/>
            </a:ext>
          </a:extLst>
        </xdr:cNvPr>
        <xdr:cNvSpPr/>
      </xdr:nvSpPr>
      <xdr:spPr>
        <a:xfrm rot="5400000">
          <a:off x="4124323" y="1701802"/>
          <a:ext cx="1025527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444498</xdr:colOff>
      <xdr:row>23</xdr:row>
      <xdr:rowOff>177803</xdr:rowOff>
    </xdr:from>
    <xdr:to>
      <xdr:col>6</xdr:col>
      <xdr:colOff>942973</xdr:colOff>
      <xdr:row>26</xdr:row>
      <xdr:rowOff>174629</xdr:rowOff>
    </xdr:to>
    <xdr:sp macro="" textlink="">
      <xdr:nvSpPr>
        <xdr:cNvPr id="3" name="Arrow: Bent-Up 2">
          <a:extLst>
            <a:ext uri="{FF2B5EF4-FFF2-40B4-BE49-F238E27FC236}">
              <a16:creationId xmlns:a16="http://schemas.microsoft.com/office/drawing/2014/main" id="{3B09DCF1-2051-45BB-8169-74D9FE8D1BC2}"/>
            </a:ext>
          </a:extLst>
        </xdr:cNvPr>
        <xdr:cNvSpPr/>
      </xdr:nvSpPr>
      <xdr:spPr>
        <a:xfrm rot="5400000" flipH="1">
          <a:off x="6527798" y="4489453"/>
          <a:ext cx="549276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355599</xdr:colOff>
      <xdr:row>28</xdr:row>
      <xdr:rowOff>104776</xdr:rowOff>
    </xdr:from>
    <xdr:to>
      <xdr:col>4</xdr:col>
      <xdr:colOff>854074</xdr:colOff>
      <xdr:row>34</xdr:row>
      <xdr:rowOff>25403</xdr:rowOff>
    </xdr:to>
    <xdr:sp macro="" textlink="">
      <xdr:nvSpPr>
        <xdr:cNvPr id="4" name="Arrow: Bent-Up 3">
          <a:extLst>
            <a:ext uri="{FF2B5EF4-FFF2-40B4-BE49-F238E27FC236}">
              <a16:creationId xmlns:a16="http://schemas.microsoft.com/office/drawing/2014/main" id="{A9F9AE2A-827F-4A2C-9FE0-E06E102972E0}"/>
            </a:ext>
          </a:extLst>
        </xdr:cNvPr>
        <xdr:cNvSpPr/>
      </xdr:nvSpPr>
      <xdr:spPr>
        <a:xfrm rot="5400000">
          <a:off x="4067173" y="5575302"/>
          <a:ext cx="1025527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355598</xdr:colOff>
      <xdr:row>34</xdr:row>
      <xdr:rowOff>47629</xdr:rowOff>
    </xdr:from>
    <xdr:to>
      <xdr:col>4</xdr:col>
      <xdr:colOff>854073</xdr:colOff>
      <xdr:row>37</xdr:row>
      <xdr:rowOff>44453</xdr:rowOff>
    </xdr:to>
    <xdr:sp macro="" textlink="">
      <xdr:nvSpPr>
        <xdr:cNvPr id="5" name="Arrow: Bent-Up 4">
          <a:extLst>
            <a:ext uri="{FF2B5EF4-FFF2-40B4-BE49-F238E27FC236}">
              <a16:creationId xmlns:a16="http://schemas.microsoft.com/office/drawing/2014/main" id="{F0535DA1-AF9F-474A-B7F3-162F058FEBD1}"/>
            </a:ext>
          </a:extLst>
        </xdr:cNvPr>
        <xdr:cNvSpPr/>
      </xdr:nvSpPr>
      <xdr:spPr>
        <a:xfrm rot="5400000">
          <a:off x="4305299" y="6384928"/>
          <a:ext cx="549274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361948</xdr:colOff>
      <xdr:row>37</xdr:row>
      <xdr:rowOff>53980</xdr:rowOff>
    </xdr:from>
    <xdr:to>
      <xdr:col>4</xdr:col>
      <xdr:colOff>860423</xdr:colOff>
      <xdr:row>40</xdr:row>
      <xdr:rowOff>50804</xdr:rowOff>
    </xdr:to>
    <xdr:sp macro="" textlink="">
      <xdr:nvSpPr>
        <xdr:cNvPr id="6" name="Arrow: Bent-Up 5">
          <a:extLst>
            <a:ext uri="{FF2B5EF4-FFF2-40B4-BE49-F238E27FC236}">
              <a16:creationId xmlns:a16="http://schemas.microsoft.com/office/drawing/2014/main" id="{5908C61C-48E6-4B0F-B32E-0C92004B9381}"/>
            </a:ext>
          </a:extLst>
        </xdr:cNvPr>
        <xdr:cNvSpPr/>
      </xdr:nvSpPr>
      <xdr:spPr>
        <a:xfrm rot="5400000">
          <a:off x="4311649" y="6943729"/>
          <a:ext cx="549274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584198</xdr:colOff>
      <xdr:row>29</xdr:row>
      <xdr:rowOff>3178</xdr:rowOff>
    </xdr:from>
    <xdr:to>
      <xdr:col>6</xdr:col>
      <xdr:colOff>15873</xdr:colOff>
      <xdr:row>32</xdr:row>
      <xdr:rowOff>2</xdr:rowOff>
    </xdr:to>
    <xdr:sp macro="" textlink="">
      <xdr:nvSpPr>
        <xdr:cNvPr id="7" name="Arrow: Bent-Up 6">
          <a:extLst>
            <a:ext uri="{FF2B5EF4-FFF2-40B4-BE49-F238E27FC236}">
              <a16:creationId xmlns:a16="http://schemas.microsoft.com/office/drawing/2014/main" id="{7432A174-7EC8-423A-A467-4CBF2DC7CFD6}"/>
            </a:ext>
          </a:extLst>
        </xdr:cNvPr>
        <xdr:cNvSpPr/>
      </xdr:nvSpPr>
      <xdr:spPr>
        <a:xfrm rot="5400000">
          <a:off x="5600699" y="5419727"/>
          <a:ext cx="549274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412748</xdr:colOff>
      <xdr:row>14</xdr:row>
      <xdr:rowOff>146053</xdr:rowOff>
    </xdr:from>
    <xdr:to>
      <xdr:col>4</xdr:col>
      <xdr:colOff>911223</xdr:colOff>
      <xdr:row>17</xdr:row>
      <xdr:rowOff>142879</xdr:rowOff>
    </xdr:to>
    <xdr:sp macro="" textlink="">
      <xdr:nvSpPr>
        <xdr:cNvPr id="8" name="Arrow: Bent-Up 7">
          <a:extLst>
            <a:ext uri="{FF2B5EF4-FFF2-40B4-BE49-F238E27FC236}">
              <a16:creationId xmlns:a16="http://schemas.microsoft.com/office/drawing/2014/main" id="{3377FA88-2A15-4A21-A276-FFAA1A11649F}"/>
            </a:ext>
          </a:extLst>
        </xdr:cNvPr>
        <xdr:cNvSpPr/>
      </xdr:nvSpPr>
      <xdr:spPr>
        <a:xfrm rot="5400000" flipH="1">
          <a:off x="4362448" y="2800353"/>
          <a:ext cx="549276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292098</xdr:colOff>
      <xdr:row>2</xdr:row>
      <xdr:rowOff>158753</xdr:rowOff>
    </xdr:from>
    <xdr:to>
      <xdr:col>3</xdr:col>
      <xdr:colOff>790573</xdr:colOff>
      <xdr:row>5</xdr:row>
      <xdr:rowOff>155579</xdr:rowOff>
    </xdr:to>
    <xdr:sp macro="" textlink="">
      <xdr:nvSpPr>
        <xdr:cNvPr id="9" name="Arrow: Bent-Up 8">
          <a:extLst>
            <a:ext uri="{FF2B5EF4-FFF2-40B4-BE49-F238E27FC236}">
              <a16:creationId xmlns:a16="http://schemas.microsoft.com/office/drawing/2014/main" id="{C04DD723-937B-4D4A-A8C5-82BEFBED32AE}"/>
            </a:ext>
          </a:extLst>
        </xdr:cNvPr>
        <xdr:cNvSpPr/>
      </xdr:nvSpPr>
      <xdr:spPr>
        <a:xfrm rot="5400000" flipH="1">
          <a:off x="3409948" y="603253"/>
          <a:ext cx="549276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406400</xdr:colOff>
      <xdr:row>8</xdr:row>
      <xdr:rowOff>158753</xdr:rowOff>
    </xdr:from>
    <xdr:to>
      <xdr:col>5</xdr:col>
      <xdr:colOff>904875</xdr:colOff>
      <xdr:row>11</xdr:row>
      <xdr:rowOff>155579</xdr:rowOff>
    </xdr:to>
    <xdr:sp macro="" textlink="">
      <xdr:nvSpPr>
        <xdr:cNvPr id="10" name="Arrow: Bent-Up 9">
          <a:extLst>
            <a:ext uri="{FF2B5EF4-FFF2-40B4-BE49-F238E27FC236}">
              <a16:creationId xmlns:a16="http://schemas.microsoft.com/office/drawing/2014/main" id="{464FAAFC-FE87-467C-843E-EF3DEE299997}"/>
            </a:ext>
          </a:extLst>
        </xdr:cNvPr>
        <xdr:cNvSpPr/>
      </xdr:nvSpPr>
      <xdr:spPr>
        <a:xfrm rot="5400000" flipH="1">
          <a:off x="5422900" y="1708153"/>
          <a:ext cx="549276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247647</xdr:colOff>
      <xdr:row>17</xdr:row>
      <xdr:rowOff>158749</xdr:rowOff>
    </xdr:from>
    <xdr:to>
      <xdr:col>2</xdr:col>
      <xdr:colOff>746122</xdr:colOff>
      <xdr:row>23</xdr:row>
      <xdr:rowOff>120649</xdr:rowOff>
    </xdr:to>
    <xdr:sp macro="" textlink="">
      <xdr:nvSpPr>
        <xdr:cNvPr id="11" name="Arrow: Bent-Up 10">
          <a:extLst>
            <a:ext uri="{FF2B5EF4-FFF2-40B4-BE49-F238E27FC236}">
              <a16:creationId xmlns:a16="http://schemas.microsoft.com/office/drawing/2014/main" id="{B4F0EC53-7086-4F17-932E-3DA6AF8230DF}"/>
            </a:ext>
          </a:extLst>
        </xdr:cNvPr>
        <xdr:cNvSpPr/>
      </xdr:nvSpPr>
      <xdr:spPr>
        <a:xfrm rot="5400000" flipH="1">
          <a:off x="2154235" y="3624261"/>
          <a:ext cx="1066800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253998</xdr:colOff>
      <xdr:row>25</xdr:row>
      <xdr:rowOff>47629</xdr:rowOff>
    </xdr:from>
    <xdr:to>
      <xdr:col>2</xdr:col>
      <xdr:colOff>752473</xdr:colOff>
      <xdr:row>28</xdr:row>
      <xdr:rowOff>44453</xdr:rowOff>
    </xdr:to>
    <xdr:sp macro="" textlink="">
      <xdr:nvSpPr>
        <xdr:cNvPr id="12" name="Arrow: Bent-Up 11">
          <a:extLst>
            <a:ext uri="{FF2B5EF4-FFF2-40B4-BE49-F238E27FC236}">
              <a16:creationId xmlns:a16="http://schemas.microsoft.com/office/drawing/2014/main" id="{000A4FC6-3420-42D3-AB9F-57C9EC2C0C0F}"/>
            </a:ext>
          </a:extLst>
        </xdr:cNvPr>
        <xdr:cNvSpPr/>
      </xdr:nvSpPr>
      <xdr:spPr>
        <a:xfrm rot="5400000">
          <a:off x="2419349" y="4727578"/>
          <a:ext cx="549274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247648</xdr:colOff>
      <xdr:row>28</xdr:row>
      <xdr:rowOff>104779</xdr:rowOff>
    </xdr:from>
    <xdr:to>
      <xdr:col>2</xdr:col>
      <xdr:colOff>746123</xdr:colOff>
      <xdr:row>43</xdr:row>
      <xdr:rowOff>31752</xdr:rowOff>
    </xdr:to>
    <xdr:sp macro="" textlink="">
      <xdr:nvSpPr>
        <xdr:cNvPr id="13" name="Arrow: Bent-Up 12">
          <a:extLst>
            <a:ext uri="{FF2B5EF4-FFF2-40B4-BE49-F238E27FC236}">
              <a16:creationId xmlns:a16="http://schemas.microsoft.com/office/drawing/2014/main" id="{A143BC8F-0E40-4279-90F9-6A020A54898C}"/>
            </a:ext>
          </a:extLst>
        </xdr:cNvPr>
        <xdr:cNvSpPr/>
      </xdr:nvSpPr>
      <xdr:spPr>
        <a:xfrm rot="5400000">
          <a:off x="1343024" y="6407153"/>
          <a:ext cx="2689223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260348</xdr:colOff>
      <xdr:row>5</xdr:row>
      <xdr:rowOff>171450</xdr:rowOff>
    </xdr:from>
    <xdr:to>
      <xdr:col>2</xdr:col>
      <xdr:colOff>758823</xdr:colOff>
      <xdr:row>17</xdr:row>
      <xdr:rowOff>88899</xdr:rowOff>
    </xdr:to>
    <xdr:sp macro="" textlink="">
      <xdr:nvSpPr>
        <xdr:cNvPr id="14" name="Arrow: Bent-Up 13">
          <a:extLst>
            <a:ext uri="{FF2B5EF4-FFF2-40B4-BE49-F238E27FC236}">
              <a16:creationId xmlns:a16="http://schemas.microsoft.com/office/drawing/2014/main" id="{C4ABDBE8-F2F3-47DA-8D0B-D7E07EC4C492}"/>
            </a:ext>
          </a:extLst>
        </xdr:cNvPr>
        <xdr:cNvSpPr/>
      </xdr:nvSpPr>
      <xdr:spPr>
        <a:xfrm rot="5400000" flipH="1">
          <a:off x="1636711" y="1957387"/>
          <a:ext cx="2127249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520698</xdr:colOff>
      <xdr:row>20</xdr:row>
      <xdr:rowOff>177804</xdr:rowOff>
    </xdr:from>
    <xdr:to>
      <xdr:col>9</xdr:col>
      <xdr:colOff>1019173</xdr:colOff>
      <xdr:row>23</xdr:row>
      <xdr:rowOff>174630</xdr:rowOff>
    </xdr:to>
    <xdr:sp macro="" textlink="">
      <xdr:nvSpPr>
        <xdr:cNvPr id="15" name="Arrow: Bent-Up 14">
          <a:extLst>
            <a:ext uri="{FF2B5EF4-FFF2-40B4-BE49-F238E27FC236}">
              <a16:creationId xmlns:a16="http://schemas.microsoft.com/office/drawing/2014/main" id="{B1CFE8B9-10E7-4C97-AE65-8CDE78CC124D}"/>
            </a:ext>
          </a:extLst>
        </xdr:cNvPr>
        <xdr:cNvSpPr/>
      </xdr:nvSpPr>
      <xdr:spPr>
        <a:xfrm rot="5400000" flipH="1">
          <a:off x="9963148" y="3937004"/>
          <a:ext cx="549276" cy="49847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198E-6C50-447F-85BA-0729DD4FFB8C}">
  <dimension ref="A1:X70"/>
  <sheetViews>
    <sheetView topLeftCell="A22" workbookViewId="0">
      <selection activeCell="A47" sqref="A47"/>
    </sheetView>
  </sheetViews>
  <sheetFormatPr defaultRowHeight="14.5" x14ac:dyDescent="0.35"/>
  <cols>
    <col min="1" max="1" width="11.81640625" bestFit="1" customWidth="1"/>
    <col min="9" max="9" width="9.81640625" bestFit="1" customWidth="1"/>
    <col min="10" max="10" width="9" bestFit="1" customWidth="1"/>
    <col min="11" max="11" width="9.26953125" bestFit="1" customWidth="1"/>
    <col min="12" max="12" width="9" customWidth="1"/>
  </cols>
  <sheetData>
    <row r="1" spans="1:24" x14ac:dyDescent="0.35">
      <c r="A1" t="s">
        <v>2</v>
      </c>
      <c r="B1" s="7">
        <v>1.25</v>
      </c>
      <c r="C1" t="s">
        <v>7</v>
      </c>
      <c r="M1" s="9" t="s">
        <v>2</v>
      </c>
      <c r="N1" s="12">
        <v>1.25</v>
      </c>
      <c r="O1" s="9" t="s">
        <v>7</v>
      </c>
    </row>
    <row r="2" spans="1:24" x14ac:dyDescent="0.35">
      <c r="A2" t="s">
        <v>0</v>
      </c>
      <c r="B2" s="7">
        <v>190</v>
      </c>
      <c r="C2" t="s">
        <v>1</v>
      </c>
      <c r="E2" t="s">
        <v>22</v>
      </c>
      <c r="F2" t="s">
        <v>23</v>
      </c>
      <c r="I2" t="s">
        <v>34</v>
      </c>
      <c r="J2" t="s">
        <v>16</v>
      </c>
      <c r="K2" t="s">
        <v>33</v>
      </c>
      <c r="L2" t="s">
        <v>15</v>
      </c>
      <c r="M2" t="s">
        <v>1</v>
      </c>
      <c r="N2" t="s">
        <v>5</v>
      </c>
      <c r="O2" t="s">
        <v>17</v>
      </c>
      <c r="S2" t="s">
        <v>5</v>
      </c>
      <c r="T2" t="s">
        <v>25</v>
      </c>
      <c r="U2" t="s">
        <v>31</v>
      </c>
    </row>
    <row r="3" spans="1:24" x14ac:dyDescent="0.35">
      <c r="A3" t="s">
        <v>5</v>
      </c>
      <c r="B3" s="7">
        <f>190/4.2</f>
        <v>45.238095238095234</v>
      </c>
      <c r="E3" t="s">
        <v>18</v>
      </c>
      <c r="F3" t="s">
        <v>24</v>
      </c>
      <c r="G3" t="s">
        <v>8</v>
      </c>
      <c r="H3" t="s">
        <v>12</v>
      </c>
      <c r="I3" s="11">
        <v>1</v>
      </c>
      <c r="J3" s="15">
        <v>85</v>
      </c>
      <c r="K3" s="11">
        <v>1</v>
      </c>
      <c r="L3" s="15">
        <v>380</v>
      </c>
      <c r="M3" s="13">
        <f>163*PI()*(N1/2)^2</f>
        <v>200.03109474028759</v>
      </c>
      <c r="N3">
        <f>60.1</f>
        <v>60.1</v>
      </c>
      <c r="O3" s="13">
        <f>M3/(N3*10)</f>
        <v>0.33283044049964655</v>
      </c>
      <c r="R3" t="s">
        <v>11</v>
      </c>
      <c r="S3">
        <v>1</v>
      </c>
      <c r="T3">
        <v>0.95</v>
      </c>
      <c r="U3">
        <v>163</v>
      </c>
    </row>
    <row r="4" spans="1:24" x14ac:dyDescent="0.35">
      <c r="A4" t="s">
        <v>6</v>
      </c>
      <c r="B4">
        <f>B2/((B1/2)^2*PI())</f>
        <v>154.82592863979579</v>
      </c>
      <c r="H4" t="s">
        <v>13</v>
      </c>
      <c r="I4" s="11">
        <v>1</v>
      </c>
      <c r="J4" s="13">
        <v>85</v>
      </c>
      <c r="K4" s="11">
        <v>1.2250000000000001</v>
      </c>
      <c r="L4" s="13">
        <f>L3*K4</f>
        <v>465.50000000000006</v>
      </c>
      <c r="M4" s="13">
        <f>M3*0.75</f>
        <v>150.02332105521569</v>
      </c>
      <c r="N4">
        <f>N3*0.75</f>
        <v>45.075000000000003</v>
      </c>
      <c r="O4">
        <f>M4/(N4*10)</f>
        <v>0.33283044049964655</v>
      </c>
      <c r="R4" t="s">
        <v>13</v>
      </c>
      <c r="S4">
        <v>0.75</v>
      </c>
      <c r="T4" s="10" t="s">
        <v>32</v>
      </c>
      <c r="U4">
        <f>163*0.75</f>
        <v>122.25</v>
      </c>
    </row>
    <row r="5" spans="1:24" ht="15" thickBot="1" x14ac:dyDescent="0.4">
      <c r="H5" t="s">
        <v>11</v>
      </c>
      <c r="I5" s="11">
        <v>1</v>
      </c>
      <c r="J5" s="13">
        <v>85</v>
      </c>
      <c r="K5" s="11">
        <v>0.95</v>
      </c>
      <c r="L5" s="13">
        <f>L3*K5</f>
        <v>361</v>
      </c>
      <c r="M5" s="13">
        <f>M3*0.95</f>
        <v>190.02954000327318</v>
      </c>
      <c r="N5">
        <f>N3*K5</f>
        <v>57.094999999999999</v>
      </c>
      <c r="O5">
        <f>M5/(N5*10)</f>
        <v>0.3328304404996465</v>
      </c>
      <c r="R5" t="s">
        <v>12</v>
      </c>
      <c r="S5">
        <v>1</v>
      </c>
      <c r="T5">
        <v>1</v>
      </c>
      <c r="U5">
        <v>163</v>
      </c>
    </row>
    <row r="6" spans="1:24" x14ac:dyDescent="0.35">
      <c r="A6" s="1" t="s">
        <v>2</v>
      </c>
      <c r="B6" s="2" t="s">
        <v>1</v>
      </c>
      <c r="C6" t="s">
        <v>4</v>
      </c>
      <c r="E6" t="s">
        <v>20</v>
      </c>
      <c r="F6" t="s">
        <v>26</v>
      </c>
      <c r="G6" t="s">
        <v>9</v>
      </c>
      <c r="H6" t="s">
        <v>12</v>
      </c>
      <c r="I6" s="11">
        <v>1</v>
      </c>
      <c r="J6" s="15">
        <v>275</v>
      </c>
      <c r="K6" s="11">
        <v>1</v>
      </c>
      <c r="L6" s="15">
        <v>362</v>
      </c>
      <c r="M6" s="13">
        <f>S6/S7*163*PI()*(N1/2)^2</f>
        <v>236.97527363574841</v>
      </c>
      <c r="N6">
        <v>71.2</v>
      </c>
      <c r="O6">
        <f t="shared" ref="O6:O10" si="0">M6/(N6*10)</f>
        <v>0.33283044049964666</v>
      </c>
      <c r="R6" t="s">
        <v>26</v>
      </c>
      <c r="S6">
        <v>71.2</v>
      </c>
      <c r="T6" t="s">
        <v>28</v>
      </c>
    </row>
    <row r="7" spans="1:24" x14ac:dyDescent="0.35">
      <c r="A7" s="3">
        <v>0.3125</v>
      </c>
      <c r="B7" s="4">
        <f>$B$10*(A7/$A$10)^2</f>
        <v>11.875</v>
      </c>
      <c r="C7">
        <f>B7/(10*$B$3)</f>
        <v>2.6250000000000002E-2</v>
      </c>
      <c r="H7" t="s">
        <v>13</v>
      </c>
      <c r="I7" s="11">
        <v>0.9</v>
      </c>
      <c r="J7" s="13">
        <f>J6*I7</f>
        <v>247.5</v>
      </c>
      <c r="K7" s="11">
        <v>1.2250000000000001</v>
      </c>
      <c r="L7" s="13">
        <f>L6*K7</f>
        <v>443.45000000000005</v>
      </c>
      <c r="M7" s="13">
        <f>M6*0.75</f>
        <v>177.73145522681131</v>
      </c>
      <c r="N7" s="13">
        <f>N6*0.75</f>
        <v>53.400000000000006</v>
      </c>
      <c r="O7">
        <f t="shared" si="0"/>
        <v>0.33283044049964666</v>
      </c>
      <c r="R7" t="s">
        <v>24</v>
      </c>
      <c r="S7">
        <v>60.1</v>
      </c>
      <c r="T7" t="s">
        <v>27</v>
      </c>
    </row>
    <row r="8" spans="1:24" x14ac:dyDescent="0.35">
      <c r="A8" s="3">
        <v>0.625</v>
      </c>
      <c r="B8" s="4">
        <f>$B$10*(A8/$A$10)^2</f>
        <v>47.5</v>
      </c>
      <c r="C8">
        <f t="shared" ref="C8:C14" si="1">B8/(10*$B$3)</f>
        <v>0.10500000000000001</v>
      </c>
      <c r="H8" t="s">
        <v>11</v>
      </c>
      <c r="I8" s="11">
        <v>0.95</v>
      </c>
      <c r="J8">
        <f>J6*I8</f>
        <v>261.25</v>
      </c>
      <c r="K8" s="11">
        <v>0.95</v>
      </c>
      <c r="L8" s="13">
        <f>L6*K8</f>
        <v>343.9</v>
      </c>
      <c r="M8" s="13">
        <f>M6*0.95</f>
        <v>225.12650995396098</v>
      </c>
      <c r="N8" s="13">
        <f>N6*0.95</f>
        <v>67.64</v>
      </c>
      <c r="O8">
        <f t="shared" si="0"/>
        <v>0.33283044049964666</v>
      </c>
      <c r="R8" t="s">
        <v>19</v>
      </c>
      <c r="S8">
        <v>93.4</v>
      </c>
      <c r="T8" t="s">
        <v>29</v>
      </c>
    </row>
    <row r="9" spans="1:24" x14ac:dyDescent="0.35">
      <c r="A9" s="3">
        <v>1</v>
      </c>
      <c r="B9" s="4">
        <f>$B$10*(A9/$A$10)^2</f>
        <v>121.60000000000002</v>
      </c>
      <c r="C9">
        <f t="shared" si="1"/>
        <v>0.26880000000000009</v>
      </c>
      <c r="E9" t="s">
        <v>20</v>
      </c>
      <c r="F9" t="s">
        <v>19</v>
      </c>
      <c r="G9" t="s">
        <v>10</v>
      </c>
      <c r="H9" t="s">
        <v>12</v>
      </c>
      <c r="I9" s="11">
        <v>1</v>
      </c>
      <c r="J9" s="15">
        <v>323</v>
      </c>
      <c r="K9" s="11">
        <v>1</v>
      </c>
      <c r="L9" s="15">
        <v>355</v>
      </c>
      <c r="M9" s="13">
        <f>S8/S7*163*PI()*(N1/2)^2</f>
        <v>310.86363142666994</v>
      </c>
      <c r="N9">
        <v>93.4</v>
      </c>
      <c r="O9">
        <f t="shared" si="0"/>
        <v>0.33283044049964661</v>
      </c>
      <c r="R9" t="s">
        <v>20</v>
      </c>
      <c r="S9">
        <v>80.099999999999994</v>
      </c>
      <c r="T9" t="s">
        <v>30</v>
      </c>
    </row>
    <row r="10" spans="1:24" x14ac:dyDescent="0.35">
      <c r="A10" s="3">
        <v>1.25</v>
      </c>
      <c r="B10" s="4">
        <f>B2</f>
        <v>190</v>
      </c>
      <c r="C10">
        <f t="shared" si="1"/>
        <v>0.42000000000000004</v>
      </c>
      <c r="H10" t="s">
        <v>13</v>
      </c>
      <c r="I10" s="11">
        <v>1.1299999999999999</v>
      </c>
      <c r="J10" s="13">
        <f>J9*I10</f>
        <v>364.98999999999995</v>
      </c>
      <c r="K10" s="11">
        <v>1.2250000000000001</v>
      </c>
      <c r="L10" s="13">
        <f>L9*K10</f>
        <v>434.87500000000006</v>
      </c>
      <c r="M10" s="13">
        <f>M9*0.75</f>
        <v>233.14772357000246</v>
      </c>
      <c r="N10" s="13">
        <f>N9*0.75</f>
        <v>70.050000000000011</v>
      </c>
      <c r="O10">
        <f t="shared" si="0"/>
        <v>0.33283044049964655</v>
      </c>
    </row>
    <row r="11" spans="1:24" x14ac:dyDescent="0.35">
      <c r="A11" s="3">
        <v>1.875</v>
      </c>
      <c r="B11" s="4">
        <f>$B$10*(A11/$A$10)^2</f>
        <v>427.5</v>
      </c>
      <c r="C11">
        <f t="shared" si="1"/>
        <v>0.94500000000000006</v>
      </c>
      <c r="J11" s="13"/>
      <c r="L11" s="13"/>
      <c r="M11" s="13"/>
    </row>
    <row r="12" spans="1:24" x14ac:dyDescent="0.35">
      <c r="A12" s="3">
        <v>2.5</v>
      </c>
      <c r="B12" s="4">
        <f>$B$10*(A12/$A$10)^2</f>
        <v>760</v>
      </c>
      <c r="C12">
        <f t="shared" si="1"/>
        <v>1.6800000000000002</v>
      </c>
      <c r="S12" s="22" t="s">
        <v>44</v>
      </c>
    </row>
    <row r="13" spans="1:24" x14ac:dyDescent="0.35">
      <c r="A13" s="3">
        <v>3.75</v>
      </c>
      <c r="B13" s="4">
        <f>$B$10*(A13/$A$10)^2</f>
        <v>1710</v>
      </c>
      <c r="C13">
        <f t="shared" si="1"/>
        <v>3.7800000000000002</v>
      </c>
      <c r="I13" s="17" t="s">
        <v>14</v>
      </c>
      <c r="J13" s="18" t="s">
        <v>35</v>
      </c>
      <c r="K13" s="18" t="s">
        <v>36</v>
      </c>
      <c r="L13" s="18" t="s">
        <v>37</v>
      </c>
      <c r="M13" s="18" t="s">
        <v>38</v>
      </c>
      <c r="N13" s="18" t="s">
        <v>39</v>
      </c>
      <c r="O13" s="18" t="s">
        <v>40</v>
      </c>
      <c r="P13" s="18" t="s">
        <v>41</v>
      </c>
      <c r="Q13" s="18" t="s">
        <v>42</v>
      </c>
      <c r="S13" s="17" t="s">
        <v>14</v>
      </c>
      <c r="T13" s="18" t="s">
        <v>36</v>
      </c>
      <c r="U13" s="18" t="s">
        <v>37</v>
      </c>
      <c r="V13" s="18" t="s">
        <v>39</v>
      </c>
      <c r="W13" s="18" t="s">
        <v>40</v>
      </c>
      <c r="X13" s="18" t="s">
        <v>42</v>
      </c>
    </row>
    <row r="14" spans="1:24" ht="15" thickBot="1" x14ac:dyDescent="0.4">
      <c r="A14" s="5">
        <v>5</v>
      </c>
      <c r="B14" s="6">
        <f>$B$10*(A14/$A$10)^2</f>
        <v>3040</v>
      </c>
      <c r="C14">
        <f t="shared" si="1"/>
        <v>6.7200000000000006</v>
      </c>
      <c r="I14" s="16">
        <v>2020</v>
      </c>
      <c r="J14" s="11">
        <v>380</v>
      </c>
      <c r="K14">
        <f>J14*T14</f>
        <v>465.50000000000006</v>
      </c>
      <c r="L14">
        <f>J14*U14</f>
        <v>361</v>
      </c>
      <c r="M14">
        <f>J14-18</f>
        <v>362</v>
      </c>
      <c r="N14" s="14">
        <f>M14*V14</f>
        <v>443.45000000000005</v>
      </c>
      <c r="O14">
        <f>M14*W14</f>
        <v>343.9</v>
      </c>
      <c r="P14">
        <f>M14-7</f>
        <v>355</v>
      </c>
      <c r="Q14" s="14">
        <f>P14*X14</f>
        <v>434.87500000000006</v>
      </c>
      <c r="S14" s="16">
        <v>2020</v>
      </c>
      <c r="T14">
        <v>1.2250000000000001</v>
      </c>
      <c r="U14">
        <v>0.95</v>
      </c>
      <c r="V14">
        <v>1.2250000000000001</v>
      </c>
      <c r="W14">
        <v>0.95</v>
      </c>
      <c r="X14">
        <v>1.2250000000000001</v>
      </c>
    </row>
    <row r="15" spans="1:24" x14ac:dyDescent="0.35">
      <c r="I15" s="16">
        <v>2005</v>
      </c>
      <c r="J15" s="11">
        <v>370</v>
      </c>
      <c r="K15" s="14">
        <f t="shared" ref="K15:K21" si="2">J15*T15</f>
        <v>453.25000000000006</v>
      </c>
      <c r="L15">
        <f t="shared" ref="L15:L21" si="3">J15*U15</f>
        <v>351.5</v>
      </c>
      <c r="M15">
        <f t="shared" ref="M15:M21" si="4">J15-18</f>
        <v>352</v>
      </c>
      <c r="N15">
        <f t="shared" ref="N15:N21" si="5">M15*V15</f>
        <v>431.20000000000005</v>
      </c>
      <c r="O15">
        <f t="shared" ref="O15:O21" si="6">M15*W15</f>
        <v>334.4</v>
      </c>
      <c r="P15">
        <f t="shared" ref="P15:P21" si="7">M15-7</f>
        <v>345</v>
      </c>
      <c r="Q15" s="14">
        <f t="shared" ref="Q15:Q21" si="8">P15*X15</f>
        <v>427.8</v>
      </c>
      <c r="S15" s="16">
        <v>2005</v>
      </c>
      <c r="T15">
        <v>1.2250000000000001</v>
      </c>
      <c r="U15">
        <v>0.95</v>
      </c>
      <c r="V15">
        <v>1.2250000000000001</v>
      </c>
      <c r="W15">
        <v>0.95</v>
      </c>
      <c r="X15">
        <v>1.24</v>
      </c>
    </row>
    <row r="16" spans="1:24" x14ac:dyDescent="0.35">
      <c r="I16" s="16">
        <v>1995</v>
      </c>
      <c r="J16" s="11">
        <v>352</v>
      </c>
      <c r="K16" s="14">
        <f t="shared" si="2"/>
        <v>444.928</v>
      </c>
      <c r="L16">
        <f t="shared" si="3"/>
        <v>334.4</v>
      </c>
      <c r="M16">
        <f t="shared" si="4"/>
        <v>334</v>
      </c>
      <c r="N16" s="14">
        <f t="shared" si="5"/>
        <v>427.52</v>
      </c>
      <c r="O16">
        <f t="shared" si="6"/>
        <v>317.3</v>
      </c>
      <c r="P16">
        <f t="shared" si="7"/>
        <v>327</v>
      </c>
      <c r="Q16" s="14">
        <f t="shared" si="8"/>
        <v>418.56</v>
      </c>
      <c r="S16" s="16">
        <v>1995</v>
      </c>
      <c r="T16">
        <v>1.264</v>
      </c>
      <c r="U16">
        <v>0.95</v>
      </c>
      <c r="V16">
        <v>1.28</v>
      </c>
      <c r="W16">
        <v>0.95</v>
      </c>
      <c r="X16">
        <v>1.28</v>
      </c>
    </row>
    <row r="17" spans="1:24" x14ac:dyDescent="0.35">
      <c r="A17">
        <v>200</v>
      </c>
      <c r="B17" t="s">
        <v>1</v>
      </c>
      <c r="I17" s="16">
        <v>1980</v>
      </c>
      <c r="J17" s="11">
        <v>335</v>
      </c>
      <c r="K17">
        <f t="shared" si="2"/>
        <v>430.14</v>
      </c>
      <c r="L17" s="14">
        <f t="shared" si="3"/>
        <v>318.25</v>
      </c>
      <c r="M17">
        <f t="shared" si="4"/>
        <v>317</v>
      </c>
      <c r="N17" s="14">
        <f t="shared" si="5"/>
        <v>418.44</v>
      </c>
      <c r="O17" s="14">
        <f t="shared" si="6"/>
        <v>301.14999999999998</v>
      </c>
      <c r="P17">
        <f t="shared" si="7"/>
        <v>310</v>
      </c>
      <c r="Q17" s="14">
        <f t="shared" si="8"/>
        <v>409.20000000000005</v>
      </c>
      <c r="S17" s="16">
        <v>1980</v>
      </c>
      <c r="T17">
        <v>1.284</v>
      </c>
      <c r="U17">
        <v>0.95</v>
      </c>
      <c r="V17">
        <v>1.32</v>
      </c>
      <c r="W17">
        <v>0.95</v>
      </c>
      <c r="X17">
        <v>1.32</v>
      </c>
    </row>
    <row r="18" spans="1:24" x14ac:dyDescent="0.35">
      <c r="A18">
        <v>0.42</v>
      </c>
      <c r="B18" t="s">
        <v>4</v>
      </c>
      <c r="I18" s="16">
        <v>1970</v>
      </c>
      <c r="J18" s="11">
        <v>322</v>
      </c>
      <c r="K18">
        <f t="shared" si="2"/>
        <v>422.142</v>
      </c>
      <c r="L18">
        <f t="shared" si="3"/>
        <v>305.89999999999998</v>
      </c>
      <c r="M18">
        <f t="shared" si="4"/>
        <v>304</v>
      </c>
      <c r="N18">
        <f t="shared" si="5"/>
        <v>410.40000000000003</v>
      </c>
      <c r="O18">
        <f t="shared" si="6"/>
        <v>288.8</v>
      </c>
      <c r="P18">
        <f t="shared" si="7"/>
        <v>297</v>
      </c>
      <c r="Q18" s="20">
        <f t="shared" si="8"/>
        <v>400.95000000000005</v>
      </c>
      <c r="S18" s="16">
        <v>1970</v>
      </c>
      <c r="T18">
        <v>1.3109999999999999</v>
      </c>
      <c r="U18">
        <v>0.95</v>
      </c>
      <c r="V18">
        <v>1.35</v>
      </c>
      <c r="W18">
        <v>0.95</v>
      </c>
      <c r="X18" s="19">
        <v>1.35</v>
      </c>
    </row>
    <row r="19" spans="1:24" x14ac:dyDescent="0.35">
      <c r="A19">
        <f>A17/(A18*10)</f>
        <v>47.61904761904762</v>
      </c>
      <c r="B19" t="s">
        <v>5</v>
      </c>
      <c r="I19" s="16">
        <v>1965</v>
      </c>
      <c r="J19" s="11">
        <v>310</v>
      </c>
      <c r="K19">
        <f t="shared" si="2"/>
        <v>403</v>
      </c>
      <c r="L19">
        <f t="shared" si="3"/>
        <v>294.5</v>
      </c>
      <c r="M19">
        <f t="shared" si="4"/>
        <v>292</v>
      </c>
      <c r="N19" s="28">
        <f t="shared" si="5"/>
        <v>394.20000000000005</v>
      </c>
      <c r="O19">
        <f t="shared" si="6"/>
        <v>277.39999999999998</v>
      </c>
      <c r="P19">
        <f t="shared" si="7"/>
        <v>285</v>
      </c>
      <c r="Q19" s="20">
        <f t="shared" si="8"/>
        <v>370.5</v>
      </c>
      <c r="S19" s="16">
        <v>1965</v>
      </c>
      <c r="T19">
        <v>1.3</v>
      </c>
      <c r="U19">
        <v>0.95</v>
      </c>
      <c r="V19" s="19">
        <v>1.35</v>
      </c>
      <c r="W19">
        <v>0.95</v>
      </c>
      <c r="X19" s="19">
        <v>1.3</v>
      </c>
    </row>
    <row r="20" spans="1:24" x14ac:dyDescent="0.35">
      <c r="I20" s="16">
        <v>1960</v>
      </c>
      <c r="J20" s="11">
        <v>295</v>
      </c>
      <c r="K20" s="19">
        <f t="shared" si="2"/>
        <v>361.375</v>
      </c>
      <c r="L20" s="14">
        <f t="shared" si="3"/>
        <v>280.25</v>
      </c>
      <c r="M20">
        <f t="shared" si="4"/>
        <v>277</v>
      </c>
      <c r="N20" s="19">
        <f t="shared" si="5"/>
        <v>339.32500000000005</v>
      </c>
      <c r="O20" s="14">
        <f t="shared" si="6"/>
        <v>263.14999999999998</v>
      </c>
      <c r="P20">
        <f t="shared" si="7"/>
        <v>270</v>
      </c>
      <c r="Q20" s="19">
        <f t="shared" si="8"/>
        <v>330.75</v>
      </c>
      <c r="S20" s="16">
        <v>1960</v>
      </c>
      <c r="T20" s="19">
        <v>1.2250000000000001</v>
      </c>
      <c r="U20">
        <v>0.95</v>
      </c>
      <c r="V20" s="19">
        <v>1.2250000000000001</v>
      </c>
      <c r="W20">
        <v>0.95</v>
      </c>
      <c r="X20" s="19">
        <v>1.2250000000000001</v>
      </c>
    </row>
    <row r="21" spans="1:24" x14ac:dyDescent="0.35">
      <c r="A21" t="s">
        <v>2</v>
      </c>
      <c r="B21">
        <v>1.25</v>
      </c>
      <c r="I21" s="16">
        <v>1950</v>
      </c>
      <c r="J21" s="11">
        <v>280</v>
      </c>
      <c r="K21" s="19">
        <f t="shared" si="2"/>
        <v>343</v>
      </c>
      <c r="L21">
        <f t="shared" si="3"/>
        <v>266</v>
      </c>
      <c r="M21">
        <f t="shared" si="4"/>
        <v>262</v>
      </c>
      <c r="N21" s="19">
        <f t="shared" si="5"/>
        <v>320.95000000000005</v>
      </c>
      <c r="O21">
        <f t="shared" si="6"/>
        <v>248.89999999999998</v>
      </c>
      <c r="P21">
        <f t="shared" si="7"/>
        <v>255</v>
      </c>
      <c r="Q21" s="19">
        <f t="shared" si="8"/>
        <v>312.375</v>
      </c>
      <c r="S21" s="16">
        <v>1950</v>
      </c>
      <c r="T21" s="19">
        <v>1.2250000000000001</v>
      </c>
      <c r="U21">
        <v>0.95</v>
      </c>
      <c r="V21" s="19">
        <v>1.2250000000000001</v>
      </c>
      <c r="W21">
        <v>0.95</v>
      </c>
      <c r="X21" s="19">
        <v>1.2250000000000001</v>
      </c>
    </row>
    <row r="22" spans="1:24" x14ac:dyDescent="0.35">
      <c r="A22" t="s">
        <v>1</v>
      </c>
      <c r="B22">
        <v>200</v>
      </c>
    </row>
    <row r="23" spans="1:24" x14ac:dyDescent="0.35">
      <c r="A23" t="s">
        <v>6</v>
      </c>
      <c r="I23" t="s">
        <v>43</v>
      </c>
      <c r="J23" s="18" t="s">
        <v>35</v>
      </c>
      <c r="K23" s="18" t="s">
        <v>36</v>
      </c>
      <c r="L23" s="18" t="s">
        <v>37</v>
      </c>
      <c r="M23" s="18" t="s">
        <v>38</v>
      </c>
      <c r="N23" s="18" t="s">
        <v>39</v>
      </c>
      <c r="O23" s="18" t="s">
        <v>40</v>
      </c>
      <c r="P23" s="18" t="s">
        <v>41</v>
      </c>
      <c r="Q23" s="18" t="s">
        <v>42</v>
      </c>
      <c r="S23" s="17" t="s">
        <v>14</v>
      </c>
      <c r="T23" s="18" t="s">
        <v>36</v>
      </c>
      <c r="U23" s="18" t="s">
        <v>37</v>
      </c>
      <c r="V23" s="18" t="s">
        <v>39</v>
      </c>
      <c r="W23" s="18" t="s">
        <v>40</v>
      </c>
      <c r="X23" s="18" t="s">
        <v>42</v>
      </c>
    </row>
    <row r="24" spans="1:24" x14ac:dyDescent="0.35">
      <c r="B24" t="s">
        <v>31</v>
      </c>
      <c r="C24" s="18" t="s">
        <v>26</v>
      </c>
      <c r="D24" s="18" t="s">
        <v>24</v>
      </c>
      <c r="E24" s="18" t="s">
        <v>19</v>
      </c>
      <c r="F24" s="18" t="s">
        <v>20</v>
      </c>
      <c r="I24" s="16">
        <v>2020</v>
      </c>
      <c r="J24" s="21">
        <v>85</v>
      </c>
      <c r="K24">
        <f>J24*T24</f>
        <v>85</v>
      </c>
      <c r="L24">
        <f>J24*U24</f>
        <v>85</v>
      </c>
      <c r="M24">
        <v>275</v>
      </c>
      <c r="N24">
        <f>M24*0.9</f>
        <v>247.5</v>
      </c>
      <c r="O24" s="14">
        <f>M24*0.95</f>
        <v>261.25</v>
      </c>
      <c r="P24">
        <v>323</v>
      </c>
      <c r="Q24">
        <f>P24*X24</f>
        <v>364.98999999999995</v>
      </c>
      <c r="S24" s="16">
        <v>2020</v>
      </c>
      <c r="T24">
        <v>1</v>
      </c>
      <c r="U24">
        <v>1</v>
      </c>
      <c r="V24">
        <v>0.9</v>
      </c>
      <c r="W24">
        <v>0.95</v>
      </c>
      <c r="X24">
        <v>1.1299999999999999</v>
      </c>
    </row>
    <row r="25" spans="1:24" x14ac:dyDescent="0.35">
      <c r="B25" s="16">
        <v>2020</v>
      </c>
      <c r="I25" s="16">
        <v>2005</v>
      </c>
      <c r="J25" s="21">
        <v>85</v>
      </c>
      <c r="K25">
        <f t="shared" ref="K25:K31" si="9">J25*T25</f>
        <v>85</v>
      </c>
      <c r="L25">
        <f t="shared" ref="L25:L31" si="10">J25*U25</f>
        <v>85</v>
      </c>
      <c r="M25" s="14">
        <f>$M$24*(M15/$M$14)</f>
        <v>267.40331491712703</v>
      </c>
      <c r="N25" s="14">
        <f t="shared" ref="N25:N31" si="11">M25*0.9</f>
        <v>240.66298342541432</v>
      </c>
      <c r="O25" s="14">
        <f t="shared" ref="O25:O31" si="12">M25*0.95</f>
        <v>254.03314917127068</v>
      </c>
      <c r="P25">
        <f>$P$24*(P15/$P$14)</f>
        <v>313.90140845070425</v>
      </c>
      <c r="Q25">
        <f t="shared" ref="Q25:Q27" si="13">P25*X25</f>
        <v>357.8476056338028</v>
      </c>
      <c r="S25" s="16">
        <v>2005</v>
      </c>
      <c r="T25">
        <v>1</v>
      </c>
      <c r="U25">
        <v>1</v>
      </c>
      <c r="V25">
        <v>0.9</v>
      </c>
      <c r="W25">
        <v>0.95</v>
      </c>
      <c r="X25">
        <v>1.1399999999999999</v>
      </c>
    </row>
    <row r="26" spans="1:24" x14ac:dyDescent="0.35">
      <c r="B26" s="16">
        <v>2005</v>
      </c>
      <c r="I26" s="16">
        <v>1995</v>
      </c>
      <c r="J26" s="21">
        <v>85</v>
      </c>
      <c r="K26">
        <f t="shared" si="9"/>
        <v>85</v>
      </c>
      <c r="L26">
        <f t="shared" si="10"/>
        <v>85</v>
      </c>
      <c r="M26" s="14">
        <f t="shared" ref="M26:M31" si="14">$M$24*(M16/$M$14)</f>
        <v>253.7292817679558</v>
      </c>
      <c r="N26" s="14">
        <f t="shared" si="11"/>
        <v>228.35635359116023</v>
      </c>
      <c r="O26" s="14">
        <f t="shared" si="12"/>
        <v>241.042817679558</v>
      </c>
      <c r="P26">
        <f t="shared" ref="P26:P31" si="15">$P$24*(P16/$P$14)</f>
        <v>297.52394366197183</v>
      </c>
      <c r="Q26">
        <f t="shared" si="13"/>
        <v>354.94606478873243</v>
      </c>
      <c r="S26" s="16">
        <v>1995</v>
      </c>
      <c r="T26">
        <v>1</v>
      </c>
      <c r="U26">
        <v>1</v>
      </c>
      <c r="V26">
        <v>0.9</v>
      </c>
      <c r="W26">
        <v>0.95</v>
      </c>
      <c r="X26">
        <v>1.1930000000000001</v>
      </c>
    </row>
    <row r="27" spans="1:24" x14ac:dyDescent="0.35">
      <c r="B27" s="16">
        <v>1995</v>
      </c>
      <c r="I27" s="16">
        <v>1980</v>
      </c>
      <c r="J27" s="21">
        <v>85</v>
      </c>
      <c r="K27">
        <f t="shared" si="9"/>
        <v>85</v>
      </c>
      <c r="L27">
        <f t="shared" si="10"/>
        <v>85</v>
      </c>
      <c r="M27" s="14">
        <f t="shared" si="14"/>
        <v>240.81491712707182</v>
      </c>
      <c r="N27" s="14">
        <f t="shared" si="11"/>
        <v>216.73342541436463</v>
      </c>
      <c r="O27" s="14">
        <f t="shared" si="12"/>
        <v>228.77417127071823</v>
      </c>
      <c r="P27">
        <f t="shared" si="15"/>
        <v>282.05633802816902</v>
      </c>
      <c r="Q27">
        <f t="shared" si="13"/>
        <v>350.03191549295781</v>
      </c>
      <c r="S27" s="16">
        <v>1980</v>
      </c>
      <c r="T27">
        <v>1</v>
      </c>
      <c r="U27">
        <v>1</v>
      </c>
      <c r="V27">
        <v>0.9</v>
      </c>
      <c r="W27">
        <v>0.95</v>
      </c>
      <c r="X27">
        <v>1.2410000000000001</v>
      </c>
    </row>
    <row r="28" spans="1:24" x14ac:dyDescent="0.35">
      <c r="B28" s="16">
        <v>1980</v>
      </c>
      <c r="I28" s="16">
        <v>1970</v>
      </c>
      <c r="J28" s="21">
        <v>85</v>
      </c>
      <c r="K28">
        <f t="shared" si="9"/>
        <v>85</v>
      </c>
      <c r="L28">
        <f t="shared" si="10"/>
        <v>85</v>
      </c>
      <c r="M28" s="14">
        <f t="shared" si="14"/>
        <v>230.93922651933701</v>
      </c>
      <c r="N28" s="14">
        <f t="shared" si="11"/>
        <v>207.84530386740332</v>
      </c>
      <c r="O28" s="14">
        <f t="shared" si="12"/>
        <v>219.39226519337015</v>
      </c>
      <c r="P28">
        <f t="shared" si="15"/>
        <v>270.22816901408453</v>
      </c>
      <c r="Q28" s="19">
        <f>P28*1.13</f>
        <v>305.35783098591548</v>
      </c>
      <c r="S28" s="16">
        <v>1970</v>
      </c>
      <c r="T28">
        <v>1</v>
      </c>
      <c r="U28">
        <v>1</v>
      </c>
      <c r="V28">
        <v>0.9</v>
      </c>
      <c r="W28">
        <v>0.95</v>
      </c>
      <c r="X28" s="19">
        <v>1.35</v>
      </c>
    </row>
    <row r="29" spans="1:24" x14ac:dyDescent="0.35">
      <c r="B29" s="16">
        <v>1970</v>
      </c>
      <c r="I29" s="16">
        <v>1965</v>
      </c>
      <c r="J29" s="21">
        <v>85</v>
      </c>
      <c r="K29">
        <f t="shared" si="9"/>
        <v>85</v>
      </c>
      <c r="L29">
        <f t="shared" si="10"/>
        <v>85</v>
      </c>
      <c r="M29" s="14">
        <f t="shared" si="14"/>
        <v>221.82320441988952</v>
      </c>
      <c r="N29" s="19">
        <f t="shared" si="11"/>
        <v>199.64088397790059</v>
      </c>
      <c r="O29" s="14">
        <f t="shared" si="12"/>
        <v>210.73204419889504</v>
      </c>
      <c r="P29">
        <f t="shared" si="15"/>
        <v>259.3098591549296</v>
      </c>
      <c r="Q29" s="19">
        <f t="shared" ref="Q29:Q31" si="16">P29*1.13</f>
        <v>293.02014084507044</v>
      </c>
      <c r="S29" s="16">
        <v>1965</v>
      </c>
      <c r="T29">
        <v>1</v>
      </c>
      <c r="U29">
        <v>1</v>
      </c>
      <c r="V29" s="19">
        <v>1.35</v>
      </c>
      <c r="W29">
        <v>0.95</v>
      </c>
      <c r="X29" s="19">
        <v>1.3</v>
      </c>
    </row>
    <row r="30" spans="1:24" x14ac:dyDescent="0.35">
      <c r="B30" s="16">
        <v>1965</v>
      </c>
      <c r="I30" s="16">
        <v>1960</v>
      </c>
      <c r="J30" s="21">
        <v>85</v>
      </c>
      <c r="K30" s="19">
        <f t="shared" si="9"/>
        <v>85</v>
      </c>
      <c r="L30">
        <f t="shared" si="10"/>
        <v>85</v>
      </c>
      <c r="M30" s="14">
        <f t="shared" si="14"/>
        <v>210.4281767955801</v>
      </c>
      <c r="N30" s="19">
        <f t="shared" si="11"/>
        <v>189.3853591160221</v>
      </c>
      <c r="O30" s="14">
        <f t="shared" si="12"/>
        <v>199.90676795580109</v>
      </c>
      <c r="P30">
        <f t="shared" si="15"/>
        <v>245.66197183098592</v>
      </c>
      <c r="Q30" s="19">
        <f t="shared" si="16"/>
        <v>277.59802816901407</v>
      </c>
      <c r="S30" s="16">
        <v>1960</v>
      </c>
      <c r="T30" s="19">
        <v>1</v>
      </c>
      <c r="U30">
        <v>1</v>
      </c>
      <c r="V30" s="19">
        <v>1.2250000000000001</v>
      </c>
      <c r="W30">
        <v>0.95</v>
      </c>
      <c r="X30" s="19">
        <v>1.2250000000000001</v>
      </c>
    </row>
    <row r="31" spans="1:24" x14ac:dyDescent="0.35">
      <c r="B31" s="16">
        <v>1960</v>
      </c>
      <c r="I31" s="16">
        <v>1950</v>
      </c>
      <c r="J31" s="21">
        <v>85</v>
      </c>
      <c r="K31" s="19">
        <f t="shared" si="9"/>
        <v>85</v>
      </c>
      <c r="L31">
        <f t="shared" si="10"/>
        <v>85</v>
      </c>
      <c r="M31" s="14">
        <f t="shared" si="14"/>
        <v>199.03314917127074</v>
      </c>
      <c r="N31" s="19">
        <f t="shared" si="11"/>
        <v>179.12983425414367</v>
      </c>
      <c r="O31" s="14">
        <f t="shared" si="12"/>
        <v>189.08149171270719</v>
      </c>
      <c r="P31">
        <f t="shared" si="15"/>
        <v>232.01408450704227</v>
      </c>
      <c r="Q31" s="19">
        <f t="shared" si="16"/>
        <v>262.17591549295776</v>
      </c>
      <c r="S31" s="16">
        <v>1950</v>
      </c>
      <c r="T31" s="19">
        <v>1</v>
      </c>
      <c r="U31">
        <v>1</v>
      </c>
      <c r="V31" s="19">
        <v>1.2250000000000001</v>
      </c>
      <c r="W31">
        <v>0.95</v>
      </c>
      <c r="X31" s="19">
        <v>1.2250000000000001</v>
      </c>
    </row>
    <row r="32" spans="1:24" x14ac:dyDescent="0.35">
      <c r="B32" s="16">
        <v>1950</v>
      </c>
    </row>
    <row r="33" spans="1:17" x14ac:dyDescent="0.35">
      <c r="I33" t="s">
        <v>5</v>
      </c>
      <c r="J33" s="18" t="s">
        <v>35</v>
      </c>
      <c r="K33" s="18" t="s">
        <v>36</v>
      </c>
      <c r="L33" s="18" t="s">
        <v>37</v>
      </c>
      <c r="M33" s="18" t="s">
        <v>38</v>
      </c>
      <c r="N33" s="18" t="s">
        <v>39</v>
      </c>
      <c r="O33" s="18" t="s">
        <v>40</v>
      </c>
      <c r="P33" s="18" t="s">
        <v>41</v>
      </c>
      <c r="Q33" s="18" t="s">
        <v>42</v>
      </c>
    </row>
    <row r="34" spans="1:17" x14ac:dyDescent="0.35">
      <c r="A34" t="s">
        <v>45</v>
      </c>
      <c r="B34">
        <v>0.375</v>
      </c>
      <c r="I34" s="16">
        <v>2020</v>
      </c>
      <c r="J34" s="23">
        <v>60.1</v>
      </c>
      <c r="K34" s="14">
        <f>J34*0.75</f>
        <v>45.075000000000003</v>
      </c>
      <c r="L34" s="20">
        <f>J34*0.95</f>
        <v>57.094999999999999</v>
      </c>
      <c r="M34">
        <v>71.2</v>
      </c>
      <c r="N34">
        <f>M34*0.75</f>
        <v>53.400000000000006</v>
      </c>
      <c r="O34" s="20">
        <f>M34*0.95</f>
        <v>67.64</v>
      </c>
      <c r="P34">
        <v>93.4</v>
      </c>
      <c r="Q34" s="14">
        <f>P34*0.75</f>
        <v>70.050000000000011</v>
      </c>
    </row>
    <row r="35" spans="1:17" x14ac:dyDescent="0.35">
      <c r="A35" t="s">
        <v>46</v>
      </c>
      <c r="B35">
        <v>1.5</v>
      </c>
      <c r="I35" s="16">
        <v>2005</v>
      </c>
      <c r="J35" s="14">
        <f>$J$34*J15/$J$14</f>
        <v>58.518421052631581</v>
      </c>
      <c r="K35" s="14">
        <f t="shared" ref="K35:K41" si="17">J35*0.75</f>
        <v>43.888815789473682</v>
      </c>
      <c r="L35" s="20">
        <f t="shared" ref="L35:L41" si="18">J35*0.95</f>
        <v>55.592500000000001</v>
      </c>
      <c r="M35" s="14">
        <f>$M$34*M15/$M$14</f>
        <v>69.233149171270725</v>
      </c>
      <c r="N35" s="14">
        <f t="shared" ref="N35:N41" si="19">M35*0.75</f>
        <v>51.924861878453044</v>
      </c>
      <c r="O35" s="20">
        <f t="shared" ref="O35:O41" si="20">M35*0.95</f>
        <v>65.771491712707189</v>
      </c>
      <c r="P35" s="14">
        <f>$P$34*P15/$P$14</f>
        <v>90.769014084507049</v>
      </c>
      <c r="Q35" s="14">
        <f t="shared" ref="Q35:Q41" si="21">P35*0.75</f>
        <v>68.07676056338029</v>
      </c>
    </row>
    <row r="36" spans="1:17" x14ac:dyDescent="0.35">
      <c r="I36" s="16">
        <v>1995</v>
      </c>
      <c r="J36" s="14">
        <f t="shared" ref="J36:J41" si="22">$J$34*J16/$J$14</f>
        <v>55.671578947368424</v>
      </c>
      <c r="K36" s="14">
        <f t="shared" si="17"/>
        <v>41.753684210526316</v>
      </c>
      <c r="L36" s="20">
        <f t="shared" si="18"/>
        <v>52.887999999999998</v>
      </c>
      <c r="M36" s="14">
        <f t="shared" ref="M36:M41" si="23">$M$34*M16/$M$14</f>
        <v>65.692817679558004</v>
      </c>
      <c r="N36" s="14">
        <f t="shared" si="19"/>
        <v>49.269613259668503</v>
      </c>
      <c r="O36" s="20">
        <f t="shared" si="20"/>
        <v>62.408176795580104</v>
      </c>
      <c r="P36" s="14">
        <f t="shared" ref="P36:P41" si="24">$P$34*P16/$P$14</f>
        <v>86.033239436619724</v>
      </c>
      <c r="Q36" s="14">
        <f t="shared" si="21"/>
        <v>64.524929577464789</v>
      </c>
    </row>
    <row r="37" spans="1:17" x14ac:dyDescent="0.35">
      <c r="A37" t="s">
        <v>48</v>
      </c>
      <c r="B37">
        <v>523.58000000000004</v>
      </c>
      <c r="I37" s="16">
        <v>1980</v>
      </c>
      <c r="J37" s="14">
        <f t="shared" si="22"/>
        <v>52.982894736842105</v>
      </c>
      <c r="K37" s="14">
        <f t="shared" si="17"/>
        <v>39.737171052631581</v>
      </c>
      <c r="L37" s="20">
        <f t="shared" si="18"/>
        <v>50.333749999999995</v>
      </c>
      <c r="M37" s="14">
        <f t="shared" si="23"/>
        <v>62.349171270718237</v>
      </c>
      <c r="N37" s="14">
        <f t="shared" si="19"/>
        <v>46.761878453038676</v>
      </c>
      <c r="O37" s="20">
        <f t="shared" si="20"/>
        <v>59.231712707182325</v>
      </c>
      <c r="P37" s="14">
        <f t="shared" si="24"/>
        <v>81.560563380281693</v>
      </c>
      <c r="Q37" s="14">
        <f t="shared" si="21"/>
        <v>61.170422535211273</v>
      </c>
    </row>
    <row r="38" spans="1:17" x14ac:dyDescent="0.35">
      <c r="A38" t="s">
        <v>3</v>
      </c>
      <c r="B38">
        <v>1.157</v>
      </c>
      <c r="I38" s="16">
        <v>1970</v>
      </c>
      <c r="J38" s="14">
        <f t="shared" si="22"/>
        <v>50.926842105263162</v>
      </c>
      <c r="K38" s="14">
        <f t="shared" si="17"/>
        <v>38.195131578947368</v>
      </c>
      <c r="L38" s="20">
        <f t="shared" si="18"/>
        <v>48.380500000000005</v>
      </c>
      <c r="M38" s="14">
        <f t="shared" si="23"/>
        <v>59.792265193370163</v>
      </c>
      <c r="N38" s="14">
        <f t="shared" si="19"/>
        <v>44.844198895027624</v>
      </c>
      <c r="O38" s="20">
        <f t="shared" si="20"/>
        <v>56.802651933701654</v>
      </c>
      <c r="P38" s="14">
        <f t="shared" si="24"/>
        <v>78.140281690140853</v>
      </c>
      <c r="Q38" s="19">
        <f t="shared" si="21"/>
        <v>58.60521126760564</v>
      </c>
    </row>
    <row r="39" spans="1:17" x14ac:dyDescent="0.35">
      <c r="A39" t="s">
        <v>5</v>
      </c>
      <c r="B39">
        <f>B37/(B38*10)</f>
        <v>45.253241140881592</v>
      </c>
      <c r="I39" s="16">
        <v>1965</v>
      </c>
      <c r="J39" s="14">
        <f t="shared" si="22"/>
        <v>49.028947368421051</v>
      </c>
      <c r="K39" s="14">
        <f t="shared" si="17"/>
        <v>36.771710526315786</v>
      </c>
      <c r="L39" s="20">
        <f t="shared" si="18"/>
        <v>46.577499999999993</v>
      </c>
      <c r="M39" s="14">
        <f t="shared" si="23"/>
        <v>57.432044198895035</v>
      </c>
      <c r="N39" s="19">
        <f t="shared" si="19"/>
        <v>43.074033149171278</v>
      </c>
      <c r="O39" s="20">
        <f t="shared" si="20"/>
        <v>54.560441988950281</v>
      </c>
      <c r="P39" s="14">
        <f t="shared" si="24"/>
        <v>74.983098591549293</v>
      </c>
      <c r="Q39" s="19">
        <f t="shared" si="21"/>
        <v>56.23732394366197</v>
      </c>
    </row>
    <row r="40" spans="1:17" x14ac:dyDescent="0.35">
      <c r="I40" s="16">
        <v>1960</v>
      </c>
      <c r="J40" s="14">
        <f t="shared" si="22"/>
        <v>46.656578947368423</v>
      </c>
      <c r="K40" s="19">
        <f t="shared" si="17"/>
        <v>34.992434210526319</v>
      </c>
      <c r="L40" s="20">
        <f t="shared" si="18"/>
        <v>44.323749999999997</v>
      </c>
      <c r="M40" s="14">
        <f t="shared" si="23"/>
        <v>54.481767955801111</v>
      </c>
      <c r="N40" s="19">
        <f t="shared" si="19"/>
        <v>40.861325966850835</v>
      </c>
      <c r="O40" s="20">
        <f t="shared" si="20"/>
        <v>51.757679558011056</v>
      </c>
      <c r="P40" s="14">
        <f t="shared" si="24"/>
        <v>71.036619718309865</v>
      </c>
      <c r="Q40" s="19">
        <f t="shared" si="21"/>
        <v>53.277464788732402</v>
      </c>
    </row>
    <row r="41" spans="1:17" x14ac:dyDescent="0.35">
      <c r="I41" s="16">
        <v>1950</v>
      </c>
      <c r="J41" s="14">
        <f t="shared" si="22"/>
        <v>44.284210526315789</v>
      </c>
      <c r="K41" s="19">
        <f t="shared" si="17"/>
        <v>33.213157894736838</v>
      </c>
      <c r="L41" s="20">
        <f t="shared" si="18"/>
        <v>42.07</v>
      </c>
      <c r="M41" s="14">
        <f t="shared" si="23"/>
        <v>51.531491712707187</v>
      </c>
      <c r="N41" s="19">
        <f t="shared" si="19"/>
        <v>38.648618784530392</v>
      </c>
      <c r="O41" s="20">
        <f t="shared" si="20"/>
        <v>48.954917127071823</v>
      </c>
      <c r="P41" s="14">
        <f t="shared" si="24"/>
        <v>67.090140845070422</v>
      </c>
      <c r="Q41" s="19">
        <f t="shared" si="21"/>
        <v>50.317605633802813</v>
      </c>
    </row>
    <row r="44" spans="1:17" x14ac:dyDescent="0.35">
      <c r="I44" t="s">
        <v>47</v>
      </c>
      <c r="J44" s="18">
        <v>0.3125</v>
      </c>
      <c r="K44" s="18">
        <v>0.625</v>
      </c>
      <c r="L44" s="18">
        <v>1</v>
      </c>
      <c r="M44" s="18">
        <v>1.25</v>
      </c>
      <c r="N44" s="18">
        <v>1.875</v>
      </c>
      <c r="O44" s="18">
        <v>2.5</v>
      </c>
      <c r="P44" s="18">
        <v>3.75</v>
      </c>
      <c r="Q44" s="18">
        <v>5</v>
      </c>
    </row>
    <row r="45" spans="1:17" x14ac:dyDescent="0.35">
      <c r="I45" s="16" t="s">
        <v>8</v>
      </c>
      <c r="J45" s="24"/>
      <c r="K45" s="24"/>
      <c r="L45" s="24"/>
      <c r="M45" s="24"/>
      <c r="N45" s="24"/>
      <c r="O45" s="24"/>
      <c r="P45" s="19"/>
      <c r="Q45" s="19"/>
    </row>
    <row r="46" spans="1:17" x14ac:dyDescent="0.35">
      <c r="I46" s="16" t="s">
        <v>9</v>
      </c>
      <c r="J46" s="19"/>
      <c r="K46" s="24"/>
      <c r="L46" s="24"/>
      <c r="M46" s="24"/>
      <c r="N46" s="24"/>
      <c r="O46" s="24"/>
      <c r="P46" s="24"/>
      <c r="Q46" s="19"/>
    </row>
    <row r="47" spans="1:17" x14ac:dyDescent="0.35">
      <c r="A47" t="s">
        <v>5</v>
      </c>
      <c r="B47" t="s">
        <v>18</v>
      </c>
      <c r="C47" t="s">
        <v>26</v>
      </c>
      <c r="D47" t="s">
        <v>24</v>
      </c>
      <c r="E47" t="s">
        <v>19</v>
      </c>
      <c r="F47" t="s">
        <v>20</v>
      </c>
      <c r="I47" s="16" t="s">
        <v>10</v>
      </c>
      <c r="J47" s="19"/>
      <c r="K47" s="19"/>
      <c r="L47" s="24"/>
      <c r="M47" s="24"/>
      <c r="N47" s="24"/>
      <c r="O47" s="24"/>
      <c r="P47" s="24"/>
      <c r="Q47" s="24"/>
    </row>
    <row r="48" spans="1:17" x14ac:dyDescent="0.35">
      <c r="A48" s="16">
        <v>2020</v>
      </c>
      <c r="B48">
        <v>37.799999999999997</v>
      </c>
      <c r="C48">
        <v>71.2</v>
      </c>
      <c r="D48">
        <v>60.1</v>
      </c>
      <c r="E48">
        <v>93.4</v>
      </c>
      <c r="F48">
        <v>80.099999999999994</v>
      </c>
    </row>
    <row r="49" spans="1:15" x14ac:dyDescent="0.35">
      <c r="A49" s="16">
        <v>2005</v>
      </c>
      <c r="B49">
        <v>36.5</v>
      </c>
      <c r="C49">
        <v>68.8</v>
      </c>
      <c r="D49">
        <v>57.8</v>
      </c>
      <c r="E49">
        <v>90.3</v>
      </c>
      <c r="F49">
        <v>77.400000000000006</v>
      </c>
    </row>
    <row r="50" spans="1:15" x14ac:dyDescent="0.35">
      <c r="A50" s="16">
        <v>1995</v>
      </c>
      <c r="B50">
        <v>35.299999999999997</v>
      </c>
      <c r="C50">
        <v>66.400000000000006</v>
      </c>
      <c r="D50">
        <v>55.5</v>
      </c>
      <c r="E50">
        <v>87.1</v>
      </c>
      <c r="F50">
        <v>74.599999999999994</v>
      </c>
    </row>
    <row r="51" spans="1:15" x14ac:dyDescent="0.35">
      <c r="A51" s="16">
        <v>1980</v>
      </c>
      <c r="B51">
        <v>34</v>
      </c>
      <c r="C51">
        <v>64</v>
      </c>
      <c r="D51">
        <v>53.2</v>
      </c>
      <c r="E51">
        <v>82.7</v>
      </c>
      <c r="F51">
        <v>70.900000000000006</v>
      </c>
      <c r="I51">
        <f>C48*0.66</f>
        <v>46.992000000000004</v>
      </c>
    </row>
    <row r="52" spans="1:15" x14ac:dyDescent="0.35">
      <c r="A52" s="16">
        <v>1970</v>
      </c>
      <c r="B52">
        <v>32.799999999999997</v>
      </c>
      <c r="C52">
        <v>61.6</v>
      </c>
      <c r="D52">
        <v>50.9</v>
      </c>
      <c r="E52">
        <v>76.3</v>
      </c>
      <c r="F52">
        <v>65.400000000000006</v>
      </c>
      <c r="I52">
        <f t="shared" ref="I52:I56" si="25">C49*0.66</f>
        <v>45.408000000000001</v>
      </c>
    </row>
    <row r="53" spans="1:15" x14ac:dyDescent="0.35">
      <c r="A53" s="16">
        <v>1965</v>
      </c>
      <c r="B53">
        <v>30.3</v>
      </c>
      <c r="C53">
        <v>56.8</v>
      </c>
      <c r="D53">
        <v>46.2</v>
      </c>
      <c r="E53">
        <v>66.8</v>
      </c>
      <c r="F53">
        <v>57.3</v>
      </c>
      <c r="I53">
        <f t="shared" si="25"/>
        <v>43.824000000000005</v>
      </c>
    </row>
    <row r="54" spans="1:15" x14ac:dyDescent="0.35">
      <c r="A54" s="16">
        <v>1960</v>
      </c>
      <c r="B54">
        <v>25.8</v>
      </c>
      <c r="C54">
        <v>48.8</v>
      </c>
      <c r="D54">
        <v>38.5</v>
      </c>
      <c r="E54">
        <v>54.2</v>
      </c>
      <c r="F54">
        <v>46.4</v>
      </c>
      <c r="I54">
        <f t="shared" si="25"/>
        <v>42.24</v>
      </c>
    </row>
    <row r="55" spans="1:15" x14ac:dyDescent="0.35">
      <c r="A55" s="16">
        <v>1950</v>
      </c>
      <c r="B55">
        <v>18.899999999999999</v>
      </c>
      <c r="C55">
        <v>35.200000000000003</v>
      </c>
      <c r="D55">
        <v>25.4</v>
      </c>
      <c r="E55">
        <v>44.7</v>
      </c>
      <c r="F55">
        <v>38.299999999999997</v>
      </c>
      <c r="I55">
        <f t="shared" si="25"/>
        <v>40.656000000000006</v>
      </c>
    </row>
    <row r="56" spans="1:15" x14ac:dyDescent="0.35">
      <c r="I56">
        <f t="shared" si="25"/>
        <v>37.488</v>
      </c>
    </row>
    <row r="57" spans="1:15" x14ac:dyDescent="0.35">
      <c r="B57" t="s">
        <v>18</v>
      </c>
      <c r="C57" t="s">
        <v>26</v>
      </c>
      <c r="D57" t="s">
        <v>24</v>
      </c>
      <c r="E57" t="s">
        <v>19</v>
      </c>
      <c r="F57" t="s">
        <v>20</v>
      </c>
    </row>
    <row r="58" spans="1:15" x14ac:dyDescent="0.35">
      <c r="A58" t="s">
        <v>12</v>
      </c>
      <c r="B58" s="25"/>
      <c r="C58" s="8" t="s">
        <v>58</v>
      </c>
      <c r="D58" s="25"/>
      <c r="E58" s="8" t="s">
        <v>59</v>
      </c>
      <c r="F58" s="25"/>
      <c r="N58" t="s">
        <v>5</v>
      </c>
      <c r="O58">
        <v>22.5</v>
      </c>
    </row>
    <row r="59" spans="1:15" x14ac:dyDescent="0.35">
      <c r="A59" t="s">
        <v>13</v>
      </c>
      <c r="B59" s="25"/>
      <c r="C59" s="27" t="s">
        <v>62</v>
      </c>
      <c r="D59" s="8" t="s">
        <v>56</v>
      </c>
      <c r="E59" s="25"/>
      <c r="F59" s="8" t="s">
        <v>57</v>
      </c>
      <c r="N59" t="s">
        <v>1</v>
      </c>
      <c r="O59">
        <v>2</v>
      </c>
    </row>
    <row r="60" spans="1:15" x14ac:dyDescent="0.35">
      <c r="A60" t="s">
        <v>11</v>
      </c>
      <c r="B60" s="8" t="s">
        <v>60</v>
      </c>
      <c r="C60" s="8" t="s">
        <v>61</v>
      </c>
      <c r="D60" s="25"/>
      <c r="E60" s="25"/>
      <c r="F60" s="25"/>
      <c r="N60" t="s">
        <v>94</v>
      </c>
      <c r="O60">
        <f>O59/(O58*9.81)</f>
        <v>9.0610488164004979E-3</v>
      </c>
    </row>
    <row r="62" spans="1:15" x14ac:dyDescent="0.35">
      <c r="A62" t="s">
        <v>71</v>
      </c>
      <c r="B62" t="s">
        <v>18</v>
      </c>
      <c r="C62" t="s">
        <v>26</v>
      </c>
      <c r="D62" t="s">
        <v>24</v>
      </c>
      <c r="E62" t="s">
        <v>19</v>
      </c>
      <c r="F62" t="s">
        <v>20</v>
      </c>
    </row>
    <row r="63" spans="1:15" x14ac:dyDescent="0.35">
      <c r="A63" s="16">
        <v>2020</v>
      </c>
      <c r="B63">
        <v>500</v>
      </c>
      <c r="C63">
        <v>5</v>
      </c>
      <c r="D63">
        <v>12</v>
      </c>
      <c r="E63">
        <v>1</v>
      </c>
      <c r="F63">
        <v>2</v>
      </c>
    </row>
    <row r="64" spans="1:15" x14ac:dyDescent="0.35">
      <c r="A64" s="16">
        <v>2005</v>
      </c>
      <c r="B64">
        <v>250</v>
      </c>
      <c r="C64">
        <v>5</v>
      </c>
      <c r="D64">
        <v>10</v>
      </c>
      <c r="E64">
        <v>1</v>
      </c>
      <c r="F64">
        <v>2</v>
      </c>
    </row>
    <row r="65" spans="1:6" x14ac:dyDescent="0.35">
      <c r="A65" s="16">
        <v>1995</v>
      </c>
      <c r="B65">
        <v>100</v>
      </c>
      <c r="C65">
        <v>3</v>
      </c>
      <c r="D65">
        <v>7</v>
      </c>
      <c r="E65">
        <v>1</v>
      </c>
      <c r="F65">
        <v>1</v>
      </c>
    </row>
    <row r="66" spans="1:6" x14ac:dyDescent="0.35">
      <c r="A66" s="16">
        <v>1980</v>
      </c>
      <c r="B66">
        <v>25</v>
      </c>
      <c r="C66">
        <v>2</v>
      </c>
      <c r="D66">
        <v>5</v>
      </c>
      <c r="E66">
        <v>1</v>
      </c>
      <c r="F66">
        <v>1</v>
      </c>
    </row>
    <row r="67" spans="1:6" x14ac:dyDescent="0.35">
      <c r="A67" s="16">
        <v>1970</v>
      </c>
      <c r="B67">
        <v>10</v>
      </c>
      <c r="C67">
        <v>2</v>
      </c>
      <c r="D67">
        <v>3</v>
      </c>
      <c r="E67">
        <v>1</v>
      </c>
      <c r="F67">
        <v>1</v>
      </c>
    </row>
    <row r="68" spans="1:6" x14ac:dyDescent="0.35">
      <c r="A68" s="16">
        <v>1965</v>
      </c>
      <c r="B68">
        <v>10</v>
      </c>
      <c r="C68">
        <v>1</v>
      </c>
      <c r="D68">
        <v>2</v>
      </c>
      <c r="E68">
        <v>1</v>
      </c>
      <c r="F68">
        <v>1</v>
      </c>
    </row>
    <row r="69" spans="1:6" x14ac:dyDescent="0.35">
      <c r="A69" s="16">
        <v>1960</v>
      </c>
      <c r="B69">
        <v>10</v>
      </c>
      <c r="C69">
        <v>1</v>
      </c>
      <c r="D69">
        <v>1</v>
      </c>
      <c r="E69">
        <v>1</v>
      </c>
      <c r="F69">
        <v>1</v>
      </c>
    </row>
    <row r="70" spans="1:6" x14ac:dyDescent="0.35">
      <c r="A70" s="16">
        <v>1950</v>
      </c>
      <c r="B70">
        <v>5</v>
      </c>
      <c r="C70">
        <v>1</v>
      </c>
      <c r="D70">
        <v>1</v>
      </c>
      <c r="E70">
        <v>1</v>
      </c>
      <c r="F70">
        <v>1</v>
      </c>
    </row>
  </sheetData>
  <pageMargins left="0.7" right="0.7" top="0.75" bottom="0.75" header="0.3" footer="0.3"/>
  <pageSetup paperSize="9" orientation="portrait" r:id="rId1"/>
  <ignoredErrors>
    <ignoredError sqref="N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98BE-FA54-421A-A138-A5DB2817987A}">
  <dimension ref="A1:Q32"/>
  <sheetViews>
    <sheetView workbookViewId="0">
      <selection activeCell="R9" sqref="R9"/>
    </sheetView>
  </sheetViews>
  <sheetFormatPr defaultRowHeight="14.5" x14ac:dyDescent="0.35"/>
  <cols>
    <col min="1" max="1" width="23.1796875" customWidth="1"/>
    <col min="2" max="2" width="19.08984375" bestFit="1" customWidth="1"/>
    <col min="12" max="12" width="10.6328125" bestFit="1" customWidth="1"/>
  </cols>
  <sheetData>
    <row r="1" spans="1:17" x14ac:dyDescent="0.35">
      <c r="K1" t="s">
        <v>832</v>
      </c>
      <c r="L1" t="s">
        <v>73</v>
      </c>
      <c r="M1" t="s">
        <v>833</v>
      </c>
      <c r="N1" t="s">
        <v>834</v>
      </c>
      <c r="O1" t="s">
        <v>837</v>
      </c>
      <c r="P1" t="s">
        <v>3</v>
      </c>
      <c r="Q1" t="s">
        <v>847</v>
      </c>
    </row>
    <row r="2" spans="1:17" x14ac:dyDescent="0.35">
      <c r="A2" t="s">
        <v>525</v>
      </c>
      <c r="B2" t="s">
        <v>87</v>
      </c>
      <c r="C2" t="s">
        <v>543</v>
      </c>
      <c r="D2" t="s">
        <v>3</v>
      </c>
      <c r="E2" t="s">
        <v>544</v>
      </c>
      <c r="F2" t="s">
        <v>543</v>
      </c>
      <c r="G2" t="s">
        <v>546</v>
      </c>
      <c r="H2" t="s">
        <v>102</v>
      </c>
      <c r="I2" t="s">
        <v>558</v>
      </c>
      <c r="L2" s="28" t="s">
        <v>836</v>
      </c>
      <c r="M2" s="28">
        <v>1.024</v>
      </c>
      <c r="N2" s="28">
        <v>4</v>
      </c>
      <c r="O2" s="65">
        <v>2000000</v>
      </c>
      <c r="P2" s="28">
        <v>5.0000000000000001E-3</v>
      </c>
      <c r="Q2">
        <f>(51.2/M2)*N2</f>
        <v>200</v>
      </c>
    </row>
    <row r="3" spans="1:17" x14ac:dyDescent="0.35">
      <c r="A3" t="s">
        <v>531</v>
      </c>
      <c r="B3" t="s">
        <v>532</v>
      </c>
      <c r="C3" s="52">
        <v>2000000</v>
      </c>
      <c r="D3">
        <v>5.0000000000000001E-3</v>
      </c>
      <c r="E3">
        <v>1945</v>
      </c>
      <c r="F3" t="s">
        <v>545</v>
      </c>
      <c r="G3" t="s">
        <v>547</v>
      </c>
      <c r="I3" t="s">
        <v>526</v>
      </c>
      <c r="L3" s="28" t="s">
        <v>835</v>
      </c>
      <c r="M3" s="28">
        <v>1.536</v>
      </c>
      <c r="N3" s="28">
        <v>8</v>
      </c>
      <c r="O3" s="65">
        <v>4000000</v>
      </c>
      <c r="P3" s="28">
        <v>8.0000000000000002E-3</v>
      </c>
      <c r="Q3">
        <f t="shared" ref="Q3:Q16" si="0">(51.2/M3)*N3</f>
        <v>266.66666666666669</v>
      </c>
    </row>
    <row r="4" spans="1:17" x14ac:dyDescent="0.35">
      <c r="A4" t="s">
        <v>529</v>
      </c>
      <c r="B4" t="s">
        <v>530</v>
      </c>
      <c r="C4" s="52">
        <v>4000000</v>
      </c>
      <c r="D4">
        <v>3.0000000000000001E-3</v>
      </c>
      <c r="E4">
        <v>1955</v>
      </c>
      <c r="F4" t="s">
        <v>548</v>
      </c>
      <c r="G4" t="s">
        <v>549</v>
      </c>
      <c r="H4" t="s">
        <v>551</v>
      </c>
      <c r="I4" t="s">
        <v>526</v>
      </c>
      <c r="L4" s="28" t="s">
        <v>773</v>
      </c>
      <c r="M4" s="28">
        <v>0.51200000000000001</v>
      </c>
      <c r="N4" s="28">
        <v>11.25</v>
      </c>
      <c r="O4" s="65">
        <v>790000000</v>
      </c>
      <c r="P4" s="28">
        <v>0.03</v>
      </c>
      <c r="Q4">
        <f t="shared" si="0"/>
        <v>1125</v>
      </c>
    </row>
    <row r="5" spans="1:17" x14ac:dyDescent="0.35">
      <c r="A5" t="s">
        <v>527</v>
      </c>
      <c r="B5" t="s">
        <v>528</v>
      </c>
      <c r="C5" s="52">
        <v>800000000</v>
      </c>
      <c r="D5">
        <v>1.4999999999999999E-2</v>
      </c>
      <c r="E5">
        <v>1960</v>
      </c>
      <c r="F5" t="s">
        <v>550</v>
      </c>
      <c r="G5" t="s">
        <v>549</v>
      </c>
      <c r="H5" t="s">
        <v>552</v>
      </c>
      <c r="I5">
        <v>10</v>
      </c>
      <c r="L5" s="28" t="s">
        <v>846</v>
      </c>
      <c r="M5" s="28">
        <v>8.1920000000000002</v>
      </c>
      <c r="N5" s="28">
        <v>50</v>
      </c>
      <c r="O5" s="65">
        <v>100000000</v>
      </c>
      <c r="P5" s="28">
        <v>0.05</v>
      </c>
      <c r="Q5">
        <f t="shared" si="0"/>
        <v>312.5</v>
      </c>
    </row>
    <row r="6" spans="1:17" x14ac:dyDescent="0.35">
      <c r="A6" t="s">
        <v>533</v>
      </c>
      <c r="B6" t="s">
        <v>534</v>
      </c>
      <c r="C6" s="52">
        <v>1000000000</v>
      </c>
      <c r="D6">
        <v>2.5000000000000001E-2</v>
      </c>
      <c r="E6">
        <v>1965</v>
      </c>
      <c r="F6" t="s">
        <v>554</v>
      </c>
      <c r="G6" t="s">
        <v>555</v>
      </c>
      <c r="H6" t="s">
        <v>553</v>
      </c>
      <c r="I6">
        <v>4</v>
      </c>
      <c r="L6" s="28" t="s">
        <v>557</v>
      </c>
      <c r="M6" s="28">
        <v>0.51200000000000001</v>
      </c>
      <c r="N6" s="28">
        <v>10</v>
      </c>
      <c r="O6" s="65">
        <v>2500000000</v>
      </c>
      <c r="P6" s="28">
        <v>2.5000000000000001E-2</v>
      </c>
      <c r="Q6">
        <f t="shared" si="0"/>
        <v>1000</v>
      </c>
    </row>
    <row r="7" spans="1:17" x14ac:dyDescent="0.35">
      <c r="A7" t="s">
        <v>535</v>
      </c>
      <c r="B7" t="s">
        <v>528</v>
      </c>
      <c r="C7" s="52">
        <v>1400000000</v>
      </c>
      <c r="D7">
        <v>0.02</v>
      </c>
      <c r="F7" t="s">
        <v>556</v>
      </c>
      <c r="G7" t="s">
        <v>547</v>
      </c>
      <c r="H7" t="s">
        <v>557</v>
      </c>
      <c r="I7">
        <v>7</v>
      </c>
      <c r="L7" s="28" t="s">
        <v>562</v>
      </c>
      <c r="M7" s="28">
        <f>0.128*3</f>
        <v>0.38400000000000001</v>
      </c>
      <c r="N7" s="28">
        <v>20</v>
      </c>
      <c r="O7" s="65">
        <v>55000000000</v>
      </c>
      <c r="P7" s="28">
        <v>5.5E-2</v>
      </c>
      <c r="Q7">
        <f t="shared" si="0"/>
        <v>2666.666666666667</v>
      </c>
    </row>
    <row r="8" spans="1:17" x14ac:dyDescent="0.35">
      <c r="A8" s="7" t="s">
        <v>537</v>
      </c>
      <c r="B8" s="7" t="s">
        <v>534</v>
      </c>
      <c r="C8" s="58">
        <v>8800000000</v>
      </c>
      <c r="D8" s="7">
        <v>1.2500000000000001E-2</v>
      </c>
      <c r="E8" s="7"/>
      <c r="F8" s="7" t="s">
        <v>559</v>
      </c>
      <c r="G8" s="7" t="s">
        <v>563</v>
      </c>
      <c r="H8" s="7" t="s">
        <v>560</v>
      </c>
      <c r="I8" s="7">
        <v>2</v>
      </c>
      <c r="L8" s="28" t="s">
        <v>838</v>
      </c>
      <c r="M8" s="28">
        <v>1.024</v>
      </c>
      <c r="N8" s="28">
        <v>15</v>
      </c>
      <c r="O8" s="65">
        <v>2500000000</v>
      </c>
      <c r="P8" s="28">
        <v>2.1999999999999999E-2</v>
      </c>
      <c r="Q8">
        <f t="shared" si="0"/>
        <v>750</v>
      </c>
    </row>
    <row r="9" spans="1:17" x14ac:dyDescent="0.35">
      <c r="A9" t="s">
        <v>536</v>
      </c>
      <c r="B9" t="s">
        <v>538</v>
      </c>
      <c r="C9" s="52">
        <v>55000000000</v>
      </c>
      <c r="D9">
        <v>5.5E-2</v>
      </c>
      <c r="F9" t="s">
        <v>561</v>
      </c>
      <c r="G9" t="s">
        <v>547</v>
      </c>
      <c r="H9" t="s">
        <v>562</v>
      </c>
      <c r="I9">
        <v>0.4</v>
      </c>
      <c r="L9" s="28" t="s">
        <v>565</v>
      </c>
      <c r="M9" s="28">
        <v>0.25600000000000001</v>
      </c>
      <c r="N9" s="28">
        <v>25</v>
      </c>
      <c r="O9" s="65">
        <v>2000000000000</v>
      </c>
      <c r="P9" s="28">
        <v>6.5000000000000002E-2</v>
      </c>
      <c r="Q9">
        <f t="shared" si="0"/>
        <v>5000</v>
      </c>
    </row>
    <row r="10" spans="1:17" x14ac:dyDescent="0.35">
      <c r="A10" t="s">
        <v>539</v>
      </c>
      <c r="B10" t="s">
        <v>540</v>
      </c>
      <c r="C10" s="52">
        <v>2000000000000</v>
      </c>
      <c r="D10">
        <v>7.4999999999999997E-2</v>
      </c>
      <c r="F10" t="s">
        <v>564</v>
      </c>
      <c r="G10" t="s">
        <v>555</v>
      </c>
      <c r="H10" t="s">
        <v>565</v>
      </c>
      <c r="I10">
        <v>0.75</v>
      </c>
      <c r="L10" s="28" t="s">
        <v>842</v>
      </c>
      <c r="M10" s="28">
        <f>M9*1.5</f>
        <v>0.38400000000000001</v>
      </c>
      <c r="N10" s="28">
        <v>32.5</v>
      </c>
      <c r="O10" s="65">
        <v>9000000000000</v>
      </c>
      <c r="P10" s="28">
        <v>0.06</v>
      </c>
      <c r="Q10">
        <f t="shared" si="0"/>
        <v>4333.3333333333339</v>
      </c>
    </row>
    <row r="11" spans="1:17" x14ac:dyDescent="0.35">
      <c r="A11" t="s">
        <v>541</v>
      </c>
      <c r="B11" t="s">
        <v>542</v>
      </c>
      <c r="C11" s="52">
        <v>9000000000000</v>
      </c>
      <c r="D11" s="7">
        <v>0.06</v>
      </c>
      <c r="F11" t="s">
        <v>566</v>
      </c>
      <c r="G11" t="s">
        <v>567</v>
      </c>
      <c r="H11" t="s">
        <v>568</v>
      </c>
      <c r="I11">
        <v>0.5</v>
      </c>
      <c r="L11" s="28" t="s">
        <v>841</v>
      </c>
      <c r="M11" s="28">
        <v>0.51200000000000001</v>
      </c>
      <c r="N11" s="28">
        <v>25</v>
      </c>
      <c r="O11" s="65">
        <v>55000000000</v>
      </c>
      <c r="P11" s="28">
        <v>0.05</v>
      </c>
      <c r="Q11">
        <f t="shared" si="0"/>
        <v>2500</v>
      </c>
    </row>
    <row r="12" spans="1:17" x14ac:dyDescent="0.35">
      <c r="L12" s="28" t="s">
        <v>839</v>
      </c>
      <c r="M12" s="28">
        <v>1.536</v>
      </c>
      <c r="N12" s="28">
        <v>18.5</v>
      </c>
      <c r="O12" s="65">
        <v>5000000000</v>
      </c>
      <c r="P12" s="28">
        <v>1.9E-2</v>
      </c>
      <c r="Q12">
        <f t="shared" si="0"/>
        <v>616.66666666666674</v>
      </c>
    </row>
    <row r="13" spans="1:17" x14ac:dyDescent="0.35">
      <c r="A13" t="s">
        <v>569</v>
      </c>
      <c r="B13" t="s">
        <v>570</v>
      </c>
      <c r="L13" s="28" t="s">
        <v>843</v>
      </c>
      <c r="M13" s="28">
        <v>0.51200000000000001</v>
      </c>
      <c r="N13" s="28">
        <v>30</v>
      </c>
      <c r="O13" s="65">
        <v>18000000000000</v>
      </c>
      <c r="P13" s="28">
        <v>5.5E-2</v>
      </c>
      <c r="Q13">
        <f t="shared" si="0"/>
        <v>3000</v>
      </c>
    </row>
    <row r="14" spans="1:17" x14ac:dyDescent="0.35">
      <c r="B14">
        <v>1955</v>
      </c>
      <c r="L14" s="28" t="s">
        <v>840</v>
      </c>
      <c r="M14" s="28">
        <v>2.048</v>
      </c>
      <c r="N14" s="28">
        <v>20</v>
      </c>
      <c r="O14" s="65">
        <v>7500000000</v>
      </c>
      <c r="P14" s="28">
        <v>1.7000000000000001E-2</v>
      </c>
      <c r="Q14">
        <f t="shared" si="0"/>
        <v>500</v>
      </c>
    </row>
    <row r="15" spans="1:17" x14ac:dyDescent="0.35">
      <c r="B15">
        <v>1960</v>
      </c>
      <c r="L15" s="28" t="s">
        <v>844</v>
      </c>
      <c r="M15" s="66">
        <f>M9+M10</f>
        <v>0.64</v>
      </c>
      <c r="N15" s="28">
        <v>25</v>
      </c>
      <c r="O15" s="65">
        <v>36000000000000</v>
      </c>
      <c r="P15" s="28">
        <v>0.05</v>
      </c>
      <c r="Q15">
        <f t="shared" si="0"/>
        <v>2000</v>
      </c>
    </row>
    <row r="16" spans="1:17" x14ac:dyDescent="0.35">
      <c r="B16">
        <v>1965</v>
      </c>
      <c r="L16" s="28" t="s">
        <v>845</v>
      </c>
      <c r="M16" s="28">
        <v>4.0960000000000001</v>
      </c>
      <c r="N16" s="28">
        <v>20</v>
      </c>
      <c r="O16" s="65">
        <v>10000000</v>
      </c>
      <c r="P16" s="28">
        <v>0.01</v>
      </c>
      <c r="Q16">
        <f t="shared" si="0"/>
        <v>250</v>
      </c>
    </row>
    <row r="22" spans="1:4" x14ac:dyDescent="0.35">
      <c r="B22" t="s">
        <v>571</v>
      </c>
      <c r="C22" t="s">
        <v>570</v>
      </c>
    </row>
    <row r="23" spans="1:4" x14ac:dyDescent="0.35">
      <c r="A23" t="s">
        <v>531</v>
      </c>
      <c r="B23" t="s">
        <v>572</v>
      </c>
      <c r="C23">
        <v>1945</v>
      </c>
    </row>
    <row r="24" spans="1:4" x14ac:dyDescent="0.35">
      <c r="A24" t="s">
        <v>529</v>
      </c>
      <c r="B24" t="s">
        <v>572</v>
      </c>
      <c r="C24">
        <v>1955</v>
      </c>
    </row>
    <row r="25" spans="1:4" x14ac:dyDescent="0.35">
      <c r="A25" t="s">
        <v>527</v>
      </c>
      <c r="B25" t="s">
        <v>572</v>
      </c>
      <c r="C25">
        <v>1960</v>
      </c>
    </row>
    <row r="26" spans="1:4" x14ac:dyDescent="0.35">
      <c r="A26" t="s">
        <v>533</v>
      </c>
      <c r="B26" t="s">
        <v>573</v>
      </c>
      <c r="C26">
        <v>1965</v>
      </c>
    </row>
    <row r="27" spans="1:4" x14ac:dyDescent="0.35">
      <c r="A27" t="s">
        <v>535</v>
      </c>
      <c r="B27" t="s">
        <v>574</v>
      </c>
      <c r="C27">
        <v>1970</v>
      </c>
      <c r="D27" t="s">
        <v>577</v>
      </c>
    </row>
    <row r="29" spans="1:4" x14ac:dyDescent="0.35">
      <c r="A29" t="s">
        <v>536</v>
      </c>
      <c r="B29" t="s">
        <v>572</v>
      </c>
      <c r="C29">
        <v>1975</v>
      </c>
    </row>
    <row r="30" spans="1:4" x14ac:dyDescent="0.35">
      <c r="A30" t="s">
        <v>539</v>
      </c>
      <c r="B30" t="s">
        <v>572</v>
      </c>
      <c r="C30">
        <v>1980</v>
      </c>
    </row>
    <row r="31" spans="1:4" x14ac:dyDescent="0.35">
      <c r="A31" t="s">
        <v>541</v>
      </c>
      <c r="B31" t="s">
        <v>575</v>
      </c>
      <c r="C31">
        <v>2020</v>
      </c>
      <c r="D31" t="s">
        <v>577</v>
      </c>
    </row>
    <row r="32" spans="1:4" x14ac:dyDescent="0.35">
      <c r="A32" t="s">
        <v>537</v>
      </c>
      <c r="B32" t="s">
        <v>576</v>
      </c>
      <c r="C32">
        <v>1995</v>
      </c>
      <c r="D32" t="s">
        <v>577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089A-4553-42BF-A71E-8D0C11B60E34}">
  <dimension ref="A1:K26"/>
  <sheetViews>
    <sheetView workbookViewId="0">
      <selection activeCell="A15" sqref="A15"/>
    </sheetView>
  </sheetViews>
  <sheetFormatPr defaultRowHeight="14.5" x14ac:dyDescent="0.35"/>
  <cols>
    <col min="1" max="1" width="25.26953125" bestFit="1" customWidth="1"/>
    <col min="4" max="4" width="18.08984375" bestFit="1" customWidth="1"/>
    <col min="10" max="10" width="13.26953125" customWidth="1"/>
  </cols>
  <sheetData>
    <row r="1" spans="1:11" x14ac:dyDescent="0.35">
      <c r="A1" s="22" t="s">
        <v>707</v>
      </c>
      <c r="B1" s="22" t="s">
        <v>94</v>
      </c>
      <c r="C1" s="22" t="s">
        <v>708</v>
      </c>
      <c r="D1" s="22" t="s">
        <v>442</v>
      </c>
      <c r="E1" s="22" t="s">
        <v>710</v>
      </c>
      <c r="F1" s="22" t="s">
        <v>711</v>
      </c>
      <c r="G1" s="22" t="s">
        <v>712</v>
      </c>
      <c r="H1" s="22" t="s">
        <v>600</v>
      </c>
      <c r="I1" s="22" t="s">
        <v>110</v>
      </c>
    </row>
    <row r="2" spans="1:11" x14ac:dyDescent="0.35">
      <c r="A2" s="28" t="s">
        <v>706</v>
      </c>
      <c r="B2">
        <v>7.4999999999999997E-2</v>
      </c>
      <c r="C2" t="s">
        <v>709</v>
      </c>
      <c r="D2">
        <v>0.8</v>
      </c>
      <c r="E2">
        <v>20</v>
      </c>
      <c r="F2">
        <v>250</v>
      </c>
      <c r="G2">
        <v>70</v>
      </c>
      <c r="I2" t="s">
        <v>715</v>
      </c>
    </row>
    <row r="3" spans="1:11" x14ac:dyDescent="0.35">
      <c r="A3" s="7" t="s">
        <v>713</v>
      </c>
      <c r="B3">
        <v>0.125</v>
      </c>
      <c r="C3" t="s">
        <v>714</v>
      </c>
      <c r="D3">
        <v>1</v>
      </c>
      <c r="E3">
        <v>70</v>
      </c>
      <c r="F3">
        <v>400</v>
      </c>
      <c r="G3">
        <v>300</v>
      </c>
      <c r="I3" t="s">
        <v>113</v>
      </c>
    </row>
    <row r="4" spans="1:11" x14ac:dyDescent="0.35">
      <c r="A4" t="s">
        <v>717</v>
      </c>
      <c r="B4">
        <v>0.25</v>
      </c>
      <c r="C4" t="s">
        <v>714</v>
      </c>
      <c r="D4">
        <v>1.5</v>
      </c>
      <c r="E4">
        <v>100</v>
      </c>
      <c r="F4">
        <v>750</v>
      </c>
      <c r="G4">
        <v>500</v>
      </c>
      <c r="I4" t="s">
        <v>716</v>
      </c>
    </row>
    <row r="5" spans="1:11" x14ac:dyDescent="0.35">
      <c r="A5" s="7" t="s">
        <v>718</v>
      </c>
      <c r="B5">
        <v>7.4999999999999997E-2</v>
      </c>
      <c r="C5" t="s">
        <v>719</v>
      </c>
      <c r="D5">
        <v>1</v>
      </c>
      <c r="E5">
        <v>10</v>
      </c>
      <c r="F5">
        <v>500</v>
      </c>
      <c r="I5" t="s">
        <v>113</v>
      </c>
      <c r="J5" t="s">
        <v>720</v>
      </c>
    </row>
    <row r="6" spans="1:11" x14ac:dyDescent="0.35">
      <c r="A6" t="s">
        <v>721</v>
      </c>
      <c r="B6">
        <v>0.125</v>
      </c>
      <c r="C6" t="s">
        <v>719</v>
      </c>
      <c r="D6">
        <v>1</v>
      </c>
      <c r="E6">
        <v>10</v>
      </c>
      <c r="F6">
        <v>500</v>
      </c>
      <c r="I6" t="s">
        <v>722</v>
      </c>
      <c r="J6" t="s">
        <v>723</v>
      </c>
    </row>
    <row r="7" spans="1:11" x14ac:dyDescent="0.35">
      <c r="A7" s="63" t="s">
        <v>724</v>
      </c>
      <c r="B7">
        <v>0.4</v>
      </c>
      <c r="C7" t="s">
        <v>726</v>
      </c>
      <c r="D7">
        <v>0.1</v>
      </c>
      <c r="E7">
        <v>10</v>
      </c>
      <c r="F7">
        <v>8000</v>
      </c>
      <c r="G7">
        <v>7500</v>
      </c>
      <c r="I7" t="s">
        <v>722</v>
      </c>
      <c r="J7" t="s">
        <v>725</v>
      </c>
    </row>
    <row r="8" spans="1:11" x14ac:dyDescent="0.35">
      <c r="A8" t="s">
        <v>727</v>
      </c>
      <c r="B8">
        <v>0.8</v>
      </c>
      <c r="C8" t="s">
        <v>728</v>
      </c>
      <c r="D8">
        <v>4.5</v>
      </c>
      <c r="E8">
        <v>250</v>
      </c>
      <c r="F8">
        <v>1000</v>
      </c>
      <c r="G8">
        <v>500</v>
      </c>
      <c r="I8" t="s">
        <v>722</v>
      </c>
      <c r="J8" t="s">
        <v>729</v>
      </c>
      <c r="K8" t="s">
        <v>730</v>
      </c>
    </row>
    <row r="9" spans="1:11" x14ac:dyDescent="0.35">
      <c r="A9" t="s">
        <v>731</v>
      </c>
      <c r="B9">
        <v>0.18</v>
      </c>
      <c r="C9" t="s">
        <v>726</v>
      </c>
      <c r="D9">
        <v>0.1</v>
      </c>
      <c r="E9">
        <v>10</v>
      </c>
      <c r="F9">
        <v>8000</v>
      </c>
      <c r="G9">
        <v>7500</v>
      </c>
      <c r="I9" t="s">
        <v>716</v>
      </c>
      <c r="J9" t="s">
        <v>732</v>
      </c>
    </row>
    <row r="10" spans="1:11" x14ac:dyDescent="0.35">
      <c r="A10" s="7" t="s">
        <v>733</v>
      </c>
      <c r="B10">
        <v>0.1</v>
      </c>
      <c r="C10" t="s">
        <v>734</v>
      </c>
      <c r="D10">
        <v>1.8</v>
      </c>
      <c r="E10">
        <v>20</v>
      </c>
      <c r="F10">
        <v>250</v>
      </c>
      <c r="G10">
        <v>70</v>
      </c>
      <c r="I10" t="s">
        <v>715</v>
      </c>
    </row>
    <row r="11" spans="1:11" x14ac:dyDescent="0.35">
      <c r="A11" t="s">
        <v>735</v>
      </c>
      <c r="B11">
        <v>0.27500000000000002</v>
      </c>
      <c r="C11" t="s">
        <v>734</v>
      </c>
      <c r="D11">
        <v>1.5</v>
      </c>
      <c r="E11">
        <v>70</v>
      </c>
      <c r="F11">
        <v>500</v>
      </c>
      <c r="G11">
        <v>250</v>
      </c>
      <c r="I11" t="s">
        <v>113</v>
      </c>
    </row>
    <row r="12" spans="1:11" x14ac:dyDescent="0.35">
      <c r="A12" t="s">
        <v>736</v>
      </c>
      <c r="B12">
        <v>0.5</v>
      </c>
      <c r="C12" t="s">
        <v>734</v>
      </c>
      <c r="D12">
        <v>1.3</v>
      </c>
      <c r="E12">
        <v>100</v>
      </c>
      <c r="F12">
        <v>750</v>
      </c>
      <c r="G12">
        <v>500</v>
      </c>
      <c r="I12" t="s">
        <v>716</v>
      </c>
      <c r="J12" t="s">
        <v>737</v>
      </c>
    </row>
    <row r="13" spans="1:11" x14ac:dyDescent="0.35">
      <c r="A13" s="63" t="s">
        <v>738</v>
      </c>
      <c r="B13">
        <v>0.05</v>
      </c>
      <c r="C13" t="s">
        <v>739</v>
      </c>
      <c r="D13">
        <v>0.8</v>
      </c>
      <c r="E13">
        <v>20</v>
      </c>
      <c r="F13">
        <v>250</v>
      </c>
      <c r="G13">
        <v>70</v>
      </c>
      <c r="I13" t="s">
        <v>715</v>
      </c>
    </row>
    <row r="14" spans="1:11" x14ac:dyDescent="0.35">
      <c r="A14" t="s">
        <v>740</v>
      </c>
      <c r="B14">
        <v>0.3</v>
      </c>
      <c r="C14" t="s">
        <v>739</v>
      </c>
      <c r="D14">
        <v>1.5</v>
      </c>
      <c r="E14">
        <v>70</v>
      </c>
      <c r="F14">
        <v>500</v>
      </c>
      <c r="G14">
        <v>350</v>
      </c>
      <c r="I14" t="s">
        <v>741</v>
      </c>
      <c r="J14" t="s">
        <v>742</v>
      </c>
    </row>
    <row r="15" spans="1:11" x14ac:dyDescent="0.35">
      <c r="A15" t="s">
        <v>743</v>
      </c>
      <c r="B15">
        <v>1.75</v>
      </c>
      <c r="C15" t="s">
        <v>739</v>
      </c>
      <c r="D15">
        <v>2</v>
      </c>
      <c r="E15">
        <v>100</v>
      </c>
      <c r="F15">
        <v>1000</v>
      </c>
      <c r="G15">
        <v>200</v>
      </c>
      <c r="I15" t="s">
        <v>744</v>
      </c>
      <c r="J15" t="s">
        <v>745</v>
      </c>
    </row>
    <row r="20" spans="1:10" x14ac:dyDescent="0.35">
      <c r="A20" t="s">
        <v>825</v>
      </c>
      <c r="B20">
        <v>10</v>
      </c>
      <c r="C20" t="s">
        <v>719</v>
      </c>
      <c r="D20" t="s">
        <v>91</v>
      </c>
      <c r="E20" s="40">
        <v>1970</v>
      </c>
      <c r="F20" s="40" t="s">
        <v>719</v>
      </c>
    </row>
    <row r="21" spans="1:10" x14ac:dyDescent="0.35">
      <c r="A21" t="s">
        <v>826</v>
      </c>
      <c r="B21">
        <v>20</v>
      </c>
      <c r="C21" t="s">
        <v>726</v>
      </c>
      <c r="D21" t="s">
        <v>92</v>
      </c>
      <c r="E21" s="40">
        <v>1975</v>
      </c>
      <c r="F21" s="40" t="s">
        <v>719</v>
      </c>
      <c r="G21" s="40" t="s">
        <v>734</v>
      </c>
    </row>
    <row r="22" spans="1:10" x14ac:dyDescent="0.35">
      <c r="A22" t="s">
        <v>827</v>
      </c>
      <c r="B22">
        <v>15</v>
      </c>
      <c r="C22" t="s">
        <v>57</v>
      </c>
      <c r="D22" t="s">
        <v>205</v>
      </c>
      <c r="E22" s="40">
        <v>1985</v>
      </c>
      <c r="F22" s="40" t="s">
        <v>719</v>
      </c>
      <c r="G22" s="40" t="s">
        <v>734</v>
      </c>
      <c r="H22" s="40" t="s">
        <v>739</v>
      </c>
    </row>
    <row r="23" spans="1:10" x14ac:dyDescent="0.35">
      <c r="A23" t="s">
        <v>828</v>
      </c>
      <c r="B23">
        <v>10</v>
      </c>
      <c r="C23" t="s">
        <v>734</v>
      </c>
      <c r="D23" t="s">
        <v>164</v>
      </c>
      <c r="E23" s="40">
        <v>1995</v>
      </c>
      <c r="G23" s="40" t="s">
        <v>734</v>
      </c>
      <c r="H23" s="40" t="s">
        <v>739</v>
      </c>
      <c r="I23" s="40" t="s">
        <v>57</v>
      </c>
    </row>
    <row r="24" spans="1:10" x14ac:dyDescent="0.35">
      <c r="A24" t="s">
        <v>829</v>
      </c>
      <c r="B24">
        <v>12</v>
      </c>
      <c r="C24" t="s">
        <v>739</v>
      </c>
      <c r="D24" t="s">
        <v>93</v>
      </c>
      <c r="E24" s="40">
        <v>2005</v>
      </c>
      <c r="H24" s="40" t="s">
        <v>739</v>
      </c>
      <c r="I24" s="40" t="s">
        <v>57</v>
      </c>
      <c r="J24" t="s">
        <v>726</v>
      </c>
    </row>
    <row r="25" spans="1:10" x14ac:dyDescent="0.35">
      <c r="D25" t="s">
        <v>206</v>
      </c>
      <c r="E25" s="40">
        <v>2020</v>
      </c>
      <c r="I25" s="40" t="s">
        <v>57</v>
      </c>
      <c r="J25" t="s">
        <v>726</v>
      </c>
    </row>
    <row r="26" spans="1:10" x14ac:dyDescent="0.35">
      <c r="D26" s="64" t="s">
        <v>207</v>
      </c>
      <c r="E26" s="40">
        <v>2040</v>
      </c>
      <c r="J26" t="s">
        <v>726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E377-6A25-44B8-86FD-249E3C4539F7}">
  <dimension ref="A1:L49"/>
  <sheetViews>
    <sheetView workbookViewId="0">
      <selection activeCell="D9" sqref="D9:D13"/>
    </sheetView>
  </sheetViews>
  <sheetFormatPr defaultRowHeight="14.5" x14ac:dyDescent="0.35"/>
  <cols>
    <col min="3" max="3" width="13.453125" customWidth="1"/>
    <col min="5" max="5" width="12.36328125" bestFit="1" customWidth="1"/>
    <col min="7" max="7" width="13.08984375" customWidth="1"/>
    <col min="10" max="10" width="10.81640625" bestFit="1" customWidth="1"/>
    <col min="11" max="11" width="11.81640625" bestFit="1" customWidth="1"/>
  </cols>
  <sheetData>
    <row r="1" spans="1:12" x14ac:dyDescent="0.35">
      <c r="A1" t="s">
        <v>404</v>
      </c>
      <c r="D1" t="s">
        <v>233</v>
      </c>
      <c r="E1" t="s">
        <v>480</v>
      </c>
    </row>
    <row r="2" spans="1:12" x14ac:dyDescent="0.35">
      <c r="A2" t="s">
        <v>3</v>
      </c>
      <c r="B2">
        <v>3.32E-2</v>
      </c>
      <c r="C2" t="s">
        <v>419</v>
      </c>
      <c r="D2">
        <v>0.08</v>
      </c>
      <c r="E2">
        <v>0.14000000000000001</v>
      </c>
    </row>
    <row r="3" spans="1:12" x14ac:dyDescent="0.35">
      <c r="A3" t="s">
        <v>420</v>
      </c>
      <c r="B3">
        <v>0.1575</v>
      </c>
      <c r="C3" t="s">
        <v>400</v>
      </c>
      <c r="D3">
        <v>0.75</v>
      </c>
      <c r="E3">
        <v>3</v>
      </c>
    </row>
    <row r="4" spans="1:12" x14ac:dyDescent="0.35">
      <c r="A4" t="s">
        <v>421</v>
      </c>
      <c r="B4">
        <f>B3/B2</f>
        <v>4.7439759036144578</v>
      </c>
      <c r="C4" t="s">
        <v>421</v>
      </c>
      <c r="D4">
        <f>D3/D2</f>
        <v>9.375</v>
      </c>
      <c r="E4">
        <f>E3/E2</f>
        <v>21.428571428571427</v>
      </c>
    </row>
    <row r="6" spans="1:12" x14ac:dyDescent="0.35">
      <c r="A6" t="s">
        <v>478</v>
      </c>
      <c r="B6">
        <v>15</v>
      </c>
      <c r="C6" t="s">
        <v>479</v>
      </c>
    </row>
    <row r="7" spans="1:12" x14ac:dyDescent="0.35">
      <c r="A7" t="s">
        <v>94</v>
      </c>
      <c r="B7">
        <v>0.1</v>
      </c>
    </row>
    <row r="8" spans="1:12" x14ac:dyDescent="0.35">
      <c r="B8" t="s">
        <v>481</v>
      </c>
      <c r="C8" t="s">
        <v>443</v>
      </c>
      <c r="D8" t="s">
        <v>916</v>
      </c>
      <c r="G8" t="s">
        <v>524</v>
      </c>
    </row>
    <row r="9" spans="1:12" x14ac:dyDescent="0.35">
      <c r="A9">
        <v>1975</v>
      </c>
      <c r="B9">
        <v>7.5</v>
      </c>
      <c r="C9">
        <f>B9*$B$7</f>
        <v>0.75</v>
      </c>
      <c r="D9">
        <f>C9/2.5</f>
        <v>0.3</v>
      </c>
      <c r="G9" t="s">
        <v>523</v>
      </c>
    </row>
    <row r="10" spans="1:12" x14ac:dyDescent="0.35">
      <c r="A10">
        <v>1985</v>
      </c>
      <c r="B10">
        <v>12.5</v>
      </c>
      <c r="C10">
        <f t="shared" ref="C10:C13" si="0">B10*$B$7</f>
        <v>1.25</v>
      </c>
      <c r="D10">
        <f t="shared" ref="D10:D13" si="1">C10/2.5</f>
        <v>0.5</v>
      </c>
    </row>
    <row r="11" spans="1:12" x14ac:dyDescent="0.35">
      <c r="A11">
        <v>2005</v>
      </c>
      <c r="B11">
        <v>17.5</v>
      </c>
      <c r="C11">
        <f t="shared" si="0"/>
        <v>1.75</v>
      </c>
      <c r="D11">
        <f t="shared" si="1"/>
        <v>0.7</v>
      </c>
    </row>
    <row r="12" spans="1:12" x14ac:dyDescent="0.35">
      <c r="A12">
        <v>2020</v>
      </c>
      <c r="B12">
        <v>20</v>
      </c>
      <c r="C12">
        <f t="shared" si="0"/>
        <v>2</v>
      </c>
      <c r="D12">
        <f t="shared" si="1"/>
        <v>0.8</v>
      </c>
    </row>
    <row r="13" spans="1:12" x14ac:dyDescent="0.35">
      <c r="A13">
        <v>2040</v>
      </c>
      <c r="B13">
        <v>22.5</v>
      </c>
      <c r="C13">
        <f t="shared" si="0"/>
        <v>2.25</v>
      </c>
      <c r="D13">
        <f t="shared" si="1"/>
        <v>0.9</v>
      </c>
    </row>
    <row r="15" spans="1:12" x14ac:dyDescent="0.35">
      <c r="A15" t="s">
        <v>484</v>
      </c>
      <c r="B15" t="s">
        <v>3</v>
      </c>
      <c r="D15" t="s">
        <v>443</v>
      </c>
      <c r="E15" t="s">
        <v>486</v>
      </c>
      <c r="F15" t="s">
        <v>400</v>
      </c>
      <c r="G15" t="s">
        <v>486</v>
      </c>
      <c r="H15" t="s">
        <v>492</v>
      </c>
      <c r="I15" t="s">
        <v>493</v>
      </c>
      <c r="J15" t="s">
        <v>210</v>
      </c>
      <c r="K15" t="s">
        <v>504</v>
      </c>
      <c r="L15" t="s">
        <v>505</v>
      </c>
    </row>
    <row r="16" spans="1:12" x14ac:dyDescent="0.35">
      <c r="A16" t="s">
        <v>485</v>
      </c>
      <c r="B16">
        <v>0.16400000000000001</v>
      </c>
      <c r="C16" t="s">
        <v>516</v>
      </c>
      <c r="D16">
        <v>60</v>
      </c>
      <c r="E16">
        <v>2.3908500000000003E-7</v>
      </c>
      <c r="F16">
        <v>750</v>
      </c>
      <c r="G16">
        <v>11</v>
      </c>
      <c r="H16">
        <f>(G16)/(E16*60*60*24*365)</f>
        <v>1.4589276275023964</v>
      </c>
      <c r="I16">
        <f>H16*365</f>
        <v>532.50858403837469</v>
      </c>
      <c r="J16">
        <f t="shared" ref="J16:J21" si="2">D16/B16</f>
        <v>365.85365853658533</v>
      </c>
      <c r="K16">
        <f>E16/F16</f>
        <v>3.1878000000000001E-10</v>
      </c>
      <c r="L16">
        <f>E16/D16</f>
        <v>3.9847500000000003E-9</v>
      </c>
    </row>
    <row r="17" spans="1:12" x14ac:dyDescent="0.35">
      <c r="A17" t="s">
        <v>487</v>
      </c>
      <c r="B17">
        <v>1.0669999999999999</v>
      </c>
      <c r="C17" t="s">
        <v>514</v>
      </c>
      <c r="D17">
        <v>400</v>
      </c>
      <c r="E17">
        <v>1.4127799999999999E-6</v>
      </c>
      <c r="F17">
        <v>4000</v>
      </c>
      <c r="G17">
        <v>65</v>
      </c>
      <c r="H17">
        <f t="shared" ref="H17:H21" si="3">(G17)/(E17*60*60*24*365)</f>
        <v>1.4589224641803382</v>
      </c>
      <c r="I17">
        <f t="shared" ref="I17:I21" si="4">H17*365</f>
        <v>532.5066994258234</v>
      </c>
      <c r="J17">
        <f t="shared" si="2"/>
        <v>374.88284910965325</v>
      </c>
      <c r="K17">
        <f t="shared" ref="K17:K21" si="5">E17/F17</f>
        <v>3.5319499999999999E-10</v>
      </c>
      <c r="L17">
        <f t="shared" ref="L17:L21" si="6">E17/D17</f>
        <v>3.53195E-9</v>
      </c>
    </row>
    <row r="18" spans="1:12" x14ac:dyDescent="0.35">
      <c r="A18" t="s">
        <v>488</v>
      </c>
      <c r="B18">
        <v>5.2119999999999997</v>
      </c>
      <c r="C18" t="s">
        <v>515</v>
      </c>
      <c r="D18">
        <v>2000</v>
      </c>
      <c r="E18">
        <v>6.0858000000000002E-6</v>
      </c>
      <c r="F18">
        <v>17500</v>
      </c>
      <c r="G18">
        <v>280</v>
      </c>
      <c r="H18">
        <f t="shared" si="3"/>
        <v>1.4589276275023964</v>
      </c>
      <c r="I18">
        <f t="shared" si="4"/>
        <v>532.50858403837469</v>
      </c>
      <c r="J18">
        <f t="shared" si="2"/>
        <v>383.7298541826554</v>
      </c>
      <c r="K18">
        <f t="shared" si="5"/>
        <v>3.4776E-10</v>
      </c>
      <c r="L18">
        <f t="shared" si="6"/>
        <v>3.0429000000000003E-9</v>
      </c>
    </row>
    <row r="19" spans="1:12" x14ac:dyDescent="0.35">
      <c r="A19" t="s">
        <v>489</v>
      </c>
      <c r="B19">
        <v>7.7640000000000002</v>
      </c>
      <c r="D19">
        <v>3000</v>
      </c>
      <c r="E19">
        <v>8.6941000000000003E-6</v>
      </c>
      <c r="F19">
        <v>20000</v>
      </c>
      <c r="G19">
        <v>400</v>
      </c>
      <c r="H19">
        <f t="shared" si="3"/>
        <v>1.4589108468393319</v>
      </c>
      <c r="I19">
        <f t="shared" si="4"/>
        <v>532.50245909635612</v>
      </c>
      <c r="J19">
        <f t="shared" si="2"/>
        <v>386.39876352395669</v>
      </c>
      <c r="K19">
        <f t="shared" si="5"/>
        <v>4.34705E-10</v>
      </c>
      <c r="L19">
        <f t="shared" si="6"/>
        <v>2.8980333333333335E-9</v>
      </c>
    </row>
    <row r="20" spans="1:12" x14ac:dyDescent="0.35">
      <c r="A20" t="s">
        <v>490</v>
      </c>
      <c r="B20">
        <v>5.4039999999999999</v>
      </c>
      <c r="C20" t="s">
        <v>517</v>
      </c>
      <c r="D20">
        <v>2000</v>
      </c>
      <c r="E20">
        <v>5.4338000000000004E-6</v>
      </c>
      <c r="F20">
        <v>15000</v>
      </c>
      <c r="G20">
        <v>350</v>
      </c>
      <c r="H20">
        <f t="shared" si="3"/>
        <v>2.0424798841174874</v>
      </c>
      <c r="I20">
        <f t="shared" si="4"/>
        <v>745.50515770288291</v>
      </c>
      <c r="J20">
        <f t="shared" si="2"/>
        <v>370.09622501850481</v>
      </c>
      <c r="K20">
        <f t="shared" si="5"/>
        <v>3.6225333333333336E-10</v>
      </c>
      <c r="L20">
        <f t="shared" si="6"/>
        <v>2.7169E-9</v>
      </c>
    </row>
    <row r="21" spans="1:12" x14ac:dyDescent="0.35">
      <c r="A21" t="s">
        <v>491</v>
      </c>
      <c r="B21">
        <v>15.445</v>
      </c>
      <c r="D21">
        <v>6000</v>
      </c>
      <c r="E21">
        <v>1.6736E-5</v>
      </c>
      <c r="F21">
        <v>32500</v>
      </c>
      <c r="G21">
        <v>770</v>
      </c>
      <c r="H21">
        <f t="shared" si="3"/>
        <v>1.4589232688515017</v>
      </c>
      <c r="I21">
        <f t="shared" si="4"/>
        <v>532.50699313079815</v>
      </c>
      <c r="J21">
        <f t="shared" si="2"/>
        <v>388.47523470378763</v>
      </c>
      <c r="K21">
        <f t="shared" si="5"/>
        <v>5.1495384615384616E-10</v>
      </c>
      <c r="L21">
        <f t="shared" si="6"/>
        <v>2.7893333333333332E-9</v>
      </c>
    </row>
    <row r="23" spans="1:12" x14ac:dyDescent="0.35">
      <c r="A23" t="s">
        <v>513</v>
      </c>
    </row>
    <row r="24" spans="1:12" x14ac:dyDescent="0.35">
      <c r="B24" t="s">
        <v>497</v>
      </c>
      <c r="C24" t="s">
        <v>94</v>
      </c>
      <c r="D24" t="s">
        <v>426</v>
      </c>
      <c r="E24" t="s">
        <v>501</v>
      </c>
    </row>
    <row r="25" spans="1:12" x14ac:dyDescent="0.35">
      <c r="A25" t="s">
        <v>494</v>
      </c>
      <c r="B25">
        <v>100000</v>
      </c>
      <c r="C25">
        <v>0.51200000000000001</v>
      </c>
      <c r="D25">
        <f>B25/(C25*1000)</f>
        <v>195.3125</v>
      </c>
      <c r="E25">
        <f>(D25*1000)/15</f>
        <v>13020.833333333334</v>
      </c>
    </row>
    <row r="26" spans="1:12" x14ac:dyDescent="0.35">
      <c r="A26" t="s">
        <v>495</v>
      </c>
      <c r="B26">
        <v>1000</v>
      </c>
      <c r="C26">
        <v>0.13400000000000001</v>
      </c>
      <c r="D26">
        <f t="shared" ref="D26:D30" si="7">B26/(C26*1000)</f>
        <v>7.4626865671641793</v>
      </c>
      <c r="E26">
        <f t="shared" ref="E26:E30" si="8">(D26*1000)/15</f>
        <v>497.51243781094524</v>
      </c>
    </row>
    <row r="27" spans="1:12" x14ac:dyDescent="0.35">
      <c r="A27" t="s">
        <v>496</v>
      </c>
      <c r="B27">
        <v>10000</v>
      </c>
      <c r="C27">
        <v>1.5</v>
      </c>
      <c r="D27">
        <f t="shared" si="7"/>
        <v>6.666666666666667</v>
      </c>
      <c r="E27">
        <f t="shared" si="8"/>
        <v>444.44444444444446</v>
      </c>
    </row>
    <row r="28" spans="1:12" x14ac:dyDescent="0.35">
      <c r="A28" t="s">
        <v>498</v>
      </c>
      <c r="B28">
        <v>5000</v>
      </c>
      <c r="C28">
        <v>0.38500000000000001</v>
      </c>
      <c r="D28">
        <f t="shared" si="7"/>
        <v>12.987012987012987</v>
      </c>
      <c r="E28">
        <f t="shared" si="8"/>
        <v>865.80086580086584</v>
      </c>
    </row>
    <row r="29" spans="1:12" x14ac:dyDescent="0.35">
      <c r="A29" t="s">
        <v>499</v>
      </c>
      <c r="B29">
        <v>5000</v>
      </c>
      <c r="C29">
        <v>0.32</v>
      </c>
      <c r="D29">
        <f t="shared" si="7"/>
        <v>15.625</v>
      </c>
      <c r="E29">
        <f t="shared" si="8"/>
        <v>1041.6666666666667</v>
      </c>
    </row>
    <row r="30" spans="1:12" x14ac:dyDescent="0.35">
      <c r="A30" t="s">
        <v>500</v>
      </c>
      <c r="B30">
        <v>200000</v>
      </c>
      <c r="C30">
        <v>7.6</v>
      </c>
      <c r="D30">
        <f t="shared" si="7"/>
        <v>26.315789473684209</v>
      </c>
      <c r="E30">
        <f t="shared" si="8"/>
        <v>1754.3859649122808</v>
      </c>
    </row>
    <row r="32" spans="1:12" x14ac:dyDescent="0.35">
      <c r="B32" t="s">
        <v>210</v>
      </c>
      <c r="C32" t="s">
        <v>505</v>
      </c>
      <c r="D32" t="s">
        <v>442</v>
      </c>
      <c r="E32" t="s">
        <v>506</v>
      </c>
      <c r="F32" t="s">
        <v>492</v>
      </c>
      <c r="G32" t="s">
        <v>493</v>
      </c>
    </row>
    <row r="33" spans="1:8" x14ac:dyDescent="0.35">
      <c r="A33">
        <v>1970</v>
      </c>
      <c r="B33">
        <v>300</v>
      </c>
      <c r="C33" s="52">
        <v>4.3999999999999997E-9</v>
      </c>
      <c r="D33">
        <f>B33*$B$40</f>
        <v>1500</v>
      </c>
      <c r="E33" s="54">
        <f>D33*C33</f>
        <v>6.5999999999999995E-6</v>
      </c>
      <c r="F33" s="13">
        <f>($B$41/(60*60*24*365*E33))</f>
        <v>2.6424826653137155</v>
      </c>
      <c r="G33" s="53">
        <f>F33*365</f>
        <v>964.50617283950612</v>
      </c>
    </row>
    <row r="34" spans="1:8" x14ac:dyDescent="0.35">
      <c r="A34">
        <v>1980</v>
      </c>
      <c r="B34">
        <v>400</v>
      </c>
      <c r="C34" s="52">
        <v>3.2500000000000002E-9</v>
      </c>
      <c r="D34">
        <f t="shared" ref="D34:D38" si="9">B34*$B$40</f>
        <v>2000</v>
      </c>
      <c r="E34" s="54">
        <f t="shared" ref="E34:E38" si="10">D34*C34</f>
        <v>6.5000000000000004E-6</v>
      </c>
      <c r="F34" s="13">
        <f t="shared" ref="F34:F38" si="11">($B$41/(60*60*24*365*E34))</f>
        <v>2.6831362447800804</v>
      </c>
      <c r="G34" s="53">
        <f t="shared" ref="G34:G38" si="12">F34*365</f>
        <v>979.34472934472933</v>
      </c>
      <c r="H34" t="s">
        <v>147</v>
      </c>
    </row>
    <row r="35" spans="1:8" x14ac:dyDescent="0.35">
      <c r="A35">
        <v>1995</v>
      </c>
      <c r="B35">
        <v>450</v>
      </c>
      <c r="C35" s="52">
        <v>3E-9</v>
      </c>
      <c r="D35">
        <f t="shared" si="9"/>
        <v>2250</v>
      </c>
      <c r="E35" s="54">
        <f t="shared" si="10"/>
        <v>6.7499999999999997E-6</v>
      </c>
      <c r="F35" s="13">
        <f t="shared" si="11"/>
        <v>2.5837608283067444</v>
      </c>
      <c r="G35" s="53">
        <f t="shared" si="12"/>
        <v>943.07270233196164</v>
      </c>
      <c r="H35" t="s">
        <v>146</v>
      </c>
    </row>
    <row r="36" spans="1:8" x14ac:dyDescent="0.35">
      <c r="A36">
        <v>2020</v>
      </c>
      <c r="B36">
        <v>475</v>
      </c>
      <c r="C36" s="52">
        <v>2.7499999999999998E-9</v>
      </c>
      <c r="D36">
        <f t="shared" si="9"/>
        <v>2375</v>
      </c>
      <c r="E36" s="54">
        <f t="shared" si="10"/>
        <v>6.5312499999999995E-6</v>
      </c>
      <c r="F36" s="13">
        <f t="shared" si="11"/>
        <v>2.6702982723170181</v>
      </c>
      <c r="G36" s="53">
        <f t="shared" si="12"/>
        <v>974.65886939571158</v>
      </c>
      <c r="H36" t="s">
        <v>194</v>
      </c>
    </row>
    <row r="37" spans="1:8" x14ac:dyDescent="0.35">
      <c r="A37">
        <v>2040</v>
      </c>
      <c r="B37">
        <v>525</v>
      </c>
      <c r="C37" s="52">
        <v>2.5000000000000001E-9</v>
      </c>
      <c r="D37">
        <f t="shared" si="9"/>
        <v>2625</v>
      </c>
      <c r="E37" s="54">
        <f t="shared" si="10"/>
        <v>6.5625000000000003E-6</v>
      </c>
      <c r="F37" s="13">
        <f t="shared" si="11"/>
        <v>2.6575825662583652</v>
      </c>
      <c r="G37" s="53">
        <f t="shared" si="12"/>
        <v>970.01763668430328</v>
      </c>
      <c r="H37" s="38" t="s">
        <v>502</v>
      </c>
    </row>
    <row r="38" spans="1:8" x14ac:dyDescent="0.35">
      <c r="A38">
        <v>2060</v>
      </c>
      <c r="B38">
        <v>575</v>
      </c>
      <c r="C38" s="52">
        <v>2.2499999999999999E-9</v>
      </c>
      <c r="D38">
        <f t="shared" si="9"/>
        <v>2875</v>
      </c>
      <c r="E38" s="54">
        <f t="shared" si="10"/>
        <v>6.4687499999999997E-6</v>
      </c>
      <c r="F38" s="13">
        <f t="shared" si="11"/>
        <v>2.6960982556244288</v>
      </c>
      <c r="G38" s="53">
        <f t="shared" si="12"/>
        <v>984.07586330291656</v>
      </c>
      <c r="H38" s="38" t="s">
        <v>503</v>
      </c>
    </row>
    <row r="40" spans="1:8" x14ac:dyDescent="0.35">
      <c r="A40" t="s">
        <v>94</v>
      </c>
      <c r="B40">
        <v>5</v>
      </c>
    </row>
    <row r="41" spans="1:8" x14ac:dyDescent="0.35">
      <c r="A41" t="s">
        <v>148</v>
      </c>
      <c r="B41">
        <v>550</v>
      </c>
    </row>
    <row r="43" spans="1:8" x14ac:dyDescent="0.35">
      <c r="B43" t="s">
        <v>507</v>
      </c>
      <c r="C43" t="s">
        <v>508</v>
      </c>
      <c r="D43" t="s">
        <v>509</v>
      </c>
      <c r="E43" t="s">
        <v>510</v>
      </c>
      <c r="F43" t="s">
        <v>511</v>
      </c>
      <c r="G43" t="s">
        <v>512</v>
      </c>
    </row>
    <row r="44" spans="1:8" x14ac:dyDescent="0.35">
      <c r="A44">
        <v>1970</v>
      </c>
      <c r="B44">
        <f>D33/2</f>
        <v>750</v>
      </c>
      <c r="C44" s="54">
        <f>E33/2</f>
        <v>3.2999999999999997E-6</v>
      </c>
      <c r="D44">
        <f>D33/3</f>
        <v>500</v>
      </c>
      <c r="E44" s="54">
        <f>E33/3</f>
        <v>2.1999999999999997E-6</v>
      </c>
      <c r="F44">
        <f>D33/6</f>
        <v>250</v>
      </c>
      <c r="G44" s="54">
        <f>E33/6</f>
        <v>1.0999999999999998E-6</v>
      </c>
    </row>
    <row r="45" spans="1:8" x14ac:dyDescent="0.35">
      <c r="A45">
        <v>1980</v>
      </c>
      <c r="B45">
        <f t="shared" ref="B45:B49" si="13">D34/2</f>
        <v>1000</v>
      </c>
      <c r="C45" s="54">
        <f t="shared" ref="C45:C49" si="14">E34/2</f>
        <v>3.2500000000000002E-6</v>
      </c>
      <c r="D45">
        <f t="shared" ref="D45:E49" si="15">D34/3</f>
        <v>666.66666666666663</v>
      </c>
      <c r="E45" s="54">
        <f t="shared" si="15"/>
        <v>2.166666666666667E-6</v>
      </c>
      <c r="F45">
        <f t="shared" ref="F45:F49" si="16">D34/6</f>
        <v>333.33333333333331</v>
      </c>
      <c r="G45" s="54">
        <f t="shared" ref="G45:G49" si="17">E34/6</f>
        <v>1.0833333333333335E-6</v>
      </c>
    </row>
    <row r="46" spans="1:8" x14ac:dyDescent="0.35">
      <c r="A46">
        <v>1995</v>
      </c>
      <c r="B46">
        <f t="shared" si="13"/>
        <v>1125</v>
      </c>
      <c r="C46" s="54">
        <f t="shared" si="14"/>
        <v>3.3749999999999999E-6</v>
      </c>
      <c r="D46">
        <f t="shared" si="15"/>
        <v>750</v>
      </c>
      <c r="E46" s="54">
        <f t="shared" si="15"/>
        <v>2.2500000000000001E-6</v>
      </c>
      <c r="F46">
        <f t="shared" si="16"/>
        <v>375</v>
      </c>
      <c r="G46" s="54">
        <f t="shared" si="17"/>
        <v>1.125E-6</v>
      </c>
    </row>
    <row r="47" spans="1:8" x14ac:dyDescent="0.35">
      <c r="A47">
        <v>2020</v>
      </c>
      <c r="B47">
        <f t="shared" si="13"/>
        <v>1187.5</v>
      </c>
      <c r="C47" s="54">
        <f t="shared" si="14"/>
        <v>3.2656249999999998E-6</v>
      </c>
      <c r="D47">
        <f t="shared" si="15"/>
        <v>791.66666666666663</v>
      </c>
      <c r="E47" s="54">
        <f t="shared" si="15"/>
        <v>2.1770833333333332E-6</v>
      </c>
      <c r="F47">
        <f t="shared" si="16"/>
        <v>395.83333333333331</v>
      </c>
      <c r="G47" s="54">
        <f t="shared" si="17"/>
        <v>1.0885416666666666E-6</v>
      </c>
    </row>
    <row r="48" spans="1:8" x14ac:dyDescent="0.35">
      <c r="A48">
        <v>2040</v>
      </c>
      <c r="B48">
        <f t="shared" si="13"/>
        <v>1312.5</v>
      </c>
      <c r="C48" s="54">
        <f t="shared" si="14"/>
        <v>3.2812500000000001E-6</v>
      </c>
      <c r="D48">
        <f t="shared" si="15"/>
        <v>875</v>
      </c>
      <c r="E48" s="54">
        <f t="shared" si="15"/>
        <v>2.1875000000000002E-6</v>
      </c>
      <c r="F48">
        <f t="shared" si="16"/>
        <v>437.5</v>
      </c>
      <c r="G48" s="54">
        <f t="shared" si="17"/>
        <v>1.0937500000000001E-6</v>
      </c>
    </row>
    <row r="49" spans="1:7" x14ac:dyDescent="0.35">
      <c r="A49">
        <v>2060</v>
      </c>
      <c r="B49">
        <f t="shared" si="13"/>
        <v>1437.5</v>
      </c>
      <c r="C49" s="54">
        <f t="shared" si="14"/>
        <v>3.2343749999999998E-6</v>
      </c>
      <c r="D49">
        <f t="shared" si="15"/>
        <v>958.33333333333337</v>
      </c>
      <c r="E49" s="54">
        <f t="shared" si="15"/>
        <v>2.1562499999999999E-6</v>
      </c>
      <c r="F49">
        <f t="shared" si="16"/>
        <v>479.16666666666669</v>
      </c>
      <c r="G49" s="54">
        <f t="shared" si="17"/>
        <v>1.0781249999999999E-6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DAC1-1D8B-476F-8B36-BC0A45EF4B88}">
  <dimension ref="A1:E43"/>
  <sheetViews>
    <sheetView workbookViewId="0">
      <selection activeCell="I31" sqref="I31"/>
    </sheetView>
  </sheetViews>
  <sheetFormatPr defaultRowHeight="14.5" x14ac:dyDescent="0.35"/>
  <cols>
    <col min="2" max="2" width="9.81640625" bestFit="1" customWidth="1"/>
  </cols>
  <sheetData>
    <row r="1" spans="1:5" x14ac:dyDescent="0.35">
      <c r="A1" t="s">
        <v>94</v>
      </c>
      <c r="B1" t="s">
        <v>211</v>
      </c>
      <c r="C1" t="s">
        <v>212</v>
      </c>
      <c r="D1" t="s">
        <v>213</v>
      </c>
      <c r="E1" t="s">
        <v>214</v>
      </c>
    </row>
    <row r="2" spans="1:5" x14ac:dyDescent="0.35">
      <c r="A2">
        <v>1945</v>
      </c>
      <c r="B2">
        <v>1.2500000000000001E-5</v>
      </c>
      <c r="C2">
        <v>3.0000000000000001E-5</v>
      </c>
    </row>
    <row r="3" spans="1:5" x14ac:dyDescent="0.35">
      <c r="A3">
        <v>1955</v>
      </c>
    </row>
    <row r="4" spans="1:5" x14ac:dyDescent="0.35">
      <c r="A4">
        <v>1965</v>
      </c>
    </row>
    <row r="5" spans="1:5" x14ac:dyDescent="0.35">
      <c r="A5">
        <v>1970</v>
      </c>
      <c r="B5">
        <v>5.0000000000000004E-6</v>
      </c>
      <c r="C5">
        <v>1.5999999999999999E-5</v>
      </c>
    </row>
    <row r="6" spans="1:5" x14ac:dyDescent="0.35">
      <c r="A6">
        <v>1980</v>
      </c>
    </row>
    <row r="7" spans="1:5" x14ac:dyDescent="0.35">
      <c r="A7">
        <v>1995</v>
      </c>
      <c r="B7">
        <v>3.0000000000000001E-6</v>
      </c>
      <c r="C7">
        <v>7.5000000000000002E-6</v>
      </c>
      <c r="E7">
        <v>2.0000000000000002E-5</v>
      </c>
    </row>
    <row r="8" spans="1:5" x14ac:dyDescent="0.35">
      <c r="A8">
        <v>2020</v>
      </c>
      <c r="B8">
        <v>2.3E-6</v>
      </c>
      <c r="C8">
        <v>5.0000000000000004E-6</v>
      </c>
      <c r="E8">
        <v>1.2E-5</v>
      </c>
    </row>
    <row r="9" spans="1:5" x14ac:dyDescent="0.35">
      <c r="A9">
        <v>2040</v>
      </c>
    </row>
    <row r="10" spans="1:5" x14ac:dyDescent="0.35">
      <c r="A10">
        <v>2060</v>
      </c>
    </row>
    <row r="12" spans="1:5" x14ac:dyDescent="0.35">
      <c r="A12" t="s">
        <v>215</v>
      </c>
      <c r="B12" t="s">
        <v>211</v>
      </c>
      <c r="C12" t="s">
        <v>212</v>
      </c>
      <c r="D12" t="s">
        <v>213</v>
      </c>
      <c r="E12" t="s">
        <v>214</v>
      </c>
    </row>
    <row r="13" spans="1:5" x14ac:dyDescent="0.35">
      <c r="A13">
        <v>1945</v>
      </c>
      <c r="B13">
        <f>B2*10000</f>
        <v>0.125</v>
      </c>
      <c r="C13">
        <f>C2*10000</f>
        <v>0.3</v>
      </c>
      <c r="D13" s="19"/>
      <c r="E13" s="42">
        <f>B13*6.5</f>
        <v>0.8125</v>
      </c>
    </row>
    <row r="14" spans="1:5" x14ac:dyDescent="0.35">
      <c r="A14">
        <v>1955</v>
      </c>
      <c r="B14">
        <v>0.08</v>
      </c>
      <c r="C14">
        <v>0.22</v>
      </c>
      <c r="D14" s="19"/>
      <c r="E14" s="42">
        <f t="shared" ref="E14:E21" si="0">B14*6.5</f>
        <v>0.52</v>
      </c>
    </row>
    <row r="15" spans="1:5" x14ac:dyDescent="0.35">
      <c r="A15">
        <v>1965</v>
      </c>
      <c r="B15">
        <v>5.7500000000000002E-2</v>
      </c>
      <c r="C15">
        <v>0.16</v>
      </c>
      <c r="D15">
        <f>B15*1.2</f>
        <v>6.9000000000000006E-2</v>
      </c>
      <c r="E15" s="42">
        <f t="shared" si="0"/>
        <v>0.37375000000000003</v>
      </c>
    </row>
    <row r="16" spans="1:5" x14ac:dyDescent="0.35">
      <c r="A16">
        <v>1970</v>
      </c>
      <c r="B16">
        <f>B5*10000</f>
        <v>0.05</v>
      </c>
      <c r="C16">
        <v>0.14000000000000001</v>
      </c>
      <c r="D16">
        <f t="shared" ref="D16:D21" si="1">B16*1.2</f>
        <v>0.06</v>
      </c>
      <c r="E16" s="42">
        <f t="shared" si="0"/>
        <v>0.32500000000000001</v>
      </c>
    </row>
    <row r="17" spans="1:5" x14ac:dyDescent="0.35">
      <c r="A17">
        <v>1980</v>
      </c>
      <c r="B17">
        <v>0.04</v>
      </c>
      <c r="C17">
        <v>0.11</v>
      </c>
      <c r="D17">
        <f t="shared" si="1"/>
        <v>4.8000000000000001E-2</v>
      </c>
      <c r="E17" s="41">
        <f t="shared" si="0"/>
        <v>0.26</v>
      </c>
    </row>
    <row r="18" spans="1:5" x14ac:dyDescent="0.35">
      <c r="A18">
        <v>1995</v>
      </c>
      <c r="B18">
        <f>B7*10000</f>
        <v>3.0000000000000002E-2</v>
      </c>
      <c r="C18">
        <f>C7*10000</f>
        <v>7.4999999999999997E-2</v>
      </c>
      <c r="D18">
        <f t="shared" si="1"/>
        <v>3.6000000000000004E-2</v>
      </c>
      <c r="E18" s="41">
        <f t="shared" si="0"/>
        <v>0.19500000000000001</v>
      </c>
    </row>
    <row r="19" spans="1:5" x14ac:dyDescent="0.35">
      <c r="A19">
        <v>2020</v>
      </c>
      <c r="B19">
        <f>B8*10000</f>
        <v>2.3E-2</v>
      </c>
      <c r="C19">
        <f>C8*10000</f>
        <v>0.05</v>
      </c>
      <c r="D19">
        <f t="shared" si="1"/>
        <v>2.76E-2</v>
      </c>
      <c r="E19" s="41">
        <f t="shared" si="0"/>
        <v>0.14949999999999999</v>
      </c>
    </row>
    <row r="20" spans="1:5" x14ac:dyDescent="0.35">
      <c r="A20">
        <v>2040</v>
      </c>
      <c r="B20">
        <v>0.02</v>
      </c>
      <c r="C20">
        <v>4.4999999999999998E-2</v>
      </c>
      <c r="D20">
        <f t="shared" si="1"/>
        <v>2.4E-2</v>
      </c>
      <c r="E20" s="41">
        <f t="shared" si="0"/>
        <v>0.13</v>
      </c>
    </row>
    <row r="21" spans="1:5" x14ac:dyDescent="0.35">
      <c r="A21">
        <v>2060</v>
      </c>
      <c r="B21">
        <v>1.9E-2</v>
      </c>
      <c r="C21">
        <v>4.2000000000000003E-2</v>
      </c>
      <c r="D21">
        <f t="shared" si="1"/>
        <v>2.2799999999999997E-2</v>
      </c>
      <c r="E21" s="41">
        <f t="shared" si="0"/>
        <v>0.1235</v>
      </c>
    </row>
    <row r="23" spans="1:5" x14ac:dyDescent="0.35">
      <c r="A23" t="s">
        <v>216</v>
      </c>
      <c r="B23" t="s">
        <v>211</v>
      </c>
      <c r="C23" t="s">
        <v>212</v>
      </c>
      <c r="D23" t="s">
        <v>213</v>
      </c>
      <c r="E23" t="s">
        <v>214</v>
      </c>
    </row>
    <row r="24" spans="1:5" x14ac:dyDescent="0.35">
      <c r="A24">
        <v>1945</v>
      </c>
      <c r="B24">
        <f>B13/10000</f>
        <v>1.2500000000000001E-5</v>
      </c>
      <c r="C24">
        <f t="shared" ref="C24:E24" si="2">C13/10000</f>
        <v>2.9999999999999997E-5</v>
      </c>
      <c r="D24" s="19">
        <f t="shared" si="2"/>
        <v>0</v>
      </c>
      <c r="E24" s="19">
        <f t="shared" si="2"/>
        <v>8.1249999999999996E-5</v>
      </c>
    </row>
    <row r="25" spans="1:5" x14ac:dyDescent="0.35">
      <c r="A25">
        <v>1955</v>
      </c>
      <c r="B25">
        <f t="shared" ref="B25:E25" si="3">B14/10000</f>
        <v>7.9999999999999996E-6</v>
      </c>
      <c r="C25">
        <f t="shared" si="3"/>
        <v>2.1999999999999999E-5</v>
      </c>
      <c r="D25" s="19">
        <f t="shared" si="3"/>
        <v>0</v>
      </c>
      <c r="E25" s="19">
        <f t="shared" si="3"/>
        <v>5.2000000000000004E-5</v>
      </c>
    </row>
    <row r="26" spans="1:5" x14ac:dyDescent="0.35">
      <c r="A26">
        <v>1965</v>
      </c>
      <c r="B26">
        <f t="shared" ref="B26:E26" si="4">B15/10000</f>
        <v>5.75E-6</v>
      </c>
      <c r="C26">
        <f t="shared" si="4"/>
        <v>1.5999999999999999E-5</v>
      </c>
      <c r="D26">
        <f t="shared" si="4"/>
        <v>6.9000000000000009E-6</v>
      </c>
      <c r="E26" s="19">
        <f t="shared" si="4"/>
        <v>3.7375E-5</v>
      </c>
    </row>
    <row r="27" spans="1:5" x14ac:dyDescent="0.35">
      <c r="A27">
        <v>1970</v>
      </c>
      <c r="B27">
        <f t="shared" ref="B27:E27" si="5">B16/10000</f>
        <v>5.0000000000000004E-6</v>
      </c>
      <c r="C27">
        <f t="shared" si="5"/>
        <v>1.4000000000000001E-5</v>
      </c>
      <c r="D27">
        <f t="shared" si="5"/>
        <v>6.0000000000000002E-6</v>
      </c>
      <c r="E27" s="19">
        <f t="shared" si="5"/>
        <v>3.2500000000000004E-5</v>
      </c>
    </row>
    <row r="28" spans="1:5" x14ac:dyDescent="0.35">
      <c r="A28">
        <v>1980</v>
      </c>
      <c r="B28">
        <f t="shared" ref="B28:E28" si="6">B17/10000</f>
        <v>3.9999999999999998E-6</v>
      </c>
      <c r="C28">
        <f t="shared" si="6"/>
        <v>1.1E-5</v>
      </c>
      <c r="D28">
        <f t="shared" si="6"/>
        <v>4.7999999999999998E-6</v>
      </c>
      <c r="E28">
        <f t="shared" si="6"/>
        <v>2.6000000000000002E-5</v>
      </c>
    </row>
    <row r="29" spans="1:5" x14ac:dyDescent="0.35">
      <c r="A29">
        <v>1995</v>
      </c>
      <c r="B29">
        <f t="shared" ref="B29:E29" si="7">B18/10000</f>
        <v>3.0000000000000001E-6</v>
      </c>
      <c r="C29">
        <f t="shared" si="7"/>
        <v>7.4999999999999993E-6</v>
      </c>
      <c r="D29">
        <f t="shared" si="7"/>
        <v>3.6000000000000003E-6</v>
      </c>
      <c r="E29">
        <f t="shared" si="7"/>
        <v>1.95E-5</v>
      </c>
    </row>
    <row r="30" spans="1:5" x14ac:dyDescent="0.35">
      <c r="A30">
        <v>2020</v>
      </c>
      <c r="B30">
        <f t="shared" ref="B30:E30" si="8">B19/10000</f>
        <v>2.3E-6</v>
      </c>
      <c r="C30">
        <f t="shared" si="8"/>
        <v>5.0000000000000004E-6</v>
      </c>
      <c r="D30">
        <f t="shared" si="8"/>
        <v>2.7599999999999998E-6</v>
      </c>
      <c r="E30">
        <f t="shared" si="8"/>
        <v>1.4949999999999999E-5</v>
      </c>
    </row>
    <row r="31" spans="1:5" x14ac:dyDescent="0.35">
      <c r="A31">
        <v>2040</v>
      </c>
      <c r="B31">
        <f t="shared" ref="B31:E31" si="9">B20/10000</f>
        <v>1.9999999999999999E-6</v>
      </c>
      <c r="C31">
        <f t="shared" si="9"/>
        <v>4.5000000000000001E-6</v>
      </c>
      <c r="D31">
        <f t="shared" si="9"/>
        <v>2.3999999999999999E-6</v>
      </c>
      <c r="E31">
        <f t="shared" si="9"/>
        <v>1.3000000000000001E-5</v>
      </c>
    </row>
    <row r="32" spans="1:5" x14ac:dyDescent="0.35">
      <c r="A32">
        <v>2060</v>
      </c>
      <c r="B32">
        <f t="shared" ref="B32:E32" si="10">B21/10000</f>
        <v>1.9E-6</v>
      </c>
      <c r="C32">
        <f t="shared" si="10"/>
        <v>4.2000000000000004E-6</v>
      </c>
      <c r="D32">
        <f t="shared" si="10"/>
        <v>2.2799999999999998E-6</v>
      </c>
      <c r="E32">
        <f t="shared" si="10"/>
        <v>1.235E-5</v>
      </c>
    </row>
    <row r="34" spans="1:5" x14ac:dyDescent="0.35">
      <c r="A34" s="43" t="s">
        <v>216</v>
      </c>
      <c r="B34" s="44" t="s">
        <v>211</v>
      </c>
      <c r="C34" s="44" t="s">
        <v>212</v>
      </c>
      <c r="D34" s="44" t="s">
        <v>213</v>
      </c>
      <c r="E34" s="44" t="s">
        <v>214</v>
      </c>
    </row>
    <row r="35" spans="1:5" x14ac:dyDescent="0.35">
      <c r="A35" s="35">
        <v>1945</v>
      </c>
      <c r="B35">
        <v>1.2500000000000001E-5</v>
      </c>
      <c r="C35">
        <v>3.0000000000000001E-5</v>
      </c>
      <c r="D35" s="19">
        <v>0</v>
      </c>
      <c r="E35" s="19">
        <v>8.1249999999999996E-5</v>
      </c>
    </row>
    <row r="36" spans="1:5" x14ac:dyDescent="0.35">
      <c r="A36" s="35">
        <v>1955</v>
      </c>
      <c r="B36">
        <v>7.9999999999999996E-6</v>
      </c>
      <c r="C36">
        <v>2.1999999999999999E-5</v>
      </c>
      <c r="D36" s="19">
        <v>0</v>
      </c>
      <c r="E36" s="19">
        <v>5.2000000000000004E-5</v>
      </c>
    </row>
    <row r="37" spans="1:5" x14ac:dyDescent="0.35">
      <c r="A37" s="35">
        <v>1965</v>
      </c>
      <c r="B37">
        <v>5.75E-6</v>
      </c>
      <c r="C37">
        <v>1.5999999999999999E-5</v>
      </c>
      <c r="D37">
        <v>6.9E-6</v>
      </c>
      <c r="E37" s="19">
        <v>3.7375E-5</v>
      </c>
    </row>
    <row r="38" spans="1:5" x14ac:dyDescent="0.35">
      <c r="A38" s="35">
        <v>1970</v>
      </c>
      <c r="B38">
        <v>5.0000000000000004E-6</v>
      </c>
      <c r="C38">
        <v>1.4E-5</v>
      </c>
      <c r="D38">
        <v>6.0000000000000002E-6</v>
      </c>
      <c r="E38" s="19">
        <v>3.2500000000000004E-5</v>
      </c>
    </row>
    <row r="39" spans="1:5" x14ac:dyDescent="0.35">
      <c r="A39" s="35">
        <v>1980</v>
      </c>
      <c r="B39">
        <v>3.9999999999999998E-6</v>
      </c>
      <c r="C39">
        <v>1.1E-5</v>
      </c>
      <c r="D39">
        <v>4.7999999999999998E-6</v>
      </c>
      <c r="E39">
        <v>2.5999999999999998E-5</v>
      </c>
    </row>
    <row r="40" spans="1:5" x14ac:dyDescent="0.35">
      <c r="A40" s="35">
        <v>1995</v>
      </c>
      <c r="B40">
        <v>3.0000000000000001E-6</v>
      </c>
      <c r="C40">
        <v>7.5000000000000002E-6</v>
      </c>
      <c r="D40">
        <v>3.5999999999999998E-6</v>
      </c>
      <c r="E40">
        <v>1.95E-5</v>
      </c>
    </row>
    <row r="41" spans="1:5" x14ac:dyDescent="0.35">
      <c r="A41" s="35">
        <v>2020</v>
      </c>
      <c r="B41">
        <v>2.3E-6</v>
      </c>
      <c r="C41">
        <v>5.0000000000000004E-6</v>
      </c>
      <c r="D41">
        <v>2.7599999999999998E-6</v>
      </c>
      <c r="E41">
        <v>1.4949999999999999E-5</v>
      </c>
    </row>
    <row r="42" spans="1:5" x14ac:dyDescent="0.35">
      <c r="A42" s="35">
        <v>2040</v>
      </c>
      <c r="B42">
        <v>1.9999999999999999E-6</v>
      </c>
      <c r="C42">
        <v>4.5000000000000001E-6</v>
      </c>
      <c r="D42">
        <v>2.3999999999999999E-6</v>
      </c>
      <c r="E42">
        <v>1.2999999999999999E-5</v>
      </c>
    </row>
    <row r="43" spans="1:5" x14ac:dyDescent="0.35">
      <c r="A43" s="35">
        <v>2060</v>
      </c>
      <c r="B43">
        <v>1.9E-6</v>
      </c>
      <c r="C43">
        <v>4.1999999999999996E-6</v>
      </c>
      <c r="D43">
        <v>2.2800000000000002E-6</v>
      </c>
      <c r="E43">
        <v>1.235E-5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9B90-8C23-40DA-BA54-C2FE3AA70F61}">
  <dimension ref="A1:N155"/>
  <sheetViews>
    <sheetView topLeftCell="A106" workbookViewId="0">
      <selection activeCell="H150" sqref="H150"/>
    </sheetView>
  </sheetViews>
  <sheetFormatPr defaultRowHeight="14.5" x14ac:dyDescent="0.35"/>
  <cols>
    <col min="1" max="1" width="14.36328125" bestFit="1" customWidth="1"/>
    <col min="2" max="2" width="11.36328125" customWidth="1"/>
    <col min="3" max="3" width="10.54296875" customWidth="1"/>
    <col min="4" max="4" width="11.36328125" customWidth="1"/>
    <col min="5" max="5" width="25.26953125" customWidth="1"/>
    <col min="6" max="6" width="10.08984375" bestFit="1" customWidth="1"/>
    <col min="7" max="7" width="12.08984375" bestFit="1" customWidth="1"/>
    <col min="8" max="8" width="16.453125" bestFit="1" customWidth="1"/>
    <col min="9" max="9" width="17.90625" customWidth="1"/>
    <col min="10" max="10" width="14.453125" bestFit="1" customWidth="1"/>
    <col min="11" max="11" width="11.81640625" customWidth="1"/>
    <col min="12" max="12" width="8.453125" customWidth="1"/>
  </cols>
  <sheetData>
    <row r="1" spans="1:10" x14ac:dyDescent="0.35">
      <c r="A1" t="s">
        <v>73</v>
      </c>
      <c r="B1" t="s">
        <v>3</v>
      </c>
      <c r="C1" t="s">
        <v>48</v>
      </c>
      <c r="D1" t="s">
        <v>5</v>
      </c>
      <c r="E1" t="s">
        <v>14</v>
      </c>
      <c r="F1" t="s">
        <v>43</v>
      </c>
      <c r="G1" t="s">
        <v>102</v>
      </c>
    </row>
    <row r="2" spans="1:10" x14ac:dyDescent="0.35">
      <c r="A2" t="s">
        <v>224</v>
      </c>
      <c r="B2">
        <v>6800</v>
      </c>
      <c r="C2">
        <v>246.6</v>
      </c>
      <c r="E2">
        <v>841</v>
      </c>
      <c r="F2">
        <v>710</v>
      </c>
    </row>
    <row r="3" spans="1:10" x14ac:dyDescent="0.35">
      <c r="A3" t="s">
        <v>217</v>
      </c>
      <c r="C3">
        <v>73</v>
      </c>
    </row>
    <row r="4" spans="1:10" x14ac:dyDescent="0.35">
      <c r="A4" t="s">
        <v>218</v>
      </c>
      <c r="B4">
        <v>11860</v>
      </c>
      <c r="C4">
        <v>867.4</v>
      </c>
      <c r="D4">
        <v>7.46</v>
      </c>
      <c r="E4">
        <v>825</v>
      </c>
      <c r="F4">
        <v>380</v>
      </c>
    </row>
    <row r="5" spans="1:10" x14ac:dyDescent="0.35">
      <c r="A5" t="s">
        <v>220</v>
      </c>
      <c r="B5">
        <v>2550</v>
      </c>
      <c r="C5">
        <v>73</v>
      </c>
      <c r="E5">
        <v>875</v>
      </c>
      <c r="G5" t="s">
        <v>219</v>
      </c>
    </row>
    <row r="6" spans="1:10" x14ac:dyDescent="0.35">
      <c r="A6" t="s">
        <v>221</v>
      </c>
      <c r="B6">
        <v>3410</v>
      </c>
      <c r="C6">
        <v>81</v>
      </c>
      <c r="E6">
        <v>975</v>
      </c>
      <c r="G6" t="s">
        <v>219</v>
      </c>
    </row>
    <row r="7" spans="1:10" x14ac:dyDescent="0.35">
      <c r="A7" t="s">
        <v>222</v>
      </c>
      <c r="B7">
        <v>8500</v>
      </c>
      <c r="C7">
        <v>333.4</v>
      </c>
      <c r="D7">
        <v>4</v>
      </c>
      <c r="E7">
        <v>925</v>
      </c>
      <c r="G7" t="s">
        <v>223</v>
      </c>
    </row>
    <row r="8" spans="1:10" x14ac:dyDescent="0.35">
      <c r="A8" t="s">
        <v>225</v>
      </c>
      <c r="B8">
        <v>1500</v>
      </c>
      <c r="C8">
        <v>441.3</v>
      </c>
      <c r="D8">
        <v>30</v>
      </c>
      <c r="E8">
        <v>1000</v>
      </c>
      <c r="F8">
        <v>890</v>
      </c>
      <c r="G8" t="s">
        <v>230</v>
      </c>
    </row>
    <row r="9" spans="1:10" x14ac:dyDescent="0.35">
      <c r="A9" t="s">
        <v>226</v>
      </c>
      <c r="B9">
        <v>2500</v>
      </c>
      <c r="C9">
        <v>735.5</v>
      </c>
      <c r="D9">
        <v>30</v>
      </c>
      <c r="E9">
        <v>1000</v>
      </c>
      <c r="F9">
        <v>890</v>
      </c>
      <c r="G9" t="s">
        <v>229</v>
      </c>
    </row>
    <row r="10" spans="1:10" x14ac:dyDescent="0.35">
      <c r="A10" t="s">
        <v>227</v>
      </c>
      <c r="B10">
        <v>8300</v>
      </c>
      <c r="C10">
        <v>2451.6</v>
      </c>
      <c r="D10">
        <v>30</v>
      </c>
      <c r="E10">
        <v>1000</v>
      </c>
      <c r="F10">
        <v>780</v>
      </c>
      <c r="G10" t="s">
        <v>228</v>
      </c>
    </row>
    <row r="11" spans="1:10" x14ac:dyDescent="0.35">
      <c r="A11" t="s">
        <v>231</v>
      </c>
      <c r="B11">
        <v>2000</v>
      </c>
      <c r="C11">
        <v>35.299999999999997</v>
      </c>
      <c r="D11">
        <v>1.8</v>
      </c>
      <c r="E11">
        <v>910</v>
      </c>
      <c r="G11" t="s">
        <v>232</v>
      </c>
    </row>
    <row r="13" spans="1:10" x14ac:dyDescent="0.35">
      <c r="A13" t="s">
        <v>233</v>
      </c>
    </row>
    <row r="14" spans="1:10" x14ac:dyDescent="0.35">
      <c r="B14" t="s">
        <v>3</v>
      </c>
      <c r="C14" t="s">
        <v>48</v>
      </c>
      <c r="D14" t="s">
        <v>5</v>
      </c>
      <c r="E14" t="s">
        <v>14</v>
      </c>
      <c r="F14" t="s">
        <v>43</v>
      </c>
      <c r="G14" t="s">
        <v>235</v>
      </c>
    </row>
    <row r="15" spans="1:10" x14ac:dyDescent="0.35">
      <c r="A15" t="s">
        <v>234</v>
      </c>
      <c r="B15">
        <v>4355</v>
      </c>
      <c r="C15">
        <v>60</v>
      </c>
      <c r="G15">
        <v>3</v>
      </c>
      <c r="J15" t="s">
        <v>250</v>
      </c>
    </row>
    <row r="16" spans="1:10" x14ac:dyDescent="0.35">
      <c r="A16" t="s">
        <v>237</v>
      </c>
      <c r="B16">
        <v>4355</v>
      </c>
      <c r="C16">
        <v>92</v>
      </c>
      <c r="E16">
        <v>453</v>
      </c>
      <c r="F16">
        <v>203</v>
      </c>
      <c r="G16">
        <v>3</v>
      </c>
    </row>
    <row r="17" spans="1:11" x14ac:dyDescent="0.35">
      <c r="A17" t="s">
        <v>236</v>
      </c>
      <c r="B17">
        <v>4355</v>
      </c>
      <c r="C17">
        <v>101</v>
      </c>
      <c r="E17">
        <v>569</v>
      </c>
      <c r="F17">
        <v>254</v>
      </c>
      <c r="G17">
        <v>3</v>
      </c>
    </row>
    <row r="18" spans="1:11" x14ac:dyDescent="0.35">
      <c r="A18" t="s">
        <v>238</v>
      </c>
      <c r="B18">
        <v>0.36099999999999999</v>
      </c>
      <c r="C18">
        <v>12</v>
      </c>
      <c r="D18">
        <v>3.496</v>
      </c>
      <c r="G18">
        <v>2</v>
      </c>
      <c r="H18" t="s">
        <v>241</v>
      </c>
    </row>
    <row r="19" spans="1:11" x14ac:dyDescent="0.35">
      <c r="A19" t="s">
        <v>239</v>
      </c>
      <c r="B19">
        <v>0.36099999999999999</v>
      </c>
      <c r="C19">
        <v>18</v>
      </c>
      <c r="G19">
        <v>2</v>
      </c>
      <c r="H19" t="s">
        <v>241</v>
      </c>
    </row>
    <row r="20" spans="1:11" x14ac:dyDescent="0.35">
      <c r="A20" t="s">
        <v>240</v>
      </c>
      <c r="B20">
        <v>0.36099999999999999</v>
      </c>
      <c r="C20">
        <v>20</v>
      </c>
      <c r="G20">
        <v>2</v>
      </c>
      <c r="H20" t="s">
        <v>241</v>
      </c>
    </row>
    <row r="21" spans="1:11" x14ac:dyDescent="0.35">
      <c r="A21" t="s">
        <v>242</v>
      </c>
      <c r="G21">
        <v>1</v>
      </c>
      <c r="H21" t="s">
        <v>243</v>
      </c>
      <c r="K21" t="s">
        <v>252</v>
      </c>
    </row>
    <row r="22" spans="1:11" x14ac:dyDescent="0.35">
      <c r="A22" t="s">
        <v>244</v>
      </c>
      <c r="G22">
        <v>3</v>
      </c>
    </row>
    <row r="23" spans="1:11" x14ac:dyDescent="0.35">
      <c r="A23" t="s">
        <v>245</v>
      </c>
      <c r="G23">
        <v>1</v>
      </c>
    </row>
    <row r="24" spans="1:11" x14ac:dyDescent="0.35">
      <c r="A24" t="s">
        <v>246</v>
      </c>
      <c r="G24">
        <v>3</v>
      </c>
    </row>
    <row r="25" spans="1:11" x14ac:dyDescent="0.35">
      <c r="A25" t="s">
        <v>247</v>
      </c>
      <c r="G25">
        <v>2</v>
      </c>
    </row>
    <row r="26" spans="1:11" x14ac:dyDescent="0.35">
      <c r="A26" t="s">
        <v>248</v>
      </c>
      <c r="G26">
        <v>3</v>
      </c>
    </row>
    <row r="27" spans="1:11" x14ac:dyDescent="0.35">
      <c r="A27" t="s">
        <v>249</v>
      </c>
    </row>
    <row r="29" spans="1:11" x14ac:dyDescent="0.35">
      <c r="B29" t="s">
        <v>251</v>
      </c>
    </row>
    <row r="31" spans="1:11" x14ac:dyDescent="0.35">
      <c r="J31">
        <v>1</v>
      </c>
      <c r="K31" t="s">
        <v>296</v>
      </c>
    </row>
    <row r="32" spans="1:11" x14ac:dyDescent="0.35">
      <c r="J32">
        <v>3</v>
      </c>
      <c r="K32" t="s">
        <v>294</v>
      </c>
    </row>
    <row r="33" spans="2:11" x14ac:dyDescent="0.35">
      <c r="J33" s="48">
        <f>1/(J32*60*60*24*365*J31)</f>
        <v>1.0569930661254863E-8</v>
      </c>
      <c r="K33" t="s">
        <v>295</v>
      </c>
    </row>
    <row r="38" spans="2:11" x14ac:dyDescent="0.35">
      <c r="J38">
        <v>1E-8</v>
      </c>
      <c r="K38" t="s">
        <v>289</v>
      </c>
    </row>
    <row r="39" spans="2:11" x14ac:dyDescent="0.35">
      <c r="J39">
        <f>J38*60</f>
        <v>5.9999999999999997E-7</v>
      </c>
      <c r="K39" t="s">
        <v>291</v>
      </c>
    </row>
    <row r="40" spans="2:11" x14ac:dyDescent="0.35">
      <c r="J40">
        <f>J39*60</f>
        <v>3.6000000000000001E-5</v>
      </c>
      <c r="K40" t="s">
        <v>290</v>
      </c>
    </row>
    <row r="41" spans="2:11" x14ac:dyDescent="0.35">
      <c r="J41">
        <f>J40*24</f>
        <v>8.6399999999999997E-4</v>
      </c>
      <c r="K41" t="s">
        <v>292</v>
      </c>
    </row>
    <row r="42" spans="2:11" x14ac:dyDescent="0.35">
      <c r="J42">
        <f>J41*365</f>
        <v>0.31535999999999997</v>
      </c>
      <c r="K42" t="s">
        <v>293</v>
      </c>
    </row>
    <row r="48" spans="2:11" x14ac:dyDescent="0.35">
      <c r="B48" t="s">
        <v>21</v>
      </c>
      <c r="C48" t="s">
        <v>87</v>
      </c>
      <c r="D48" t="s">
        <v>110</v>
      </c>
    </row>
    <row r="49" spans="1:12" x14ac:dyDescent="0.35">
      <c r="A49" t="s">
        <v>238</v>
      </c>
      <c r="B49" t="s">
        <v>261</v>
      </c>
      <c r="C49" t="s">
        <v>255</v>
      </c>
      <c r="D49">
        <v>0.625</v>
      </c>
    </row>
    <row r="50" spans="1:12" x14ac:dyDescent="0.35">
      <c r="A50" t="s">
        <v>244</v>
      </c>
      <c r="B50" t="s">
        <v>262</v>
      </c>
      <c r="C50" t="s">
        <v>254</v>
      </c>
      <c r="D50">
        <v>1.25</v>
      </c>
    </row>
    <row r="51" spans="1:12" x14ac:dyDescent="0.35">
      <c r="A51" t="s">
        <v>260</v>
      </c>
      <c r="B51" t="s">
        <v>261</v>
      </c>
      <c r="C51" t="s">
        <v>253</v>
      </c>
      <c r="D51">
        <v>1.25</v>
      </c>
    </row>
    <row r="52" spans="1:12" x14ac:dyDescent="0.35">
      <c r="A52" t="s">
        <v>242</v>
      </c>
      <c r="B52" t="s">
        <v>262</v>
      </c>
      <c r="C52" t="s">
        <v>257</v>
      </c>
      <c r="D52">
        <v>1.25</v>
      </c>
    </row>
    <row r="53" spans="1:12" x14ac:dyDescent="0.35">
      <c r="A53" t="s">
        <v>245</v>
      </c>
      <c r="B53" t="s">
        <v>261</v>
      </c>
      <c r="C53" t="s">
        <v>256</v>
      </c>
      <c r="D53">
        <v>2.5</v>
      </c>
    </row>
    <row r="54" spans="1:12" x14ac:dyDescent="0.35">
      <c r="A54" t="s">
        <v>247</v>
      </c>
      <c r="B54" t="s">
        <v>261</v>
      </c>
      <c r="C54" t="s">
        <v>259</v>
      </c>
      <c r="D54">
        <v>2.5</v>
      </c>
    </row>
    <row r="55" spans="1:12" x14ac:dyDescent="0.35">
      <c r="A55" t="s">
        <v>248</v>
      </c>
      <c r="B55" t="s">
        <v>262</v>
      </c>
      <c r="C55" t="s">
        <v>258</v>
      </c>
      <c r="D55">
        <v>2.5</v>
      </c>
    </row>
    <row r="57" spans="1:12" x14ac:dyDescent="0.35">
      <c r="A57" s="46" t="s">
        <v>87</v>
      </c>
      <c r="B57" s="46" t="s">
        <v>235</v>
      </c>
      <c r="C57" s="46" t="s">
        <v>263</v>
      </c>
      <c r="D57" s="47" t="s">
        <v>264</v>
      </c>
    </row>
    <row r="58" spans="1:12" x14ac:dyDescent="0.35">
      <c r="A58" s="36">
        <v>1975</v>
      </c>
      <c r="B58" s="36" t="s">
        <v>253</v>
      </c>
      <c r="C58" s="36">
        <v>10</v>
      </c>
      <c r="D58" s="19">
        <f>2.6/1.6</f>
        <v>1.625</v>
      </c>
      <c r="E58" t="s">
        <v>141</v>
      </c>
      <c r="F58" t="s">
        <v>260</v>
      </c>
    </row>
    <row r="59" spans="1:12" x14ac:dyDescent="0.35">
      <c r="A59" s="45">
        <v>1985</v>
      </c>
      <c r="B59" s="36" t="s">
        <v>254</v>
      </c>
      <c r="C59" s="36">
        <v>16</v>
      </c>
      <c r="D59">
        <v>2.6</v>
      </c>
      <c r="E59" t="s">
        <v>143</v>
      </c>
      <c r="F59" t="s">
        <v>260</v>
      </c>
      <c r="G59" t="s">
        <v>244</v>
      </c>
    </row>
    <row r="60" spans="1:12" x14ac:dyDescent="0.35">
      <c r="A60" s="45">
        <v>1995</v>
      </c>
      <c r="B60" s="36" t="s">
        <v>255</v>
      </c>
      <c r="C60" s="36">
        <v>23</v>
      </c>
      <c r="D60">
        <v>4.5</v>
      </c>
      <c r="E60" s="38" t="s">
        <v>143</v>
      </c>
      <c r="F60" t="s">
        <v>260</v>
      </c>
      <c r="G60" t="s">
        <v>244</v>
      </c>
      <c r="H60" t="s">
        <v>238</v>
      </c>
    </row>
    <row r="61" spans="1:12" x14ac:dyDescent="0.35">
      <c r="A61" s="45">
        <v>2005</v>
      </c>
      <c r="B61" s="36" t="s">
        <v>256</v>
      </c>
      <c r="C61" s="36">
        <v>30</v>
      </c>
      <c r="D61">
        <v>8.5</v>
      </c>
      <c r="E61" t="s">
        <v>196</v>
      </c>
      <c r="F61" t="s">
        <v>260</v>
      </c>
      <c r="G61" t="s">
        <v>244</v>
      </c>
      <c r="H61" t="s">
        <v>238</v>
      </c>
      <c r="I61" t="s">
        <v>242</v>
      </c>
    </row>
    <row r="62" spans="1:12" x14ac:dyDescent="0.35">
      <c r="A62" s="45">
        <v>2020</v>
      </c>
      <c r="B62" s="36" t="s">
        <v>257</v>
      </c>
      <c r="C62" s="36">
        <v>35</v>
      </c>
      <c r="D62">
        <v>12</v>
      </c>
      <c r="E62" t="s">
        <v>144</v>
      </c>
      <c r="F62" t="s">
        <v>260</v>
      </c>
      <c r="G62" t="s">
        <v>244</v>
      </c>
      <c r="H62" t="s">
        <v>238</v>
      </c>
      <c r="I62" t="s">
        <v>242</v>
      </c>
      <c r="J62" t="s">
        <v>245</v>
      </c>
    </row>
    <row r="63" spans="1:12" x14ac:dyDescent="0.35">
      <c r="A63" s="45">
        <v>2040</v>
      </c>
      <c r="B63" s="36" t="s">
        <v>258</v>
      </c>
      <c r="C63" s="36">
        <v>38</v>
      </c>
      <c r="D63">
        <v>16</v>
      </c>
      <c r="E63" t="s">
        <v>145</v>
      </c>
      <c r="F63" t="s">
        <v>260</v>
      </c>
      <c r="G63" t="s">
        <v>244</v>
      </c>
      <c r="H63" t="s">
        <v>238</v>
      </c>
      <c r="I63" t="s">
        <v>242</v>
      </c>
      <c r="J63" t="s">
        <v>245</v>
      </c>
      <c r="K63" t="s">
        <v>248</v>
      </c>
    </row>
    <row r="64" spans="1:12" x14ac:dyDescent="0.35">
      <c r="A64" s="45">
        <v>2060</v>
      </c>
      <c r="B64" s="36" t="s">
        <v>259</v>
      </c>
      <c r="C64" s="36">
        <v>42</v>
      </c>
      <c r="D64">
        <v>20</v>
      </c>
      <c r="E64" t="s">
        <v>195</v>
      </c>
      <c r="F64" t="s">
        <v>260</v>
      </c>
      <c r="G64" t="s">
        <v>244</v>
      </c>
      <c r="H64" t="s">
        <v>238</v>
      </c>
      <c r="I64" t="s">
        <v>242</v>
      </c>
      <c r="J64" t="s">
        <v>245</v>
      </c>
      <c r="K64" t="s">
        <v>248</v>
      </c>
      <c r="L64" t="s">
        <v>247</v>
      </c>
    </row>
    <row r="67" spans="1:5" x14ac:dyDescent="0.35">
      <c r="A67" t="s">
        <v>265</v>
      </c>
      <c r="B67" s="36" t="s">
        <v>266</v>
      </c>
    </row>
    <row r="68" spans="1:5" x14ac:dyDescent="0.35">
      <c r="A68" s="36">
        <v>1975</v>
      </c>
      <c r="B68" s="36" t="s">
        <v>267</v>
      </c>
    </row>
    <row r="69" spans="1:5" x14ac:dyDescent="0.35">
      <c r="A69" s="45">
        <v>1985</v>
      </c>
      <c r="B69" s="36" t="s">
        <v>268</v>
      </c>
      <c r="C69" t="s">
        <v>274</v>
      </c>
    </row>
    <row r="70" spans="1:5" x14ac:dyDescent="0.35">
      <c r="A70" s="45">
        <v>1995</v>
      </c>
      <c r="B70" s="36" t="s">
        <v>269</v>
      </c>
      <c r="C70" t="s">
        <v>275</v>
      </c>
      <c r="D70" t="s">
        <v>280</v>
      </c>
    </row>
    <row r="71" spans="1:5" x14ac:dyDescent="0.35">
      <c r="A71" s="45">
        <v>2005</v>
      </c>
      <c r="B71" s="36" t="s">
        <v>270</v>
      </c>
      <c r="C71" t="s">
        <v>276</v>
      </c>
      <c r="D71" t="s">
        <v>281</v>
      </c>
      <c r="E71" t="s">
        <v>285</v>
      </c>
    </row>
    <row r="72" spans="1:5" x14ac:dyDescent="0.35">
      <c r="A72" s="45">
        <v>2020</v>
      </c>
      <c r="B72" s="36" t="s">
        <v>271</v>
      </c>
      <c r="C72" t="s">
        <v>277</v>
      </c>
      <c r="D72" t="s">
        <v>282</v>
      </c>
      <c r="E72" t="s">
        <v>286</v>
      </c>
    </row>
    <row r="73" spans="1:5" x14ac:dyDescent="0.35">
      <c r="A73" s="45">
        <v>2040</v>
      </c>
      <c r="B73" s="36" t="s">
        <v>272</v>
      </c>
      <c r="C73" t="s">
        <v>278</v>
      </c>
      <c r="D73" t="s">
        <v>283</v>
      </c>
      <c r="E73" t="s">
        <v>287</v>
      </c>
    </row>
    <row r="74" spans="1:5" x14ac:dyDescent="0.35">
      <c r="A74" s="45">
        <v>2060</v>
      </c>
      <c r="B74" s="36" t="s">
        <v>273</v>
      </c>
      <c r="C74" t="s">
        <v>279</v>
      </c>
      <c r="D74" t="s">
        <v>284</v>
      </c>
      <c r="E74" t="s">
        <v>288</v>
      </c>
    </row>
    <row r="76" spans="1:5" x14ac:dyDescent="0.35">
      <c r="B76" s="36" t="s">
        <v>297</v>
      </c>
      <c r="C76" t="s">
        <v>298</v>
      </c>
      <c r="D76" t="s">
        <v>299</v>
      </c>
    </row>
    <row r="77" spans="1:5" x14ac:dyDescent="0.35">
      <c r="A77" t="s">
        <v>253</v>
      </c>
      <c r="B77">
        <v>8.7279999999999998</v>
      </c>
      <c r="C77">
        <v>5.2370000000000001</v>
      </c>
    </row>
    <row r="78" spans="1:5" x14ac:dyDescent="0.35">
      <c r="A78" t="s">
        <v>254</v>
      </c>
      <c r="B78">
        <v>9.2040000000000006</v>
      </c>
      <c r="E78">
        <v>1.0545</v>
      </c>
    </row>
    <row r="79" spans="1:5" x14ac:dyDescent="0.35">
      <c r="A79" t="s">
        <v>255</v>
      </c>
      <c r="B79">
        <v>9.7330000000000005</v>
      </c>
    </row>
    <row r="80" spans="1:5" x14ac:dyDescent="0.35">
      <c r="A80" t="s">
        <v>256</v>
      </c>
      <c r="B80">
        <v>10.157</v>
      </c>
    </row>
    <row r="81" spans="1:5" x14ac:dyDescent="0.35">
      <c r="A81" t="s">
        <v>257</v>
      </c>
      <c r="B81">
        <v>10.58</v>
      </c>
    </row>
    <row r="82" spans="1:5" x14ac:dyDescent="0.35">
      <c r="A82" t="s">
        <v>258</v>
      </c>
      <c r="B82">
        <v>11.003</v>
      </c>
    </row>
    <row r="83" spans="1:5" x14ac:dyDescent="0.35">
      <c r="A83" t="s">
        <v>259</v>
      </c>
      <c r="B83">
        <v>11.426</v>
      </c>
    </row>
    <row r="85" spans="1:5" x14ac:dyDescent="0.35">
      <c r="C85" t="s">
        <v>301</v>
      </c>
    </row>
    <row r="86" spans="1:5" x14ac:dyDescent="0.35">
      <c r="C86" t="s">
        <v>300</v>
      </c>
    </row>
    <row r="87" spans="1:5" x14ac:dyDescent="0.35">
      <c r="C87" t="s">
        <v>302</v>
      </c>
    </row>
    <row r="88" spans="1:5" x14ac:dyDescent="0.35">
      <c r="A88" t="s">
        <v>303</v>
      </c>
      <c r="B88" t="s">
        <v>297</v>
      </c>
      <c r="C88" t="s">
        <v>25</v>
      </c>
    </row>
    <row r="89" spans="1:5" x14ac:dyDescent="0.35">
      <c r="A89" t="s">
        <v>253</v>
      </c>
      <c r="B89">
        <v>10.819000000000001</v>
      </c>
      <c r="C89">
        <v>890</v>
      </c>
    </row>
    <row r="90" spans="1:5" x14ac:dyDescent="0.35">
      <c r="A90" t="s">
        <v>254</v>
      </c>
      <c r="B90">
        <v>10.298999999999999</v>
      </c>
      <c r="C90">
        <v>935</v>
      </c>
    </row>
    <row r="91" spans="1:5" x14ac:dyDescent="0.35">
      <c r="A91" t="s">
        <v>255</v>
      </c>
      <c r="B91">
        <v>9.8260000000000005</v>
      </c>
      <c r="C91">
        <v>980</v>
      </c>
    </row>
    <row r="92" spans="1:5" x14ac:dyDescent="0.35">
      <c r="A92" t="s">
        <v>256</v>
      </c>
      <c r="B92">
        <v>12.932</v>
      </c>
      <c r="C92">
        <v>1020</v>
      </c>
    </row>
    <row r="93" spans="1:5" x14ac:dyDescent="0.35">
      <c r="A93" t="s">
        <v>257</v>
      </c>
      <c r="B93">
        <v>14.942</v>
      </c>
      <c r="C93">
        <v>1070</v>
      </c>
    </row>
    <row r="94" spans="1:5" x14ac:dyDescent="0.35">
      <c r="A94" t="s">
        <v>304</v>
      </c>
      <c r="D94" s="49" t="s">
        <v>305</v>
      </c>
      <c r="E94" s="49" t="s">
        <v>306</v>
      </c>
    </row>
    <row r="95" spans="1:5" x14ac:dyDescent="0.35">
      <c r="A95" t="s">
        <v>253</v>
      </c>
      <c r="B95">
        <v>10.298999999999999</v>
      </c>
      <c r="C95">
        <v>890</v>
      </c>
    </row>
    <row r="96" spans="1:5" x14ac:dyDescent="0.35">
      <c r="A96" t="s">
        <v>254</v>
      </c>
      <c r="B96">
        <v>10.819000000000001</v>
      </c>
      <c r="C96">
        <v>935</v>
      </c>
      <c r="D96">
        <f>C96/C95</f>
        <v>1.050561797752809</v>
      </c>
      <c r="E96">
        <f>B96/B95</f>
        <v>1.0504903388678515</v>
      </c>
    </row>
    <row r="97" spans="1:11" x14ac:dyDescent="0.35">
      <c r="A97" t="s">
        <v>255</v>
      </c>
      <c r="B97">
        <v>11.34</v>
      </c>
      <c r="C97">
        <v>980</v>
      </c>
      <c r="D97">
        <f t="shared" ref="D97:D99" si="0">C97/C96</f>
        <v>1.0481283422459893</v>
      </c>
      <c r="E97">
        <f t="shared" ref="E97:E99" si="1">B97/B96</f>
        <v>1.0481560218134762</v>
      </c>
    </row>
    <row r="98" spans="1:11" x14ac:dyDescent="0.35">
      <c r="A98" t="s">
        <v>256</v>
      </c>
      <c r="B98">
        <v>11.803000000000001</v>
      </c>
      <c r="C98">
        <v>1020</v>
      </c>
      <c r="D98">
        <f t="shared" si="0"/>
        <v>1.0408163265306123</v>
      </c>
      <c r="E98">
        <f t="shared" si="1"/>
        <v>1.0408289241622575</v>
      </c>
    </row>
    <row r="99" spans="1:11" x14ac:dyDescent="0.35">
      <c r="A99" t="s">
        <v>257</v>
      </c>
      <c r="B99">
        <v>12.382</v>
      </c>
      <c r="C99">
        <v>1070</v>
      </c>
      <c r="D99">
        <f t="shared" si="0"/>
        <v>1.0490196078431373</v>
      </c>
      <c r="E99">
        <f t="shared" si="1"/>
        <v>1.0490553249173937</v>
      </c>
    </row>
    <row r="100" spans="1:11" x14ac:dyDescent="0.35">
      <c r="B100">
        <v>13.076000000000001</v>
      </c>
    </row>
    <row r="101" spans="1:11" x14ac:dyDescent="0.35">
      <c r="B101">
        <v>13.885999999999999</v>
      </c>
    </row>
    <row r="104" spans="1:11" x14ac:dyDescent="0.35">
      <c r="A104" t="s">
        <v>262</v>
      </c>
    </row>
    <row r="105" spans="1:11" x14ac:dyDescent="0.35">
      <c r="A105" t="s">
        <v>248</v>
      </c>
      <c r="B105" t="s">
        <v>298</v>
      </c>
      <c r="C105" t="s">
        <v>299</v>
      </c>
      <c r="D105" t="s">
        <v>297</v>
      </c>
      <c r="E105" t="s">
        <v>3</v>
      </c>
      <c r="F105" t="s">
        <v>307</v>
      </c>
      <c r="G105" s="49" t="s">
        <v>308</v>
      </c>
      <c r="H105" s="49" t="s">
        <v>309</v>
      </c>
      <c r="I105" s="49" t="s">
        <v>310</v>
      </c>
      <c r="J105" t="s">
        <v>311</v>
      </c>
      <c r="K105" t="s">
        <v>312</v>
      </c>
    </row>
    <row r="106" spans="1:11" x14ac:dyDescent="0.35">
      <c r="A106" t="s">
        <v>255</v>
      </c>
      <c r="B106">
        <v>14.968999999999999</v>
      </c>
      <c r="E106">
        <v>16</v>
      </c>
      <c r="F106">
        <v>1644.4079999999999</v>
      </c>
    </row>
    <row r="107" spans="1:11" x14ac:dyDescent="0.35">
      <c r="A107" t="s">
        <v>256</v>
      </c>
      <c r="B107">
        <v>19.524999999999999</v>
      </c>
      <c r="E107">
        <v>15.333</v>
      </c>
      <c r="F107">
        <v>1715.904</v>
      </c>
      <c r="G107">
        <f>B107/B106</f>
        <v>1.3043623488542988</v>
      </c>
      <c r="H107">
        <f>E106/E107</f>
        <v>1.043500945672732</v>
      </c>
      <c r="I107">
        <f>F107/F106</f>
        <v>1.0434782608695652</v>
      </c>
      <c r="J107">
        <f>E107/E106</f>
        <v>0.95831250000000001</v>
      </c>
      <c r="K107">
        <f>I107/J107</f>
        <v>1.0888705520063291</v>
      </c>
    </row>
    <row r="108" spans="1:11" x14ac:dyDescent="0.35">
      <c r="A108" t="s">
        <v>257</v>
      </c>
      <c r="B108">
        <v>22.779</v>
      </c>
      <c r="E108">
        <v>14.72</v>
      </c>
      <c r="F108">
        <v>1787.4</v>
      </c>
      <c r="G108">
        <f t="shared" ref="G108:G110" si="2">B108/B107</f>
        <v>1.1666581306017927</v>
      </c>
      <c r="H108">
        <f t="shared" ref="H108:H110" si="3">E107/E108</f>
        <v>1.0416440217391305</v>
      </c>
      <c r="I108">
        <f t="shared" ref="I108:I110" si="4">F108/F107</f>
        <v>1.0416666666666667</v>
      </c>
      <c r="J108">
        <f t="shared" ref="J108:J110" si="5">E108/E107</f>
        <v>0.96002087001891345</v>
      </c>
      <c r="K108">
        <f t="shared" ref="K108:K110" si="6">I108/J108</f>
        <v>1.085045855978261</v>
      </c>
    </row>
    <row r="109" spans="1:11" x14ac:dyDescent="0.35">
      <c r="A109" t="s">
        <v>258</v>
      </c>
      <c r="B109">
        <v>24.731999999999999</v>
      </c>
      <c r="E109">
        <v>14.154</v>
      </c>
      <c r="F109">
        <v>1858.896</v>
      </c>
      <c r="G109">
        <f t="shared" si="2"/>
        <v>1.0857368629000395</v>
      </c>
      <c r="H109">
        <f t="shared" si="3"/>
        <v>1.0399886957750459</v>
      </c>
      <c r="I109">
        <f t="shared" si="4"/>
        <v>1.0399999999999998</v>
      </c>
      <c r="J109">
        <f t="shared" si="5"/>
        <v>0.96154891304347823</v>
      </c>
      <c r="K109">
        <f t="shared" si="6"/>
        <v>1.0815882436060476</v>
      </c>
    </row>
    <row r="110" spans="1:11" x14ac:dyDescent="0.35">
      <c r="A110" t="s">
        <v>259</v>
      </c>
      <c r="B110">
        <v>27.335000000000001</v>
      </c>
      <c r="E110">
        <v>13.63</v>
      </c>
      <c r="F110">
        <v>1930.3920000000001</v>
      </c>
      <c r="G110">
        <f t="shared" si="2"/>
        <v>1.1052482613617984</v>
      </c>
      <c r="H110">
        <f t="shared" si="3"/>
        <v>1.0384446074834923</v>
      </c>
      <c r="I110">
        <f t="shared" si="4"/>
        <v>1.0384615384615385</v>
      </c>
      <c r="J110">
        <f t="shared" si="5"/>
        <v>0.96297866327539927</v>
      </c>
      <c r="K110">
        <f t="shared" si="6"/>
        <v>1.0783847846943959</v>
      </c>
    </row>
    <row r="112" spans="1:11" x14ac:dyDescent="0.35">
      <c r="C112" t="s">
        <v>313</v>
      </c>
      <c r="D112" t="s">
        <v>314</v>
      </c>
      <c r="E112" t="s">
        <v>315</v>
      </c>
      <c r="F112" t="s">
        <v>316</v>
      </c>
    </row>
    <row r="113" spans="1:14" x14ac:dyDescent="0.35">
      <c r="A113" t="s">
        <v>253</v>
      </c>
      <c r="B113">
        <v>1.6</v>
      </c>
      <c r="C113">
        <v>2.8639999999999999</v>
      </c>
      <c r="D113">
        <v>2.2280000000000002</v>
      </c>
      <c r="E113">
        <f>C113/B113</f>
        <v>1.7899999999999998</v>
      </c>
      <c r="F113">
        <f>D113/B113</f>
        <v>1.3925000000000001</v>
      </c>
    </row>
    <row r="114" spans="1:14" x14ac:dyDescent="0.35">
      <c r="A114" t="s">
        <v>254</v>
      </c>
      <c r="B114">
        <v>2.6</v>
      </c>
      <c r="C114">
        <v>4.6539999999999999</v>
      </c>
      <c r="E114">
        <f t="shared" ref="E114:E119" si="7">C114/B114</f>
        <v>1.7899999999999998</v>
      </c>
      <c r="F114">
        <f t="shared" ref="F114:F119" si="8">D114/B114</f>
        <v>0</v>
      </c>
    </row>
    <row r="115" spans="1:14" x14ac:dyDescent="0.35">
      <c r="A115" t="s">
        <v>255</v>
      </c>
      <c r="B115">
        <v>4.5</v>
      </c>
      <c r="C115">
        <v>8.0549999999999997</v>
      </c>
      <c r="E115">
        <f t="shared" si="7"/>
        <v>1.79</v>
      </c>
      <c r="F115">
        <f t="shared" si="8"/>
        <v>0</v>
      </c>
    </row>
    <row r="116" spans="1:14" x14ac:dyDescent="0.35">
      <c r="A116" t="s">
        <v>256</v>
      </c>
      <c r="B116">
        <v>8.5</v>
      </c>
      <c r="C116">
        <v>15.215</v>
      </c>
      <c r="E116">
        <f t="shared" si="7"/>
        <v>1.79</v>
      </c>
      <c r="F116">
        <f t="shared" si="8"/>
        <v>0</v>
      </c>
    </row>
    <row r="117" spans="1:14" x14ac:dyDescent="0.35">
      <c r="A117" t="s">
        <v>257</v>
      </c>
      <c r="B117">
        <v>12</v>
      </c>
      <c r="C117">
        <v>21.48</v>
      </c>
      <c r="E117">
        <f t="shared" si="7"/>
        <v>1.79</v>
      </c>
      <c r="F117">
        <f t="shared" si="8"/>
        <v>0</v>
      </c>
    </row>
    <row r="118" spans="1:14" x14ac:dyDescent="0.35">
      <c r="A118" t="s">
        <v>258</v>
      </c>
      <c r="B118">
        <v>16</v>
      </c>
      <c r="C118">
        <v>28.64</v>
      </c>
      <c r="E118">
        <f t="shared" si="7"/>
        <v>1.79</v>
      </c>
      <c r="F118">
        <f t="shared" si="8"/>
        <v>0</v>
      </c>
    </row>
    <row r="119" spans="1:14" x14ac:dyDescent="0.35">
      <c r="A119" t="s">
        <v>259</v>
      </c>
      <c r="B119">
        <v>20</v>
      </c>
      <c r="C119">
        <v>35.799999999999997</v>
      </c>
      <c r="E119">
        <f t="shared" si="7"/>
        <v>1.7899999999999998</v>
      </c>
      <c r="F119">
        <f t="shared" si="8"/>
        <v>0</v>
      </c>
    </row>
    <row r="121" spans="1:14" x14ac:dyDescent="0.35">
      <c r="D121" t="s">
        <v>317</v>
      </c>
      <c r="E121" t="s">
        <v>318</v>
      </c>
      <c r="F121" t="s">
        <v>329</v>
      </c>
    </row>
    <row r="122" spans="1:14" x14ac:dyDescent="0.35">
      <c r="D122" t="s">
        <v>319</v>
      </c>
      <c r="E122" t="s">
        <v>322</v>
      </c>
      <c r="F122" t="s">
        <v>328</v>
      </c>
    </row>
    <row r="123" spans="1:14" x14ac:dyDescent="0.35">
      <c r="D123" t="s">
        <v>320</v>
      </c>
      <c r="E123" t="s">
        <v>321</v>
      </c>
      <c r="F123" t="s">
        <v>323</v>
      </c>
      <c r="G123" t="s">
        <v>324</v>
      </c>
    </row>
    <row r="125" spans="1:14" x14ac:dyDescent="0.35">
      <c r="I125" s="7"/>
      <c r="J125" s="7" t="s">
        <v>320</v>
      </c>
      <c r="K125" s="7" t="s">
        <v>319</v>
      </c>
      <c r="L125" s="7" t="s">
        <v>317</v>
      </c>
      <c r="M125" s="7" t="s">
        <v>332</v>
      </c>
      <c r="N125" s="7" t="s">
        <v>333</v>
      </c>
    </row>
    <row r="126" spans="1:14" x14ac:dyDescent="0.35">
      <c r="D126" t="s">
        <v>325</v>
      </c>
      <c r="I126" s="7" t="s">
        <v>326</v>
      </c>
      <c r="J126" s="7">
        <v>1</v>
      </c>
      <c r="K126" s="7">
        <v>1.7</v>
      </c>
      <c r="L126" s="7">
        <v>1.5</v>
      </c>
      <c r="M126" s="7">
        <v>2.125</v>
      </c>
      <c r="N126" s="7">
        <v>3.05</v>
      </c>
    </row>
    <row r="127" spans="1:14" x14ac:dyDescent="0.35">
      <c r="C127" t="s">
        <v>320</v>
      </c>
      <c r="D127" t="s">
        <v>319</v>
      </c>
      <c r="E127" t="s">
        <v>317</v>
      </c>
      <c r="I127" s="7" t="s">
        <v>327</v>
      </c>
      <c r="J127" s="7">
        <v>1</v>
      </c>
      <c r="K127" s="7">
        <v>0.78</v>
      </c>
      <c r="L127" s="7">
        <v>0.63</v>
      </c>
      <c r="M127" s="7">
        <v>0.7</v>
      </c>
      <c r="N127" s="7">
        <v>0.61</v>
      </c>
    </row>
    <row r="128" spans="1:14" x14ac:dyDescent="0.35">
      <c r="B128" t="s">
        <v>326</v>
      </c>
      <c r="C128">
        <v>9.8010000000000002</v>
      </c>
      <c r="D128">
        <v>16.484000000000002</v>
      </c>
      <c r="E128">
        <v>14.968999999999999</v>
      </c>
      <c r="I128" t="s">
        <v>342</v>
      </c>
      <c r="J128">
        <v>15</v>
      </c>
      <c r="K128">
        <v>6</v>
      </c>
      <c r="L128">
        <v>12</v>
      </c>
      <c r="M128">
        <v>14</v>
      </c>
      <c r="N128">
        <v>14</v>
      </c>
    </row>
    <row r="129" spans="1:12" x14ac:dyDescent="0.35">
      <c r="B129" t="s">
        <v>327</v>
      </c>
      <c r="C129">
        <v>3084</v>
      </c>
      <c r="D129">
        <v>2063</v>
      </c>
      <c r="E129">
        <v>1644.4</v>
      </c>
    </row>
    <row r="130" spans="1:12" x14ac:dyDescent="0.35">
      <c r="B130" t="s">
        <v>330</v>
      </c>
      <c r="D130">
        <f>D128/C128</f>
        <v>1.6818691970207122</v>
      </c>
      <c r="E130">
        <f>E128/C128</f>
        <v>1.5272931333537394</v>
      </c>
    </row>
    <row r="131" spans="1:12" x14ac:dyDescent="0.35">
      <c r="B131" t="s">
        <v>331</v>
      </c>
      <c r="D131">
        <f>D129/C129</f>
        <v>0.66893644617380021</v>
      </c>
      <c r="E131">
        <f>E129/C129</f>
        <v>0.53320363164721141</v>
      </c>
    </row>
    <row r="134" spans="1:12" x14ac:dyDescent="0.35">
      <c r="A134" t="s">
        <v>376</v>
      </c>
      <c r="C134" t="s">
        <v>334</v>
      </c>
      <c r="D134" t="s">
        <v>335</v>
      </c>
      <c r="E134" t="s">
        <v>375</v>
      </c>
      <c r="F134" t="s">
        <v>336</v>
      </c>
    </row>
    <row r="135" spans="1:12" x14ac:dyDescent="0.35">
      <c r="B135" t="s">
        <v>253</v>
      </c>
      <c r="C135">
        <v>7</v>
      </c>
      <c r="D135">
        <v>1.6</v>
      </c>
    </row>
    <row r="136" spans="1:12" x14ac:dyDescent="0.35">
      <c r="G136" t="s">
        <v>369</v>
      </c>
      <c r="I136" t="s">
        <v>349</v>
      </c>
      <c r="J136" t="s">
        <v>361</v>
      </c>
      <c r="K136" t="s">
        <v>363</v>
      </c>
      <c r="L136" t="s">
        <v>367</v>
      </c>
    </row>
    <row r="137" spans="1:12" x14ac:dyDescent="0.35">
      <c r="B137" t="s">
        <v>337</v>
      </c>
      <c r="C137">
        <f>C145</f>
        <v>1211.1151</v>
      </c>
      <c r="D137">
        <f>C137*0.8</f>
        <v>968.89208000000008</v>
      </c>
      <c r="G137" t="s">
        <v>344</v>
      </c>
      <c r="H137" t="s">
        <v>238</v>
      </c>
      <c r="I137" t="s">
        <v>350</v>
      </c>
      <c r="J137" t="s">
        <v>362</v>
      </c>
      <c r="K137" t="s">
        <v>364</v>
      </c>
    </row>
    <row r="138" spans="1:12" x14ac:dyDescent="0.35">
      <c r="B138" t="s">
        <v>338</v>
      </c>
      <c r="C138">
        <f>C137*1.7</f>
        <v>2058.8956699999999</v>
      </c>
      <c r="F138" s="38" t="s">
        <v>368</v>
      </c>
      <c r="G138" s="38" t="s">
        <v>356</v>
      </c>
      <c r="H138" s="38" t="s">
        <v>242</v>
      </c>
      <c r="I138" s="38" t="s">
        <v>353</v>
      </c>
      <c r="J138" s="38" t="s">
        <v>362</v>
      </c>
      <c r="K138" s="38" t="s">
        <v>362</v>
      </c>
    </row>
    <row r="139" spans="1:12" x14ac:dyDescent="0.35">
      <c r="B139" t="s">
        <v>339</v>
      </c>
      <c r="C139">
        <f>C137*1.5</f>
        <v>1816.67265</v>
      </c>
      <c r="F139" t="s">
        <v>368</v>
      </c>
      <c r="G139" t="s">
        <v>345</v>
      </c>
      <c r="H139" t="s">
        <v>244</v>
      </c>
      <c r="I139" t="s">
        <v>354</v>
      </c>
      <c r="J139" t="s">
        <v>364</v>
      </c>
      <c r="K139" t="s">
        <v>362</v>
      </c>
    </row>
    <row r="140" spans="1:12" x14ac:dyDescent="0.35">
      <c r="A140">
        <f>C146*0.7</f>
        <v>700</v>
      </c>
      <c r="B140" t="s">
        <v>340</v>
      </c>
      <c r="C140">
        <f>C137*2.125</f>
        <v>2573.6195874999999</v>
      </c>
      <c r="D140">
        <f>C140*0.8</f>
        <v>2058.8956699999999</v>
      </c>
      <c r="E140">
        <f>C147*0.7</f>
        <v>588</v>
      </c>
      <c r="G140" t="s">
        <v>346</v>
      </c>
      <c r="H140" t="s">
        <v>351</v>
      </c>
      <c r="I140" t="s">
        <v>352</v>
      </c>
      <c r="J140" t="s">
        <v>364</v>
      </c>
      <c r="K140" t="s">
        <v>364</v>
      </c>
    </row>
    <row r="141" spans="1:12" x14ac:dyDescent="0.35">
      <c r="A141">
        <f>C146*0.61</f>
        <v>610</v>
      </c>
      <c r="B141" t="s">
        <v>341</v>
      </c>
      <c r="C141">
        <f>C137*3.05</f>
        <v>3693.9010549999998</v>
      </c>
      <c r="D141">
        <f>C141*0.8</f>
        <v>2955.120844</v>
      </c>
      <c r="E141">
        <f>C147*0.61</f>
        <v>512.4</v>
      </c>
      <c r="G141" t="s">
        <v>347</v>
      </c>
      <c r="H141" t="s">
        <v>248</v>
      </c>
      <c r="I141" t="s">
        <v>357</v>
      </c>
      <c r="J141" t="s">
        <v>364</v>
      </c>
      <c r="K141" t="s">
        <v>364</v>
      </c>
    </row>
    <row r="142" spans="1:12" x14ac:dyDescent="0.35">
      <c r="D142" t="s">
        <v>374</v>
      </c>
      <c r="F142" s="50" t="s">
        <v>368</v>
      </c>
      <c r="G142" s="38" t="s">
        <v>348</v>
      </c>
      <c r="H142" s="38" t="s">
        <v>245</v>
      </c>
      <c r="I142" s="38" t="s">
        <v>358</v>
      </c>
      <c r="J142" s="38" t="s">
        <v>362</v>
      </c>
      <c r="K142" s="38" t="s">
        <v>362</v>
      </c>
    </row>
    <row r="143" spans="1:12" x14ac:dyDescent="0.35">
      <c r="B143" t="s">
        <v>5</v>
      </c>
      <c r="C143">
        <v>19</v>
      </c>
      <c r="G143" t="s">
        <v>355</v>
      </c>
      <c r="H143" t="s">
        <v>247</v>
      </c>
      <c r="I143" t="s">
        <v>359</v>
      </c>
      <c r="J143" t="s">
        <v>362</v>
      </c>
      <c r="K143" t="s">
        <v>364</v>
      </c>
    </row>
    <row r="144" spans="1:12" x14ac:dyDescent="0.35">
      <c r="B144" t="s">
        <v>3</v>
      </c>
      <c r="C144">
        <v>6.5</v>
      </c>
      <c r="F144" t="s">
        <v>368</v>
      </c>
      <c r="H144" t="s">
        <v>246</v>
      </c>
      <c r="I144" t="s">
        <v>365</v>
      </c>
      <c r="J144" t="s">
        <v>364</v>
      </c>
      <c r="K144" t="s">
        <v>362</v>
      </c>
      <c r="L144" t="s">
        <v>362</v>
      </c>
    </row>
    <row r="145" spans="2:12" x14ac:dyDescent="0.35">
      <c r="B145" t="s">
        <v>48</v>
      </c>
      <c r="C145">
        <f>C143*C144*9.8066</f>
        <v>1211.1151</v>
      </c>
      <c r="H145" t="s">
        <v>249</v>
      </c>
      <c r="I145" t="s">
        <v>366</v>
      </c>
      <c r="J145" t="s">
        <v>364</v>
      </c>
      <c r="K145" t="s">
        <v>364</v>
      </c>
      <c r="L145" t="s">
        <v>362</v>
      </c>
    </row>
    <row r="146" spans="2:12" x14ac:dyDescent="0.35">
      <c r="B146" t="s">
        <v>376</v>
      </c>
      <c r="C146">
        <v>1000</v>
      </c>
    </row>
    <row r="147" spans="2:12" x14ac:dyDescent="0.35">
      <c r="B147" t="s">
        <v>375</v>
      </c>
      <c r="C147">
        <v>840</v>
      </c>
    </row>
    <row r="148" spans="2:12" x14ac:dyDescent="0.35">
      <c r="G148" t="s">
        <v>343</v>
      </c>
    </row>
    <row r="149" spans="2:12" x14ac:dyDescent="0.35">
      <c r="D149">
        <f>(1.65/0.32)*5.028</f>
        <v>25.925624999999997</v>
      </c>
      <c r="G149" t="s">
        <v>344</v>
      </c>
      <c r="H149" t="s">
        <v>238</v>
      </c>
      <c r="I149" t="s">
        <v>350</v>
      </c>
    </row>
    <row r="150" spans="2:12" x14ac:dyDescent="0.35">
      <c r="D150" t="s">
        <v>5</v>
      </c>
      <c r="G150" t="s">
        <v>345</v>
      </c>
      <c r="H150" t="s">
        <v>248</v>
      </c>
      <c r="I150" t="s">
        <v>357</v>
      </c>
      <c r="J150" t="s">
        <v>373</v>
      </c>
    </row>
    <row r="151" spans="2:12" x14ac:dyDescent="0.35">
      <c r="B151">
        <v>2005</v>
      </c>
      <c r="C151">
        <v>4</v>
      </c>
      <c r="D151">
        <v>16</v>
      </c>
      <c r="G151" t="s">
        <v>346</v>
      </c>
      <c r="H151" t="s">
        <v>351</v>
      </c>
      <c r="I151" t="s">
        <v>352</v>
      </c>
    </row>
    <row r="152" spans="2:12" x14ac:dyDescent="0.35">
      <c r="B152">
        <v>2020</v>
      </c>
      <c r="C152">
        <v>5</v>
      </c>
      <c r="D152">
        <v>19</v>
      </c>
      <c r="G152" t="s">
        <v>370</v>
      </c>
      <c r="H152" t="s">
        <v>244</v>
      </c>
      <c r="I152" t="s">
        <v>354</v>
      </c>
    </row>
    <row r="153" spans="2:12" x14ac:dyDescent="0.35">
      <c r="B153">
        <v>2040</v>
      </c>
      <c r="C153">
        <v>6</v>
      </c>
      <c r="D153">
        <v>22</v>
      </c>
      <c r="G153" t="s">
        <v>347</v>
      </c>
      <c r="H153" t="s">
        <v>249</v>
      </c>
      <c r="I153" t="s">
        <v>366</v>
      </c>
    </row>
    <row r="154" spans="2:12" x14ac:dyDescent="0.35">
      <c r="B154">
        <v>2060</v>
      </c>
      <c r="C154">
        <v>7</v>
      </c>
      <c r="D154">
        <v>25</v>
      </c>
      <c r="G154" t="s">
        <v>348</v>
      </c>
      <c r="H154" t="s">
        <v>247</v>
      </c>
      <c r="I154" t="s">
        <v>359</v>
      </c>
    </row>
    <row r="155" spans="2:12" x14ac:dyDescent="0.35">
      <c r="G155" t="s">
        <v>371</v>
      </c>
      <c r="H155" t="s">
        <v>246</v>
      </c>
      <c r="I155" t="s">
        <v>365</v>
      </c>
      <c r="J155" t="s">
        <v>372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05C3-E019-4ECF-9929-2DE0200EF364}">
  <dimension ref="A1:Y138"/>
  <sheetViews>
    <sheetView workbookViewId="0">
      <pane ySplit="1" topLeftCell="A92" activePane="bottomLeft" state="frozen"/>
      <selection pane="bottomLeft" activeCell="A104" sqref="A104:XFD104"/>
    </sheetView>
  </sheetViews>
  <sheetFormatPr defaultRowHeight="14.5" x14ac:dyDescent="0.35"/>
  <cols>
    <col min="1" max="1" width="21.36328125" bestFit="1" customWidth="1"/>
    <col min="2" max="2" width="15.08984375" bestFit="1" customWidth="1"/>
    <col min="3" max="3" width="10.7265625" bestFit="1" customWidth="1"/>
    <col min="7" max="7" width="11.81640625" bestFit="1" customWidth="1"/>
    <col min="8" max="8" width="12.08984375" bestFit="1" customWidth="1"/>
    <col min="9" max="10" width="11.81640625" bestFit="1" customWidth="1"/>
    <col min="16" max="16" width="9.26953125" bestFit="1" customWidth="1"/>
    <col min="20" max="20" width="11.81640625" bestFit="1" customWidth="1"/>
  </cols>
  <sheetData>
    <row r="1" spans="1:21" x14ac:dyDescent="0.35">
      <c r="A1" s="22" t="s">
        <v>73</v>
      </c>
      <c r="B1" s="22" t="s">
        <v>349</v>
      </c>
      <c r="C1" s="22" t="s">
        <v>94</v>
      </c>
      <c r="D1" s="22" t="s">
        <v>580</v>
      </c>
      <c r="E1" s="22" t="s">
        <v>25</v>
      </c>
      <c r="F1" s="22" t="s">
        <v>5</v>
      </c>
      <c r="G1" s="22" t="s">
        <v>443</v>
      </c>
      <c r="H1" s="22" t="s">
        <v>634</v>
      </c>
      <c r="I1" s="22" t="s">
        <v>611</v>
      </c>
      <c r="J1" s="22" t="s">
        <v>600</v>
      </c>
      <c r="L1" s="22" t="s">
        <v>668</v>
      </c>
      <c r="N1" s="22" t="s">
        <v>673</v>
      </c>
      <c r="P1" t="s">
        <v>681</v>
      </c>
      <c r="Q1" t="s">
        <v>682</v>
      </c>
      <c r="R1" t="s">
        <v>443</v>
      </c>
      <c r="S1" t="s">
        <v>683</v>
      </c>
      <c r="T1" t="s">
        <v>684</v>
      </c>
      <c r="U1" t="s">
        <v>685</v>
      </c>
    </row>
    <row r="2" spans="1:21" x14ac:dyDescent="0.35">
      <c r="A2" t="s">
        <v>595</v>
      </c>
      <c r="B2" t="s">
        <v>596</v>
      </c>
      <c r="C2">
        <v>0.15</v>
      </c>
      <c r="D2">
        <v>2.5000000000000001E-2</v>
      </c>
      <c r="E2">
        <v>3690</v>
      </c>
      <c r="F2">
        <f t="shared" ref="F2:F7" si="0">D2/(C2*10)</f>
        <v>1.6666666666666666E-2</v>
      </c>
      <c r="G2" s="7">
        <v>15</v>
      </c>
      <c r="H2">
        <f>(E2/G2)*F2</f>
        <v>4.0999999999999996</v>
      </c>
      <c r="I2">
        <f>G2/D2</f>
        <v>600</v>
      </c>
      <c r="L2">
        <f>F2*100</f>
        <v>1.6666666666666667</v>
      </c>
      <c r="N2">
        <f>G2/D2</f>
        <v>600</v>
      </c>
      <c r="P2">
        <v>0.11700000000000001</v>
      </c>
      <c r="Q2">
        <v>1</v>
      </c>
      <c r="R2">
        <f>G2</f>
        <v>15</v>
      </c>
      <c r="S2">
        <v>54.277351000000003</v>
      </c>
      <c r="T2">
        <f t="shared" ref="T2:T7" si="1">S2*(P2/Q2)</f>
        <v>6.3504500670000006</v>
      </c>
      <c r="U2">
        <f t="shared" ref="U2:U7" si="2">T2/G2*0.05894</f>
        <v>2.4953035129932001E-2</v>
      </c>
    </row>
    <row r="3" spans="1:21" x14ac:dyDescent="0.35">
      <c r="A3" t="s">
        <v>597</v>
      </c>
      <c r="B3" t="s">
        <v>598</v>
      </c>
      <c r="C3">
        <v>0.2</v>
      </c>
      <c r="D3">
        <v>5.2999999999999999E-2</v>
      </c>
      <c r="E3">
        <v>6380</v>
      </c>
      <c r="F3">
        <f t="shared" si="0"/>
        <v>2.6499999999999999E-2</v>
      </c>
      <c r="G3">
        <v>60</v>
      </c>
      <c r="H3">
        <f t="shared" ref="H3:H39" si="3">(E3/G3)*F3</f>
        <v>2.8178333333333332</v>
      </c>
      <c r="I3">
        <f t="shared" ref="I3:I39" si="4">G3/D3</f>
        <v>1132.0754716981132</v>
      </c>
      <c r="L3">
        <f t="shared" ref="L3:L39" si="5">F3*100</f>
        <v>2.65</v>
      </c>
      <c r="N3">
        <f t="shared" ref="N3:N39" si="6">G3/D3</f>
        <v>1132.0754716981132</v>
      </c>
      <c r="P3">
        <v>0.14199999999999999</v>
      </c>
      <c r="Q3">
        <v>1</v>
      </c>
      <c r="R3">
        <f t="shared" ref="R3:R7" si="7">G3</f>
        <v>60</v>
      </c>
      <c r="S3">
        <v>178.758139</v>
      </c>
      <c r="T3">
        <f t="shared" si="1"/>
        <v>25.383655737999998</v>
      </c>
      <c r="U3">
        <f t="shared" si="2"/>
        <v>2.493521115329533E-2</v>
      </c>
    </row>
    <row r="4" spans="1:21" x14ac:dyDescent="0.35">
      <c r="A4" t="s">
        <v>581</v>
      </c>
      <c r="B4" t="s">
        <v>582</v>
      </c>
      <c r="C4">
        <v>0.25</v>
      </c>
      <c r="D4">
        <v>0.108</v>
      </c>
      <c r="E4">
        <v>9650</v>
      </c>
      <c r="F4">
        <f t="shared" si="0"/>
        <v>4.3200000000000002E-2</v>
      </c>
      <c r="G4">
        <v>200</v>
      </c>
      <c r="H4">
        <f t="shared" si="3"/>
        <v>2.0844</v>
      </c>
      <c r="I4">
        <f t="shared" si="4"/>
        <v>1851.851851851852</v>
      </c>
      <c r="L4">
        <f t="shared" si="5"/>
        <v>4.32</v>
      </c>
      <c r="N4">
        <f t="shared" si="6"/>
        <v>1851.851851851852</v>
      </c>
      <c r="P4">
        <v>0.193</v>
      </c>
      <c r="Q4">
        <v>1</v>
      </c>
      <c r="R4">
        <f t="shared" si="7"/>
        <v>200</v>
      </c>
      <c r="S4">
        <v>440.15552100000002</v>
      </c>
      <c r="T4">
        <f t="shared" si="1"/>
        <v>84.950015553</v>
      </c>
      <c r="U4">
        <f t="shared" si="2"/>
        <v>2.5034769583469101E-2</v>
      </c>
    </row>
    <row r="5" spans="1:21" x14ac:dyDescent="0.35">
      <c r="A5" t="s">
        <v>583</v>
      </c>
      <c r="B5" t="s">
        <v>584</v>
      </c>
      <c r="C5">
        <v>0.2</v>
      </c>
      <c r="D5">
        <v>8.7999999999999995E-2</v>
      </c>
      <c r="E5">
        <v>14200</v>
      </c>
      <c r="F5">
        <f t="shared" si="0"/>
        <v>4.3999999999999997E-2</v>
      </c>
      <c r="G5">
        <v>491</v>
      </c>
      <c r="H5">
        <f t="shared" si="3"/>
        <v>1.2725050916496945</v>
      </c>
      <c r="I5">
        <f t="shared" si="4"/>
        <v>5579.545454545455</v>
      </c>
      <c r="L5">
        <f t="shared" si="5"/>
        <v>4.3999999999999995</v>
      </c>
      <c r="N5">
        <f t="shared" si="6"/>
        <v>5579.545454545455</v>
      </c>
      <c r="P5">
        <v>0.107</v>
      </c>
      <c r="Q5">
        <v>1</v>
      </c>
      <c r="R5">
        <f t="shared" si="7"/>
        <v>491</v>
      </c>
      <c r="S5">
        <v>1956.230818</v>
      </c>
      <c r="T5">
        <f t="shared" si="1"/>
        <v>209.31669752599998</v>
      </c>
      <c r="U5">
        <f t="shared" si="2"/>
        <v>2.5126529841512098E-2</v>
      </c>
    </row>
    <row r="6" spans="1:21" x14ac:dyDescent="0.35">
      <c r="A6" t="s">
        <v>585</v>
      </c>
      <c r="B6" t="s">
        <v>586</v>
      </c>
      <c r="C6">
        <v>0.25</v>
      </c>
      <c r="D6">
        <v>9.6000000000000002E-2</v>
      </c>
      <c r="E6">
        <v>19200</v>
      </c>
      <c r="F6">
        <f t="shared" si="0"/>
        <v>3.8400000000000004E-2</v>
      </c>
      <c r="G6">
        <v>400</v>
      </c>
      <c r="H6">
        <f t="shared" si="3"/>
        <v>1.8432000000000002</v>
      </c>
      <c r="I6">
        <f t="shared" si="4"/>
        <v>4166.666666666667</v>
      </c>
      <c r="L6">
        <f t="shared" si="5"/>
        <v>3.8400000000000003</v>
      </c>
      <c r="N6">
        <f t="shared" si="6"/>
        <v>4166.666666666667</v>
      </c>
      <c r="P6">
        <v>8.6999999999999994E-2</v>
      </c>
      <c r="Q6">
        <v>1</v>
      </c>
      <c r="R6">
        <f t="shared" si="7"/>
        <v>400</v>
      </c>
      <c r="S6">
        <v>1956.230818</v>
      </c>
      <c r="T6">
        <f t="shared" si="1"/>
        <v>170.19208116599998</v>
      </c>
      <c r="U6">
        <f t="shared" si="2"/>
        <v>2.5077803159810095E-2</v>
      </c>
    </row>
    <row r="7" spans="1:21" x14ac:dyDescent="0.35">
      <c r="A7" t="s">
        <v>587</v>
      </c>
      <c r="B7" t="s">
        <v>588</v>
      </c>
      <c r="C7">
        <v>0.3</v>
      </c>
      <c r="D7">
        <v>0.14499999999999999</v>
      </c>
      <c r="E7">
        <v>22500</v>
      </c>
      <c r="F7">
        <f t="shared" si="0"/>
        <v>4.8333333333333332E-2</v>
      </c>
      <c r="G7">
        <v>777</v>
      </c>
      <c r="H7">
        <f t="shared" si="3"/>
        <v>1.3996138996138996</v>
      </c>
      <c r="I7">
        <f t="shared" si="4"/>
        <v>5358.620689655173</v>
      </c>
      <c r="L7">
        <f t="shared" si="5"/>
        <v>4.833333333333333</v>
      </c>
      <c r="N7">
        <f t="shared" si="6"/>
        <v>5358.620689655173</v>
      </c>
      <c r="P7">
        <v>0.111</v>
      </c>
      <c r="Q7">
        <v>1</v>
      </c>
      <c r="R7">
        <f t="shared" si="7"/>
        <v>777</v>
      </c>
      <c r="S7">
        <v>2956.230818</v>
      </c>
      <c r="T7">
        <f t="shared" si="1"/>
        <v>328.14162079800002</v>
      </c>
      <c r="U7">
        <f t="shared" si="2"/>
        <v>2.4891463487559998E-2</v>
      </c>
    </row>
    <row r="9" spans="1:21" x14ac:dyDescent="0.35">
      <c r="A9" t="s">
        <v>589</v>
      </c>
      <c r="B9" t="s">
        <v>590</v>
      </c>
      <c r="C9">
        <v>0.1</v>
      </c>
      <c r="D9">
        <v>3.7999999999999999E-2</v>
      </c>
      <c r="E9">
        <v>2200</v>
      </c>
      <c r="F9">
        <f>D9/(C9*10)</f>
        <v>3.7999999999999999E-2</v>
      </c>
      <c r="G9">
        <v>10</v>
      </c>
      <c r="H9">
        <f t="shared" si="3"/>
        <v>8.36</v>
      </c>
      <c r="I9">
        <f t="shared" si="4"/>
        <v>263.15789473684214</v>
      </c>
      <c r="L9">
        <f t="shared" si="5"/>
        <v>3.8</v>
      </c>
      <c r="N9">
        <f t="shared" si="6"/>
        <v>263.15789473684214</v>
      </c>
      <c r="P9">
        <v>0.97399999999999998</v>
      </c>
      <c r="Q9">
        <v>1</v>
      </c>
      <c r="R9">
        <f>G9</f>
        <v>10</v>
      </c>
      <c r="S9">
        <v>0.256575</v>
      </c>
      <c r="T9">
        <f>S9*(P9/Q9)</f>
        <v>0.24990404999999999</v>
      </c>
      <c r="U9">
        <f>T9/G9</f>
        <v>2.4990405E-2</v>
      </c>
    </row>
    <row r="10" spans="1:21" x14ac:dyDescent="0.35">
      <c r="A10" t="s">
        <v>593</v>
      </c>
      <c r="B10" t="s">
        <v>594</v>
      </c>
      <c r="C10">
        <v>0.15</v>
      </c>
      <c r="D10">
        <v>8.4000000000000005E-2</v>
      </c>
      <c r="E10">
        <v>2700</v>
      </c>
      <c r="F10">
        <f>D10/(C10*10)</f>
        <v>5.6000000000000001E-2</v>
      </c>
      <c r="G10">
        <v>30</v>
      </c>
      <c r="H10">
        <f t="shared" si="3"/>
        <v>5.04</v>
      </c>
      <c r="I10">
        <f t="shared" si="4"/>
        <v>357.14285714285711</v>
      </c>
      <c r="L10">
        <f t="shared" si="5"/>
        <v>5.6000000000000005</v>
      </c>
      <c r="N10">
        <f t="shared" si="6"/>
        <v>357.14285714285711</v>
      </c>
      <c r="P10">
        <v>1.7729999999999999</v>
      </c>
      <c r="Q10">
        <v>1</v>
      </c>
      <c r="R10">
        <f t="shared" ref="R10:R11" si="8">G10</f>
        <v>30</v>
      </c>
      <c r="S10">
        <v>0.42300700000000002</v>
      </c>
      <c r="T10">
        <f>S10*(P10/Q10)</f>
        <v>0.749991411</v>
      </c>
      <c r="U10">
        <f>T10/G10</f>
        <v>2.4999713699999999E-2</v>
      </c>
    </row>
    <row r="11" spans="1:21" x14ac:dyDescent="0.35">
      <c r="A11" t="s">
        <v>592</v>
      </c>
      <c r="B11" t="s">
        <v>591</v>
      </c>
      <c r="C11">
        <v>0.3</v>
      </c>
      <c r="D11">
        <v>0.21</v>
      </c>
      <c r="E11">
        <v>3300</v>
      </c>
      <c r="F11">
        <f>D11/(C11*10)</f>
        <v>6.9999999999999993E-2</v>
      </c>
      <c r="G11">
        <v>100</v>
      </c>
      <c r="H11">
        <f t="shared" si="3"/>
        <v>2.3099999999999996</v>
      </c>
      <c r="I11">
        <f t="shared" si="4"/>
        <v>476.1904761904762</v>
      </c>
      <c r="L11">
        <f t="shared" si="5"/>
        <v>6.9999999999999991</v>
      </c>
      <c r="N11">
        <f t="shared" si="6"/>
        <v>476.1904761904762</v>
      </c>
      <c r="P11">
        <v>3.637</v>
      </c>
      <c r="Q11">
        <v>1</v>
      </c>
      <c r="R11">
        <f t="shared" si="8"/>
        <v>100</v>
      </c>
      <c r="S11">
        <v>0.68730100000000005</v>
      </c>
      <c r="T11">
        <f>S11*(P11/Q11)</f>
        <v>2.499713737</v>
      </c>
      <c r="U11">
        <f>T11/G11</f>
        <v>2.4997137369999999E-2</v>
      </c>
    </row>
    <row r="13" spans="1:21" x14ac:dyDescent="0.35">
      <c r="A13" t="s">
        <v>601</v>
      </c>
      <c r="B13" t="s">
        <v>599</v>
      </c>
      <c r="C13">
        <v>0.25</v>
      </c>
      <c r="D13">
        <v>0.37</v>
      </c>
      <c r="E13">
        <v>3500</v>
      </c>
      <c r="F13">
        <f t="shared" ref="F13:F39" si="9">D13/(C13*10)</f>
        <v>0.14799999999999999</v>
      </c>
      <c r="G13">
        <v>200</v>
      </c>
      <c r="H13">
        <f t="shared" si="3"/>
        <v>2.59</v>
      </c>
      <c r="I13">
        <f t="shared" si="4"/>
        <v>540.54054054054052</v>
      </c>
      <c r="J13" t="s">
        <v>647</v>
      </c>
      <c r="L13">
        <f t="shared" si="5"/>
        <v>14.799999999999999</v>
      </c>
      <c r="N13">
        <f t="shared" si="6"/>
        <v>540.54054054054052</v>
      </c>
    </row>
    <row r="14" spans="1:21" x14ac:dyDescent="0.35">
      <c r="A14" t="s">
        <v>602</v>
      </c>
      <c r="B14" t="s">
        <v>599</v>
      </c>
      <c r="C14">
        <v>0.25</v>
      </c>
      <c r="D14">
        <v>0.37</v>
      </c>
      <c r="E14">
        <v>5970</v>
      </c>
      <c r="F14">
        <f t="shared" si="9"/>
        <v>0.14799999999999999</v>
      </c>
      <c r="G14">
        <v>400</v>
      </c>
      <c r="H14">
        <f t="shared" si="3"/>
        <v>2.2088999999999999</v>
      </c>
      <c r="I14">
        <f t="shared" si="4"/>
        <v>1081.081081081081</v>
      </c>
      <c r="L14">
        <f t="shared" si="5"/>
        <v>14.799999999999999</v>
      </c>
      <c r="N14">
        <f t="shared" si="6"/>
        <v>1081.081081081081</v>
      </c>
    </row>
    <row r="15" spans="1:21" x14ac:dyDescent="0.35">
      <c r="A15" t="s">
        <v>603</v>
      </c>
      <c r="B15" t="s">
        <v>605</v>
      </c>
      <c r="C15">
        <v>0.75</v>
      </c>
      <c r="D15">
        <v>0.66800000000000004</v>
      </c>
      <c r="E15">
        <v>4500</v>
      </c>
      <c r="F15">
        <f t="shared" si="9"/>
        <v>8.9066666666666669E-2</v>
      </c>
      <c r="G15">
        <v>500</v>
      </c>
      <c r="H15">
        <f t="shared" si="3"/>
        <v>0.80159999999999998</v>
      </c>
      <c r="I15">
        <f t="shared" si="4"/>
        <v>748.50299401197606</v>
      </c>
      <c r="L15">
        <f t="shared" si="5"/>
        <v>8.9066666666666663</v>
      </c>
      <c r="N15">
        <f t="shared" si="6"/>
        <v>748.50299401197606</v>
      </c>
    </row>
    <row r="16" spans="1:21" x14ac:dyDescent="0.35">
      <c r="A16" t="s">
        <v>604</v>
      </c>
      <c r="B16" t="s">
        <v>605</v>
      </c>
      <c r="C16">
        <v>0.75</v>
      </c>
      <c r="D16">
        <v>0.66800000000000004</v>
      </c>
      <c r="E16">
        <v>7670</v>
      </c>
      <c r="F16">
        <f t="shared" si="9"/>
        <v>8.9066666666666669E-2</v>
      </c>
      <c r="G16">
        <v>1000</v>
      </c>
      <c r="H16">
        <f t="shared" si="3"/>
        <v>0.68314133333333338</v>
      </c>
      <c r="I16">
        <f t="shared" si="4"/>
        <v>1497.0059880239521</v>
      </c>
      <c r="L16">
        <f t="shared" si="5"/>
        <v>8.9066666666666663</v>
      </c>
      <c r="N16">
        <f t="shared" si="6"/>
        <v>1497.0059880239521</v>
      </c>
    </row>
    <row r="17" spans="1:21" x14ac:dyDescent="0.35">
      <c r="A17" t="s">
        <v>606</v>
      </c>
      <c r="B17" t="s">
        <v>608</v>
      </c>
      <c r="C17">
        <v>2</v>
      </c>
      <c r="D17">
        <v>1.028</v>
      </c>
      <c r="E17">
        <v>5500</v>
      </c>
      <c r="F17">
        <f t="shared" si="9"/>
        <v>5.1400000000000001E-2</v>
      </c>
      <c r="G17">
        <v>1000</v>
      </c>
      <c r="H17">
        <f t="shared" si="3"/>
        <v>0.28270000000000001</v>
      </c>
      <c r="I17">
        <f t="shared" si="4"/>
        <v>972.7626459143969</v>
      </c>
      <c r="L17">
        <f t="shared" si="5"/>
        <v>5.1400000000000006</v>
      </c>
      <c r="N17">
        <f t="shared" si="6"/>
        <v>972.7626459143969</v>
      </c>
    </row>
    <row r="18" spans="1:21" x14ac:dyDescent="0.35">
      <c r="A18" t="s">
        <v>607</v>
      </c>
      <c r="B18" t="s">
        <v>608</v>
      </c>
      <c r="C18">
        <v>2</v>
      </c>
      <c r="D18">
        <v>1.028</v>
      </c>
      <c r="E18">
        <v>9380</v>
      </c>
      <c r="F18">
        <f t="shared" si="9"/>
        <v>5.1400000000000001E-2</v>
      </c>
      <c r="G18">
        <v>2000</v>
      </c>
      <c r="H18">
        <f t="shared" si="3"/>
        <v>0.24106600000000003</v>
      </c>
      <c r="I18">
        <f t="shared" si="4"/>
        <v>1945.5252918287938</v>
      </c>
      <c r="L18">
        <f t="shared" si="5"/>
        <v>5.1400000000000006</v>
      </c>
      <c r="N18">
        <f t="shared" si="6"/>
        <v>1945.5252918287938</v>
      </c>
    </row>
    <row r="20" spans="1:21" x14ac:dyDescent="0.35">
      <c r="A20" t="s">
        <v>609</v>
      </c>
      <c r="B20" t="s">
        <v>610</v>
      </c>
      <c r="C20">
        <v>0.33</v>
      </c>
      <c r="D20">
        <v>1.1830000000000001</v>
      </c>
      <c r="E20">
        <v>2600</v>
      </c>
      <c r="F20">
        <f t="shared" si="9"/>
        <v>0.35848484848484846</v>
      </c>
      <c r="G20">
        <v>400</v>
      </c>
      <c r="H20">
        <f t="shared" si="3"/>
        <v>2.3301515151515151</v>
      </c>
      <c r="I20">
        <f t="shared" si="4"/>
        <v>338.12341504649197</v>
      </c>
      <c r="J20" t="s">
        <v>644</v>
      </c>
      <c r="L20">
        <f t="shared" si="5"/>
        <v>35.848484848484844</v>
      </c>
      <c r="N20">
        <f t="shared" si="6"/>
        <v>338.12341504649197</v>
      </c>
      <c r="P20">
        <v>8.6999999999999994E-2</v>
      </c>
      <c r="Q20">
        <v>1</v>
      </c>
      <c r="R20">
        <f>G20</f>
        <v>400</v>
      </c>
      <c r="S20">
        <v>115.13914</v>
      </c>
      <c r="T20">
        <f>S20*(P20/Q20)</f>
        <v>10.01710518</v>
      </c>
      <c r="U20">
        <f>T20/G20</f>
        <v>2.5042762949999998E-2</v>
      </c>
    </row>
    <row r="21" spans="1:21" x14ac:dyDescent="0.35">
      <c r="A21" t="s">
        <v>612</v>
      </c>
      <c r="B21" t="s">
        <v>613</v>
      </c>
      <c r="C21">
        <v>0.9</v>
      </c>
      <c r="D21">
        <v>2.41</v>
      </c>
      <c r="E21">
        <v>3000</v>
      </c>
      <c r="F21">
        <f t="shared" si="9"/>
        <v>0.26777777777777778</v>
      </c>
      <c r="G21">
        <v>1000</v>
      </c>
      <c r="H21">
        <f t="shared" si="3"/>
        <v>0.80333333333333334</v>
      </c>
      <c r="I21">
        <f t="shared" si="4"/>
        <v>414.93775933609959</v>
      </c>
      <c r="L21">
        <f t="shared" si="5"/>
        <v>26.777777777777779</v>
      </c>
      <c r="N21">
        <f t="shared" si="6"/>
        <v>414.93775933609959</v>
      </c>
      <c r="P21">
        <v>0.153</v>
      </c>
      <c r="Q21">
        <v>1</v>
      </c>
      <c r="R21">
        <f t="shared" ref="R21:R22" si="10">G21</f>
        <v>1000</v>
      </c>
      <c r="S21">
        <v>162.96926999999999</v>
      </c>
      <c r="T21">
        <f>S21*(P21/Q21)</f>
        <v>24.934298309999999</v>
      </c>
      <c r="U21">
        <f>T21/G21</f>
        <v>2.4934298309999998E-2</v>
      </c>
    </row>
    <row r="22" spans="1:21" x14ac:dyDescent="0.35">
      <c r="A22" t="s">
        <v>614</v>
      </c>
      <c r="B22" t="s">
        <v>615</v>
      </c>
      <c r="C22">
        <v>2.5</v>
      </c>
      <c r="D22">
        <v>6.0549999999999997</v>
      </c>
      <c r="E22">
        <v>3400</v>
      </c>
      <c r="F22">
        <f t="shared" si="9"/>
        <v>0.2422</v>
      </c>
      <c r="G22">
        <v>3000</v>
      </c>
      <c r="H22">
        <f t="shared" si="3"/>
        <v>0.27449333333333331</v>
      </c>
      <c r="I22">
        <f t="shared" si="4"/>
        <v>495.45829892650704</v>
      </c>
      <c r="L22">
        <f t="shared" si="5"/>
        <v>24.22</v>
      </c>
      <c r="N22">
        <f t="shared" si="6"/>
        <v>495.45829892650704</v>
      </c>
      <c r="P22">
        <v>0.34</v>
      </c>
      <c r="Q22">
        <v>1</v>
      </c>
      <c r="R22">
        <f t="shared" si="10"/>
        <v>3000</v>
      </c>
      <c r="S22">
        <v>220.539593</v>
      </c>
      <c r="T22">
        <f>S22*(P22/Q22)</f>
        <v>74.98346162</v>
      </c>
      <c r="U22">
        <f>T22/G22</f>
        <v>2.4994487206666666E-2</v>
      </c>
    </row>
    <row r="24" spans="1:21" x14ac:dyDescent="0.35">
      <c r="A24" t="s">
        <v>616</v>
      </c>
      <c r="B24" t="s">
        <v>620</v>
      </c>
      <c r="C24">
        <v>0.35</v>
      </c>
      <c r="D24">
        <v>0.12125</v>
      </c>
      <c r="E24">
        <v>4500</v>
      </c>
      <c r="F24">
        <f t="shared" si="9"/>
        <v>3.4642857142857142E-2</v>
      </c>
      <c r="G24">
        <v>100</v>
      </c>
      <c r="H24">
        <f t="shared" si="3"/>
        <v>1.5589285714285714</v>
      </c>
      <c r="I24">
        <f t="shared" si="4"/>
        <v>824.74226804123714</v>
      </c>
      <c r="L24">
        <f t="shared" si="5"/>
        <v>3.4642857142857144</v>
      </c>
      <c r="N24">
        <f t="shared" si="6"/>
        <v>824.74226804123714</v>
      </c>
    </row>
    <row r="25" spans="1:21" x14ac:dyDescent="0.35">
      <c r="A25" t="s">
        <v>617</v>
      </c>
      <c r="B25" t="s">
        <v>620</v>
      </c>
      <c r="C25">
        <v>0.35</v>
      </c>
      <c r="D25">
        <v>6.25E-2</v>
      </c>
      <c r="E25">
        <v>7500</v>
      </c>
      <c r="F25">
        <f t="shared" si="9"/>
        <v>1.7857142857142856E-2</v>
      </c>
      <c r="G25">
        <v>100</v>
      </c>
      <c r="H25">
        <f t="shared" si="3"/>
        <v>1.3392857142857142</v>
      </c>
      <c r="I25">
        <f t="shared" si="4"/>
        <v>1600</v>
      </c>
      <c r="L25">
        <f t="shared" si="5"/>
        <v>1.7857142857142856</v>
      </c>
      <c r="N25">
        <f t="shared" si="6"/>
        <v>1600</v>
      </c>
    </row>
    <row r="26" spans="1:21" x14ac:dyDescent="0.35">
      <c r="A26" t="s">
        <v>618</v>
      </c>
      <c r="B26" t="s">
        <v>620</v>
      </c>
      <c r="C26">
        <v>0.35</v>
      </c>
      <c r="D26">
        <v>0.20649999999999999</v>
      </c>
      <c r="E26">
        <v>3000</v>
      </c>
      <c r="F26">
        <f t="shared" si="9"/>
        <v>5.8999999999999997E-2</v>
      </c>
      <c r="G26">
        <v>100</v>
      </c>
      <c r="H26">
        <f t="shared" si="3"/>
        <v>1.77</v>
      </c>
      <c r="I26">
        <f t="shared" si="4"/>
        <v>484.26150121065376</v>
      </c>
      <c r="L26">
        <f t="shared" si="5"/>
        <v>5.8999999999999995</v>
      </c>
      <c r="N26">
        <f t="shared" si="6"/>
        <v>484.26150121065376</v>
      </c>
    </row>
    <row r="27" spans="1:21" x14ac:dyDescent="0.35">
      <c r="A27" t="s">
        <v>619</v>
      </c>
      <c r="B27" t="s">
        <v>620</v>
      </c>
      <c r="C27">
        <v>0.35</v>
      </c>
      <c r="D27">
        <v>0.10575</v>
      </c>
      <c r="E27">
        <v>5000</v>
      </c>
      <c r="F27">
        <f t="shared" si="9"/>
        <v>3.0214285714285714E-2</v>
      </c>
      <c r="G27">
        <v>100</v>
      </c>
      <c r="H27">
        <f t="shared" si="3"/>
        <v>1.5107142857142857</v>
      </c>
      <c r="I27">
        <f t="shared" si="4"/>
        <v>945.62647754137117</v>
      </c>
      <c r="L27">
        <f t="shared" si="5"/>
        <v>3.0214285714285714</v>
      </c>
      <c r="N27">
        <f t="shared" si="6"/>
        <v>945.62647754137117</v>
      </c>
    </row>
    <row r="28" spans="1:21" x14ac:dyDescent="0.35">
      <c r="A28" t="s">
        <v>625</v>
      </c>
      <c r="B28" t="s">
        <v>624</v>
      </c>
      <c r="C28">
        <v>1</v>
      </c>
      <c r="D28">
        <v>0.56599999999999995</v>
      </c>
      <c r="E28">
        <v>4000</v>
      </c>
      <c r="F28">
        <f t="shared" si="9"/>
        <v>5.6599999999999998E-2</v>
      </c>
      <c r="G28">
        <v>400</v>
      </c>
      <c r="H28">
        <f t="shared" si="3"/>
        <v>0.56599999999999995</v>
      </c>
      <c r="I28">
        <f t="shared" si="4"/>
        <v>706.71378091872793</v>
      </c>
      <c r="L28">
        <f t="shared" si="5"/>
        <v>5.66</v>
      </c>
      <c r="N28">
        <f t="shared" si="6"/>
        <v>706.71378091872793</v>
      </c>
    </row>
    <row r="29" spans="1:21" x14ac:dyDescent="0.35">
      <c r="A29" t="s">
        <v>621</v>
      </c>
      <c r="B29" t="s">
        <v>624</v>
      </c>
      <c r="C29">
        <v>1</v>
      </c>
      <c r="D29">
        <v>0.22950000000000001</v>
      </c>
      <c r="E29">
        <v>8000</v>
      </c>
      <c r="F29">
        <f t="shared" si="9"/>
        <v>2.2950000000000002E-2</v>
      </c>
      <c r="G29">
        <v>400</v>
      </c>
      <c r="H29">
        <f t="shared" si="3"/>
        <v>0.45900000000000002</v>
      </c>
      <c r="I29">
        <f t="shared" si="4"/>
        <v>1742.9193899782135</v>
      </c>
      <c r="L29">
        <f t="shared" si="5"/>
        <v>2.2950000000000004</v>
      </c>
      <c r="N29">
        <f t="shared" si="6"/>
        <v>1742.9193899782135</v>
      </c>
    </row>
    <row r="30" spans="1:21" x14ac:dyDescent="0.35">
      <c r="A30" t="s">
        <v>622</v>
      </c>
      <c r="B30" t="s">
        <v>624</v>
      </c>
      <c r="C30">
        <v>1</v>
      </c>
      <c r="D30">
        <v>1.0425</v>
      </c>
      <c r="E30">
        <v>2500</v>
      </c>
      <c r="F30">
        <f t="shared" si="9"/>
        <v>0.10425</v>
      </c>
      <c r="G30">
        <v>400</v>
      </c>
      <c r="H30">
        <f t="shared" si="3"/>
        <v>0.65156249999999993</v>
      </c>
      <c r="I30">
        <f t="shared" si="4"/>
        <v>383.69304556354916</v>
      </c>
      <c r="L30">
        <f t="shared" si="5"/>
        <v>10.424999999999999</v>
      </c>
      <c r="N30">
        <f t="shared" si="6"/>
        <v>383.69304556354916</v>
      </c>
    </row>
    <row r="31" spans="1:21" x14ac:dyDescent="0.35">
      <c r="A31" t="s">
        <v>623</v>
      </c>
      <c r="B31" t="s">
        <v>624</v>
      </c>
      <c r="C31">
        <v>1</v>
      </c>
      <c r="D31">
        <v>0.37375000000000003</v>
      </c>
      <c r="E31">
        <v>5500</v>
      </c>
      <c r="F31">
        <f t="shared" si="9"/>
        <v>3.7375000000000005E-2</v>
      </c>
      <c r="G31">
        <v>400</v>
      </c>
      <c r="H31">
        <f t="shared" si="3"/>
        <v>0.51390625000000012</v>
      </c>
      <c r="I31">
        <f t="shared" si="4"/>
        <v>1070.2341137123744</v>
      </c>
      <c r="L31">
        <f t="shared" si="5"/>
        <v>3.7375000000000007</v>
      </c>
      <c r="N31">
        <f t="shared" si="6"/>
        <v>1070.2341137123744</v>
      </c>
    </row>
    <row r="32" spans="1:21" x14ac:dyDescent="0.35">
      <c r="A32" t="s">
        <v>626</v>
      </c>
      <c r="B32" t="s">
        <v>630</v>
      </c>
      <c r="C32">
        <v>2.8</v>
      </c>
      <c r="D32">
        <v>3.3650000000000002</v>
      </c>
      <c r="E32">
        <v>3500</v>
      </c>
      <c r="F32">
        <f t="shared" si="9"/>
        <v>0.12017857142857144</v>
      </c>
      <c r="G32">
        <v>2000</v>
      </c>
      <c r="H32">
        <f t="shared" si="3"/>
        <v>0.21031250000000001</v>
      </c>
      <c r="I32">
        <f t="shared" si="4"/>
        <v>594.35364041604748</v>
      </c>
      <c r="L32">
        <f t="shared" si="5"/>
        <v>12.017857142857144</v>
      </c>
      <c r="N32">
        <f t="shared" si="6"/>
        <v>594.35364041604748</v>
      </c>
    </row>
    <row r="33" spans="1:14" x14ac:dyDescent="0.35">
      <c r="A33" t="s">
        <v>627</v>
      </c>
      <c r="B33" t="s">
        <v>630</v>
      </c>
      <c r="C33">
        <v>2.8</v>
      </c>
      <c r="D33">
        <v>1.0625</v>
      </c>
      <c r="E33">
        <v>8500</v>
      </c>
      <c r="F33">
        <f t="shared" si="9"/>
        <v>3.7946428571428568E-2</v>
      </c>
      <c r="G33">
        <v>2000</v>
      </c>
      <c r="H33">
        <f t="shared" si="3"/>
        <v>0.16127232142857142</v>
      </c>
      <c r="I33">
        <f t="shared" si="4"/>
        <v>1882.3529411764705</v>
      </c>
      <c r="L33">
        <f t="shared" si="5"/>
        <v>3.7946428571428568</v>
      </c>
      <c r="N33">
        <f t="shared" si="6"/>
        <v>1882.3529411764705</v>
      </c>
    </row>
    <row r="34" spans="1:14" x14ac:dyDescent="0.35">
      <c r="A34" t="s">
        <v>628</v>
      </c>
      <c r="B34" t="s">
        <v>630</v>
      </c>
      <c r="C34">
        <v>2.8</v>
      </c>
      <c r="D34">
        <v>6.9749999999999996</v>
      </c>
      <c r="E34">
        <v>2000</v>
      </c>
      <c r="F34">
        <f t="shared" si="9"/>
        <v>0.24910714285714283</v>
      </c>
      <c r="G34">
        <v>2000</v>
      </c>
      <c r="H34">
        <f t="shared" si="3"/>
        <v>0.24910714285714283</v>
      </c>
      <c r="I34">
        <f t="shared" si="4"/>
        <v>286.73835125448028</v>
      </c>
      <c r="L34">
        <f t="shared" si="5"/>
        <v>24.910714285714285</v>
      </c>
      <c r="N34">
        <f t="shared" si="6"/>
        <v>286.73835125448028</v>
      </c>
    </row>
    <row r="35" spans="1:14" x14ac:dyDescent="0.35">
      <c r="A35" t="s">
        <v>629</v>
      </c>
      <c r="B35" t="s">
        <v>630</v>
      </c>
      <c r="C35">
        <v>2.8</v>
      </c>
      <c r="D35">
        <v>1.67</v>
      </c>
      <c r="E35">
        <v>6000</v>
      </c>
      <c r="F35">
        <f t="shared" si="9"/>
        <v>5.9642857142857143E-2</v>
      </c>
      <c r="G35">
        <v>2000</v>
      </c>
      <c r="H35">
        <f t="shared" si="3"/>
        <v>0.17892857142857144</v>
      </c>
      <c r="I35">
        <f t="shared" si="4"/>
        <v>1197.6047904191616</v>
      </c>
      <c r="L35">
        <f t="shared" si="5"/>
        <v>5.9642857142857144</v>
      </c>
      <c r="N35">
        <f t="shared" si="6"/>
        <v>1197.6047904191616</v>
      </c>
    </row>
    <row r="37" spans="1:14" x14ac:dyDescent="0.35">
      <c r="A37" t="s">
        <v>631</v>
      </c>
      <c r="C37">
        <v>0.35</v>
      </c>
      <c r="D37">
        <v>0.121</v>
      </c>
      <c r="E37">
        <v>4500</v>
      </c>
      <c r="F37">
        <f t="shared" si="9"/>
        <v>3.4571428571428572E-2</v>
      </c>
      <c r="G37">
        <v>100</v>
      </c>
      <c r="H37">
        <f t="shared" si="3"/>
        <v>1.5557142857142858</v>
      </c>
      <c r="I37">
        <f t="shared" si="4"/>
        <v>826.44628099173553</v>
      </c>
      <c r="L37">
        <f t="shared" si="5"/>
        <v>3.4571428571428573</v>
      </c>
      <c r="N37">
        <f t="shared" si="6"/>
        <v>826.44628099173553</v>
      </c>
    </row>
    <row r="38" spans="1:14" x14ac:dyDescent="0.35">
      <c r="A38" t="s">
        <v>632</v>
      </c>
      <c r="C38">
        <v>0.35399999999999998</v>
      </c>
      <c r="D38">
        <v>8.6999999999999994E-2</v>
      </c>
      <c r="E38">
        <v>4000</v>
      </c>
      <c r="F38">
        <f t="shared" si="9"/>
        <v>2.4576271186440676E-2</v>
      </c>
      <c r="G38">
        <v>61.244</v>
      </c>
      <c r="H38">
        <f t="shared" si="3"/>
        <v>1.6051382134700984</v>
      </c>
      <c r="I38">
        <f t="shared" si="4"/>
        <v>703.95402298850581</v>
      </c>
      <c r="L38">
        <f t="shared" si="5"/>
        <v>2.4576271186440675</v>
      </c>
      <c r="N38">
        <f t="shared" si="6"/>
        <v>703.95402298850581</v>
      </c>
    </row>
    <row r="39" spans="1:14" x14ac:dyDescent="0.35">
      <c r="A39" t="s">
        <v>633</v>
      </c>
      <c r="C39">
        <v>0.35399999999999998</v>
      </c>
      <c r="D39">
        <v>0.374</v>
      </c>
      <c r="E39">
        <v>5500</v>
      </c>
      <c r="F39">
        <f t="shared" si="9"/>
        <v>0.10564971751412429</v>
      </c>
      <c r="G39">
        <v>400</v>
      </c>
      <c r="H39">
        <f t="shared" si="3"/>
        <v>1.4526836158192089</v>
      </c>
      <c r="I39">
        <f t="shared" si="4"/>
        <v>1069.5187165775401</v>
      </c>
      <c r="L39">
        <f t="shared" si="5"/>
        <v>10.564971751412429</v>
      </c>
      <c r="N39">
        <f t="shared" si="6"/>
        <v>1069.5187165775401</v>
      </c>
    </row>
    <row r="41" spans="1:14" x14ac:dyDescent="0.35">
      <c r="A41" s="22"/>
      <c r="B41" s="22" t="s">
        <v>25</v>
      </c>
      <c r="C41" s="22" t="s">
        <v>5</v>
      </c>
      <c r="D41" s="22" t="s">
        <v>443</v>
      </c>
    </row>
    <row r="42" spans="1:14" x14ac:dyDescent="0.35">
      <c r="A42" t="s">
        <v>637</v>
      </c>
      <c r="B42" t="s">
        <v>635</v>
      </c>
      <c r="C42" t="s">
        <v>636</v>
      </c>
      <c r="D42" t="s">
        <v>635</v>
      </c>
    </row>
    <row r="43" spans="1:14" x14ac:dyDescent="0.35">
      <c r="A43" t="s">
        <v>640</v>
      </c>
      <c r="B43" t="s">
        <v>641</v>
      </c>
      <c r="C43" t="s">
        <v>96</v>
      </c>
      <c r="D43" t="s">
        <v>641</v>
      </c>
    </row>
    <row r="44" spans="1:14" x14ac:dyDescent="0.35">
      <c r="A44" t="s">
        <v>644</v>
      </c>
      <c r="B44" t="s">
        <v>654</v>
      </c>
      <c r="C44" t="s">
        <v>653</v>
      </c>
      <c r="D44" t="s">
        <v>654</v>
      </c>
    </row>
    <row r="46" spans="1:14" x14ac:dyDescent="0.35">
      <c r="A46" t="s">
        <v>638</v>
      </c>
      <c r="B46" t="s">
        <v>639</v>
      </c>
    </row>
    <row r="47" spans="1:14" x14ac:dyDescent="0.35">
      <c r="A47" t="s">
        <v>642</v>
      </c>
      <c r="B47" t="s">
        <v>643</v>
      </c>
    </row>
    <row r="49" spans="1:10" x14ac:dyDescent="0.35">
      <c r="B49" t="s">
        <v>645</v>
      </c>
      <c r="C49" t="s">
        <v>646</v>
      </c>
      <c r="D49" t="s">
        <v>648</v>
      </c>
      <c r="E49" t="s">
        <v>649</v>
      </c>
    </row>
    <row r="50" spans="1:10" x14ac:dyDescent="0.35">
      <c r="A50" t="s">
        <v>637</v>
      </c>
      <c r="B50">
        <v>131.30000000000001</v>
      </c>
      <c r="C50">
        <v>12.13</v>
      </c>
      <c r="D50">
        <v>3359</v>
      </c>
      <c r="E50">
        <v>27.8</v>
      </c>
    </row>
    <row r="51" spans="1:10" x14ac:dyDescent="0.35">
      <c r="A51" t="s">
        <v>640</v>
      </c>
      <c r="B51">
        <v>83.8</v>
      </c>
      <c r="C51">
        <v>14</v>
      </c>
      <c r="D51">
        <v>4205</v>
      </c>
      <c r="E51">
        <v>33.1</v>
      </c>
    </row>
    <row r="52" spans="1:10" x14ac:dyDescent="0.35">
      <c r="A52" t="s">
        <v>647</v>
      </c>
      <c r="B52">
        <v>39.9</v>
      </c>
      <c r="C52">
        <v>15.76</v>
      </c>
      <c r="D52">
        <v>6090</v>
      </c>
      <c r="E52">
        <v>45</v>
      </c>
    </row>
    <row r="53" spans="1:10" x14ac:dyDescent="0.35">
      <c r="A53" t="s">
        <v>651</v>
      </c>
      <c r="B53">
        <v>20.2</v>
      </c>
      <c r="C53">
        <v>21.56</v>
      </c>
      <c r="D53">
        <v>8569</v>
      </c>
      <c r="E53">
        <v>60.6</v>
      </c>
    </row>
    <row r="54" spans="1:10" x14ac:dyDescent="0.35">
      <c r="A54" t="s">
        <v>650</v>
      </c>
      <c r="B54">
        <v>4</v>
      </c>
      <c r="C54">
        <v>24.6</v>
      </c>
      <c r="D54">
        <v>19241</v>
      </c>
      <c r="E54">
        <v>128</v>
      </c>
      <c r="I54" t="s">
        <v>652</v>
      </c>
      <c r="J54">
        <v>6.94</v>
      </c>
    </row>
    <row r="55" spans="1:10" x14ac:dyDescent="0.35">
      <c r="A55" t="s">
        <v>644</v>
      </c>
      <c r="B55">
        <v>6.94</v>
      </c>
      <c r="C55">
        <v>5.39</v>
      </c>
      <c r="D55">
        <v>14609</v>
      </c>
      <c r="E55">
        <v>98.75</v>
      </c>
      <c r="I55" t="s">
        <v>25</v>
      </c>
      <c r="J55">
        <f>38487*(J54^-0.5)</f>
        <v>14609.465414004619</v>
      </c>
    </row>
    <row r="56" spans="1:10" x14ac:dyDescent="0.35">
      <c r="I56" t="s">
        <v>649</v>
      </c>
      <c r="J56">
        <f>231.16*(J54^-0.439)</f>
        <v>98.754268921914004</v>
      </c>
    </row>
    <row r="73" spans="1:19" x14ac:dyDescent="0.35">
      <c r="A73" t="s">
        <v>655</v>
      </c>
    </row>
    <row r="74" spans="1:19" x14ac:dyDescent="0.35">
      <c r="A74" t="s">
        <v>656</v>
      </c>
    </row>
    <row r="75" spans="1:19" x14ac:dyDescent="0.35">
      <c r="A75" t="s">
        <v>657</v>
      </c>
    </row>
    <row r="76" spans="1:19" x14ac:dyDescent="0.35">
      <c r="A76" t="s">
        <v>663</v>
      </c>
    </row>
    <row r="78" spans="1:19" x14ac:dyDescent="0.35">
      <c r="A78" t="s">
        <v>667</v>
      </c>
    </row>
    <row r="79" spans="1:19" x14ac:dyDescent="0.35">
      <c r="A79" t="s">
        <v>637</v>
      </c>
      <c r="B79" t="s">
        <v>669</v>
      </c>
      <c r="C79" t="s">
        <v>658</v>
      </c>
      <c r="D79" t="s">
        <v>664</v>
      </c>
      <c r="L79" t="s">
        <v>637</v>
      </c>
      <c r="M79" t="s">
        <v>697</v>
      </c>
      <c r="P79" s="61" t="s">
        <v>696</v>
      </c>
      <c r="Q79" s="61" t="s">
        <v>637</v>
      </c>
      <c r="R79" s="61" t="s">
        <v>647</v>
      </c>
      <c r="S79" s="61" t="s">
        <v>644</v>
      </c>
    </row>
    <row r="80" spans="1:19" x14ac:dyDescent="0.35">
      <c r="A80" t="s">
        <v>644</v>
      </c>
      <c r="B80" t="s">
        <v>659</v>
      </c>
      <c r="C80" t="s">
        <v>660</v>
      </c>
      <c r="D80" t="s">
        <v>661</v>
      </c>
      <c r="L80" t="s">
        <v>698</v>
      </c>
      <c r="M80" t="s">
        <v>699</v>
      </c>
      <c r="P80" s="60">
        <v>1980</v>
      </c>
      <c r="Q80">
        <f>Q89/L89</f>
        <v>0.82499999999999996</v>
      </c>
      <c r="R80" s="25"/>
      <c r="S80" s="25"/>
    </row>
    <row r="81" spans="1:25" x14ac:dyDescent="0.35">
      <c r="A81" t="s">
        <v>647</v>
      </c>
      <c r="B81" t="s">
        <v>665</v>
      </c>
      <c r="C81" t="s">
        <v>666</v>
      </c>
      <c r="D81" t="s">
        <v>662</v>
      </c>
      <c r="L81" t="s">
        <v>644</v>
      </c>
      <c r="M81" t="s">
        <v>700</v>
      </c>
      <c r="P81" s="60">
        <v>1995</v>
      </c>
      <c r="Q81">
        <f t="shared" ref="Q81:S85" si="11">Q90/L90</f>
        <v>1.0526315789473684</v>
      </c>
      <c r="R81">
        <f t="shared" si="11"/>
        <v>0.45</v>
      </c>
      <c r="S81" s="25"/>
    </row>
    <row r="82" spans="1:25" x14ac:dyDescent="0.35">
      <c r="P82" s="60">
        <v>2005</v>
      </c>
      <c r="Q82">
        <f t="shared" si="11"/>
        <v>1.2727272727272727</v>
      </c>
      <c r="R82">
        <f t="shared" si="11"/>
        <v>0.52499999999999991</v>
      </c>
      <c r="S82">
        <f t="shared" si="11"/>
        <v>0.15833333333333333</v>
      </c>
    </row>
    <row r="83" spans="1:25" x14ac:dyDescent="0.35">
      <c r="A83" t="s">
        <v>233</v>
      </c>
      <c r="P83" s="60">
        <v>2020</v>
      </c>
      <c r="Q83">
        <f t="shared" si="11"/>
        <v>1.4666666666666668</v>
      </c>
      <c r="R83">
        <f t="shared" si="11"/>
        <v>0.57999999999999996</v>
      </c>
      <c r="S83">
        <f t="shared" si="11"/>
        <v>0.26923076923076922</v>
      </c>
    </row>
    <row r="84" spans="1:25" x14ac:dyDescent="0.35">
      <c r="A84" t="s">
        <v>637</v>
      </c>
      <c r="B84" t="s">
        <v>665</v>
      </c>
      <c r="C84" t="s">
        <v>660</v>
      </c>
      <c r="D84" t="s">
        <v>662</v>
      </c>
      <c r="P84" s="60">
        <v>2040</v>
      </c>
      <c r="Q84">
        <f t="shared" si="11"/>
        <v>1.6615384615384616</v>
      </c>
      <c r="R84">
        <f t="shared" si="11"/>
        <v>0.64</v>
      </c>
      <c r="S84">
        <f t="shared" si="11"/>
        <v>0.35357142857142859</v>
      </c>
    </row>
    <row r="85" spans="1:25" x14ac:dyDescent="0.35">
      <c r="A85" t="s">
        <v>644</v>
      </c>
      <c r="B85" t="s">
        <v>669</v>
      </c>
      <c r="C85" t="s">
        <v>658</v>
      </c>
      <c r="D85" t="s">
        <v>661</v>
      </c>
      <c r="P85" s="60">
        <v>2060</v>
      </c>
      <c r="Q85">
        <f t="shared" si="11"/>
        <v>1.8571428571428572</v>
      </c>
      <c r="R85">
        <f t="shared" ref="R85" si="12">R94/M94</f>
        <v>0.72499999999999998</v>
      </c>
      <c r="S85">
        <f t="shared" ref="S85" si="13">S94/N94</f>
        <v>0.44333333333333341</v>
      </c>
    </row>
    <row r="86" spans="1:25" x14ac:dyDescent="0.35">
      <c r="A86" t="s">
        <v>647</v>
      </c>
      <c r="B86" t="s">
        <v>659</v>
      </c>
      <c r="C86" t="s">
        <v>670</v>
      </c>
      <c r="D86" t="s">
        <v>671</v>
      </c>
    </row>
    <row r="88" spans="1:25" x14ac:dyDescent="0.35">
      <c r="A88" s="59" t="s">
        <v>5</v>
      </c>
      <c r="B88" s="59" t="s">
        <v>637</v>
      </c>
      <c r="C88" s="59" t="s">
        <v>647</v>
      </c>
      <c r="D88" s="59" t="s">
        <v>644</v>
      </c>
      <c r="F88" s="59" t="s">
        <v>25</v>
      </c>
      <c r="G88" s="59" t="s">
        <v>637</v>
      </c>
      <c r="H88" s="59" t="s">
        <v>647</v>
      </c>
      <c r="I88" s="59" t="s">
        <v>644</v>
      </c>
      <c r="K88" s="59" t="s">
        <v>672</v>
      </c>
      <c r="L88" s="59" t="s">
        <v>637</v>
      </c>
      <c r="M88" s="59" t="s">
        <v>647</v>
      </c>
      <c r="N88" s="59" t="s">
        <v>644</v>
      </c>
      <c r="P88" s="61" t="s">
        <v>695</v>
      </c>
      <c r="Q88" s="61" t="s">
        <v>637</v>
      </c>
      <c r="R88" s="61" t="s">
        <v>647</v>
      </c>
      <c r="S88" s="61" t="s">
        <v>644</v>
      </c>
    </row>
    <row r="89" spans="1:25" x14ac:dyDescent="0.35">
      <c r="A89" s="36">
        <v>1980</v>
      </c>
      <c r="B89" s="36">
        <v>0.15</v>
      </c>
      <c r="C89" s="25"/>
      <c r="D89" s="25"/>
      <c r="F89" s="36">
        <v>1980</v>
      </c>
      <c r="G89" s="36">
        <v>2200</v>
      </c>
      <c r="H89" s="25"/>
      <c r="I89" s="25"/>
      <c r="K89" s="36">
        <v>1980</v>
      </c>
      <c r="L89" s="36">
        <v>400</v>
      </c>
      <c r="M89" s="25"/>
      <c r="N89" s="25"/>
      <c r="P89" s="60">
        <v>1980</v>
      </c>
      <c r="Q89">
        <f>B89*G89</f>
        <v>330</v>
      </c>
      <c r="R89" s="25"/>
      <c r="S89" s="25"/>
    </row>
    <row r="90" spans="1:25" x14ac:dyDescent="0.35">
      <c r="A90" s="36">
        <v>1995</v>
      </c>
      <c r="B90" s="36">
        <v>0.2</v>
      </c>
      <c r="C90" s="36">
        <v>0.15</v>
      </c>
      <c r="D90" s="25"/>
      <c r="F90" s="36">
        <v>1995</v>
      </c>
      <c r="G90" s="36">
        <v>2500</v>
      </c>
      <c r="H90" s="36">
        <v>4500</v>
      </c>
      <c r="I90" s="25"/>
      <c r="K90" s="36">
        <v>1995</v>
      </c>
      <c r="L90" s="36">
        <v>475</v>
      </c>
      <c r="M90" s="36">
        <v>1500</v>
      </c>
      <c r="N90" s="25"/>
      <c r="P90" s="60">
        <v>1995</v>
      </c>
      <c r="Q90">
        <f t="shared" ref="Q90:S94" si="14">B90*G90</f>
        <v>500</v>
      </c>
      <c r="R90">
        <f t="shared" si="14"/>
        <v>675</v>
      </c>
      <c r="S90" s="25"/>
    </row>
    <row r="91" spans="1:25" x14ac:dyDescent="0.35">
      <c r="A91" s="36">
        <v>2005</v>
      </c>
      <c r="B91" s="36">
        <v>0.25</v>
      </c>
      <c r="C91" s="36">
        <v>0.17499999999999999</v>
      </c>
      <c r="D91" s="36">
        <v>0.02</v>
      </c>
      <c r="F91" s="36">
        <v>2005</v>
      </c>
      <c r="G91" s="36">
        <v>2800</v>
      </c>
      <c r="H91" s="36">
        <v>5250</v>
      </c>
      <c r="I91" s="36">
        <v>9500</v>
      </c>
      <c r="K91" s="36">
        <v>2005</v>
      </c>
      <c r="L91" s="36">
        <v>550</v>
      </c>
      <c r="M91" s="36">
        <v>1750</v>
      </c>
      <c r="N91" s="36">
        <v>1200</v>
      </c>
      <c r="P91" s="60">
        <v>2005</v>
      </c>
      <c r="Q91">
        <f t="shared" si="14"/>
        <v>700</v>
      </c>
      <c r="R91">
        <f t="shared" si="14"/>
        <v>918.74999999999989</v>
      </c>
      <c r="S91">
        <f t="shared" si="14"/>
        <v>190</v>
      </c>
    </row>
    <row r="92" spans="1:25" x14ac:dyDescent="0.35">
      <c r="A92" s="36">
        <v>2020</v>
      </c>
      <c r="B92" s="36">
        <v>0.27500000000000002</v>
      </c>
      <c r="C92" s="36">
        <v>0.2</v>
      </c>
      <c r="D92" s="36">
        <v>2.5000000000000001E-2</v>
      </c>
      <c r="F92" s="36">
        <v>2020</v>
      </c>
      <c r="G92" s="36">
        <v>3200</v>
      </c>
      <c r="H92" s="36">
        <v>5800</v>
      </c>
      <c r="I92" s="36">
        <v>14000</v>
      </c>
      <c r="K92" s="36">
        <v>2020</v>
      </c>
      <c r="L92" s="36">
        <v>600</v>
      </c>
      <c r="M92" s="36">
        <v>2000</v>
      </c>
      <c r="N92" s="36">
        <v>1300</v>
      </c>
      <c r="P92" s="60">
        <v>2020</v>
      </c>
      <c r="Q92">
        <f t="shared" si="14"/>
        <v>880.00000000000011</v>
      </c>
      <c r="R92">
        <f t="shared" si="14"/>
        <v>1160</v>
      </c>
      <c r="S92">
        <f t="shared" si="14"/>
        <v>350</v>
      </c>
    </row>
    <row r="93" spans="1:25" x14ac:dyDescent="0.35">
      <c r="A93" s="36">
        <v>2040</v>
      </c>
      <c r="B93" s="36">
        <v>0.3</v>
      </c>
      <c r="C93" s="36">
        <v>0.22500000000000001</v>
      </c>
      <c r="D93" s="36">
        <v>0.03</v>
      </c>
      <c r="F93" s="36">
        <v>2040</v>
      </c>
      <c r="G93" s="36">
        <v>3600</v>
      </c>
      <c r="H93" s="36">
        <v>6400</v>
      </c>
      <c r="I93" s="36">
        <v>16500</v>
      </c>
      <c r="K93" s="36">
        <v>2040</v>
      </c>
      <c r="L93" s="36">
        <v>650</v>
      </c>
      <c r="M93" s="36">
        <v>2250</v>
      </c>
      <c r="N93" s="36">
        <v>1400</v>
      </c>
      <c r="P93" s="60">
        <v>2040</v>
      </c>
      <c r="Q93">
        <f t="shared" si="14"/>
        <v>1080</v>
      </c>
      <c r="R93">
        <f t="shared" si="14"/>
        <v>1440</v>
      </c>
      <c r="S93">
        <f t="shared" si="14"/>
        <v>495</v>
      </c>
    </row>
    <row r="94" spans="1:25" x14ac:dyDescent="0.35">
      <c r="A94" s="36">
        <v>2060</v>
      </c>
      <c r="B94" s="36">
        <v>0.32500000000000001</v>
      </c>
      <c r="C94" s="36">
        <v>0.25</v>
      </c>
      <c r="D94" s="36">
        <v>3.5000000000000003E-2</v>
      </c>
      <c r="F94" s="36">
        <v>2060</v>
      </c>
      <c r="G94" s="36">
        <v>4000</v>
      </c>
      <c r="H94" s="36">
        <v>7250</v>
      </c>
      <c r="I94" s="36">
        <v>19000</v>
      </c>
      <c r="K94" s="36">
        <v>2060</v>
      </c>
      <c r="L94" s="36">
        <v>700</v>
      </c>
      <c r="M94" s="36">
        <v>2500</v>
      </c>
      <c r="N94" s="36">
        <v>1500</v>
      </c>
      <c r="P94" s="60">
        <v>2060</v>
      </c>
      <c r="Q94">
        <f t="shared" si="14"/>
        <v>1300</v>
      </c>
      <c r="R94">
        <f t="shared" si="14"/>
        <v>1812.5</v>
      </c>
      <c r="S94">
        <f t="shared" si="14"/>
        <v>665.00000000000011</v>
      </c>
    </row>
    <row r="96" spans="1:25" x14ac:dyDescent="0.35">
      <c r="A96" s="59" t="s">
        <v>570</v>
      </c>
      <c r="B96" s="59" t="s">
        <v>693</v>
      </c>
      <c r="C96" s="79" t="s">
        <v>349</v>
      </c>
      <c r="D96" s="79"/>
      <c r="E96" s="22" t="s">
        <v>94</v>
      </c>
      <c r="F96" s="22" t="s">
        <v>1</v>
      </c>
      <c r="G96" s="22" t="s">
        <v>686</v>
      </c>
      <c r="H96" s="22" t="s">
        <v>327</v>
      </c>
      <c r="I96" s="22" t="s">
        <v>326</v>
      </c>
      <c r="J96" s="22" t="s">
        <v>681</v>
      </c>
      <c r="K96" s="22" t="s">
        <v>136</v>
      </c>
      <c r="M96" s="22" t="s">
        <v>694</v>
      </c>
      <c r="O96" s="22" t="s">
        <v>677</v>
      </c>
      <c r="P96" s="22" t="s">
        <v>678</v>
      </c>
      <c r="Q96" s="22" t="s">
        <v>679</v>
      </c>
      <c r="R96" s="22" t="s">
        <v>677</v>
      </c>
      <c r="S96" s="22" t="s">
        <v>678</v>
      </c>
      <c r="T96" s="22" t="s">
        <v>679</v>
      </c>
      <c r="U96" s="22" t="s">
        <v>680</v>
      </c>
      <c r="V96" s="22" t="s">
        <v>677</v>
      </c>
      <c r="W96" s="22" t="s">
        <v>678</v>
      </c>
      <c r="X96" s="22" t="s">
        <v>679</v>
      </c>
      <c r="Y96" s="22" t="s">
        <v>680</v>
      </c>
    </row>
    <row r="97" spans="1:25" x14ac:dyDescent="0.35">
      <c r="A97" s="36">
        <v>1980</v>
      </c>
      <c r="B97" s="60">
        <v>5.8939999999999999E-3</v>
      </c>
      <c r="C97" s="80" t="s">
        <v>596</v>
      </c>
      <c r="D97" s="80"/>
      <c r="E97">
        <v>0.05</v>
      </c>
      <c r="F97">
        <f t="shared" ref="F97:F102" si="15">E97*10*B89</f>
        <v>7.4999999999999997E-2</v>
      </c>
      <c r="G97" s="62">
        <f t="shared" ref="G97:G102" si="16">(K97/J97)</f>
        <v>50.860976319999992</v>
      </c>
      <c r="H97">
        <f>G89</f>
        <v>2200</v>
      </c>
      <c r="I97">
        <f>F97/E97</f>
        <v>1.4999999999999998</v>
      </c>
      <c r="J97">
        <f t="shared" ref="J97:J113" si="17">(F97*1000)/(H97*9.806*(B97))</f>
        <v>0.58984317979368284</v>
      </c>
      <c r="K97">
        <f t="shared" ref="K97:K102" si="18">F97*L89</f>
        <v>30</v>
      </c>
      <c r="M97">
        <f t="shared" ref="M97:M111" si="19">F97*40</f>
        <v>3</v>
      </c>
      <c r="O97">
        <f t="shared" ref="O97:O111" si="20">F97/(10*((K97/120)+E97))</f>
        <v>2.4999999999999998E-2</v>
      </c>
      <c r="R97">
        <f t="shared" ref="R97:R111" si="21">K97/120</f>
        <v>0.25</v>
      </c>
      <c r="S97">
        <f t="shared" ref="S97:S111" si="22">K97/22.5</f>
        <v>1.3333333333333333</v>
      </c>
      <c r="T97">
        <f t="shared" ref="T97:T111" si="23">K97/575</f>
        <v>5.2173913043478258E-2</v>
      </c>
      <c r="U97">
        <f>R97/7</f>
        <v>3.5714285714285712E-2</v>
      </c>
      <c r="V97">
        <f t="shared" ref="V97:V111" si="24">R97/$E97</f>
        <v>5</v>
      </c>
      <c r="W97">
        <f t="shared" ref="W97:W111" si="25">S97/$E97</f>
        <v>26.666666666666664</v>
      </c>
      <c r="X97">
        <f t="shared" ref="X97:X111" si="26">T97/$E97</f>
        <v>1.0434782608695652</v>
      </c>
      <c r="Y97">
        <f t="shared" ref="Y97:Y111" si="27">U97/$E97</f>
        <v>0.71428571428571419</v>
      </c>
    </row>
    <row r="98" spans="1:25" x14ac:dyDescent="0.35">
      <c r="A98" s="36">
        <v>1995</v>
      </c>
      <c r="B98" s="60">
        <v>5.8939999999999999E-3</v>
      </c>
      <c r="C98" s="80" t="s">
        <v>598</v>
      </c>
      <c r="D98" s="80"/>
      <c r="E98">
        <v>0.06</v>
      </c>
      <c r="F98">
        <f t="shared" si="15"/>
        <v>0.12</v>
      </c>
      <c r="G98" s="62">
        <f t="shared" si="16"/>
        <v>68.633419749999987</v>
      </c>
      <c r="H98">
        <f t="shared" ref="H98:H102" si="28">G90</f>
        <v>2500</v>
      </c>
      <c r="I98">
        <f t="shared" ref="I98:I111" si="29">F98/E98</f>
        <v>2</v>
      </c>
      <c r="J98">
        <f t="shared" si="17"/>
        <v>0.83049919714950549</v>
      </c>
      <c r="K98">
        <f t="shared" si="18"/>
        <v>57</v>
      </c>
      <c r="M98">
        <f t="shared" si="19"/>
        <v>4.8</v>
      </c>
      <c r="O98">
        <f t="shared" si="20"/>
        <v>2.2429906542056077E-2</v>
      </c>
      <c r="R98">
        <f t="shared" si="21"/>
        <v>0.47499999999999998</v>
      </c>
      <c r="S98">
        <f t="shared" si="22"/>
        <v>2.5333333333333332</v>
      </c>
      <c r="T98">
        <f t="shared" si="23"/>
        <v>9.913043478260869E-2</v>
      </c>
      <c r="U98">
        <f t="shared" ref="U98:U111" si="30">R98/7</f>
        <v>6.7857142857142852E-2</v>
      </c>
      <c r="V98">
        <f t="shared" si="24"/>
        <v>7.916666666666667</v>
      </c>
      <c r="W98">
        <f t="shared" si="25"/>
        <v>42.222222222222221</v>
      </c>
      <c r="X98">
        <f t="shared" si="26"/>
        <v>1.6521739130434783</v>
      </c>
      <c r="Y98">
        <f t="shared" si="27"/>
        <v>1.1309523809523809</v>
      </c>
    </row>
    <row r="99" spans="1:25" x14ac:dyDescent="0.35">
      <c r="A99" s="36">
        <v>2005</v>
      </c>
      <c r="B99" s="60">
        <v>5.8939999999999999E-3</v>
      </c>
      <c r="C99" s="80" t="s">
        <v>582</v>
      </c>
      <c r="D99" s="80"/>
      <c r="E99">
        <v>7.0000000000000007E-2</v>
      </c>
      <c r="F99">
        <f t="shared" si="15"/>
        <v>0.17500000000000002</v>
      </c>
      <c r="G99" s="62">
        <f t="shared" si="16"/>
        <v>89.006708559999993</v>
      </c>
      <c r="H99">
        <f t="shared" si="28"/>
        <v>2800</v>
      </c>
      <c r="I99">
        <f t="shared" si="29"/>
        <v>2.5</v>
      </c>
      <c r="J99">
        <f t="shared" si="17"/>
        <v>1.0813791629550853</v>
      </c>
      <c r="K99">
        <f t="shared" si="18"/>
        <v>96.250000000000014</v>
      </c>
      <c r="M99">
        <f t="shared" si="19"/>
        <v>7.0000000000000009</v>
      </c>
      <c r="O99">
        <f t="shared" si="20"/>
        <v>2.006688963210702E-2</v>
      </c>
      <c r="R99">
        <f t="shared" si="21"/>
        <v>0.80208333333333348</v>
      </c>
      <c r="S99">
        <f t="shared" si="22"/>
        <v>4.2777777777777786</v>
      </c>
      <c r="T99">
        <f t="shared" si="23"/>
        <v>0.16739130434782612</v>
      </c>
      <c r="U99">
        <f t="shared" si="30"/>
        <v>0.11458333333333336</v>
      </c>
      <c r="V99">
        <f t="shared" si="24"/>
        <v>11.458333333333334</v>
      </c>
      <c r="W99">
        <f t="shared" si="25"/>
        <v>61.111111111111114</v>
      </c>
      <c r="X99">
        <f t="shared" si="26"/>
        <v>2.3913043478260874</v>
      </c>
      <c r="Y99">
        <f t="shared" si="27"/>
        <v>1.6369047619047621</v>
      </c>
    </row>
    <row r="100" spans="1:25" x14ac:dyDescent="0.35">
      <c r="A100" s="36">
        <v>2020</v>
      </c>
      <c r="B100" s="60">
        <v>5.8939999999999999E-3</v>
      </c>
      <c r="C100" s="80" t="s">
        <v>584</v>
      </c>
      <c r="D100" s="80"/>
      <c r="E100">
        <v>7.4999999999999997E-2</v>
      </c>
      <c r="F100">
        <f t="shared" si="15"/>
        <v>0.20625000000000002</v>
      </c>
      <c r="G100" s="62">
        <f t="shared" si="16"/>
        <v>110.96940288</v>
      </c>
      <c r="H100">
        <f t="shared" si="28"/>
        <v>3200</v>
      </c>
      <c r="I100">
        <f t="shared" si="29"/>
        <v>2.7500000000000004</v>
      </c>
      <c r="J100">
        <f t="shared" si="17"/>
        <v>1.1151722617974316</v>
      </c>
      <c r="K100">
        <f t="shared" si="18"/>
        <v>123.75000000000001</v>
      </c>
      <c r="M100">
        <f t="shared" si="19"/>
        <v>8.25</v>
      </c>
      <c r="O100">
        <f t="shared" si="20"/>
        <v>1.8644067796610167E-2</v>
      </c>
      <c r="R100">
        <f t="shared" si="21"/>
        <v>1.0312500000000002</v>
      </c>
      <c r="S100">
        <f t="shared" si="22"/>
        <v>5.5000000000000009</v>
      </c>
      <c r="T100">
        <f t="shared" si="23"/>
        <v>0.21521739130434786</v>
      </c>
      <c r="U100">
        <f t="shared" si="30"/>
        <v>0.1473214285714286</v>
      </c>
      <c r="V100">
        <f t="shared" si="24"/>
        <v>13.750000000000004</v>
      </c>
      <c r="W100">
        <f t="shared" si="25"/>
        <v>73.333333333333343</v>
      </c>
      <c r="X100">
        <f t="shared" si="26"/>
        <v>2.8695652173913051</v>
      </c>
      <c r="Y100">
        <f t="shared" si="27"/>
        <v>1.9642857142857149</v>
      </c>
    </row>
    <row r="101" spans="1:25" x14ac:dyDescent="0.35">
      <c r="A101" s="36">
        <v>2040</v>
      </c>
      <c r="B101" s="60">
        <v>5.8939999999999999E-3</v>
      </c>
      <c r="C101" s="80" t="s">
        <v>586</v>
      </c>
      <c r="D101" s="80"/>
      <c r="E101">
        <v>0.08</v>
      </c>
      <c r="F101">
        <f t="shared" si="15"/>
        <v>0.24</v>
      </c>
      <c r="G101" s="62">
        <f t="shared" si="16"/>
        <v>135.24395976</v>
      </c>
      <c r="H101">
        <f t="shared" si="28"/>
        <v>3600</v>
      </c>
      <c r="I101">
        <f t="shared" si="29"/>
        <v>3</v>
      </c>
      <c r="J101">
        <f t="shared" si="17"/>
        <v>1.1534711071520907</v>
      </c>
      <c r="K101">
        <f t="shared" si="18"/>
        <v>156</v>
      </c>
      <c r="M101">
        <f t="shared" si="19"/>
        <v>9.6</v>
      </c>
      <c r="O101">
        <f t="shared" si="20"/>
        <v>1.7391304347826084E-2</v>
      </c>
      <c r="R101">
        <f t="shared" si="21"/>
        <v>1.3</v>
      </c>
      <c r="S101">
        <f t="shared" si="22"/>
        <v>6.9333333333333336</v>
      </c>
      <c r="T101">
        <f t="shared" si="23"/>
        <v>0.27130434782608698</v>
      </c>
      <c r="U101">
        <f t="shared" si="30"/>
        <v>0.18571428571428572</v>
      </c>
      <c r="V101">
        <f t="shared" si="24"/>
        <v>16.25</v>
      </c>
      <c r="W101">
        <f t="shared" si="25"/>
        <v>86.666666666666671</v>
      </c>
      <c r="X101">
        <f t="shared" si="26"/>
        <v>3.3913043478260874</v>
      </c>
      <c r="Y101">
        <f t="shared" si="27"/>
        <v>2.3214285714285716</v>
      </c>
    </row>
    <row r="102" spans="1:25" x14ac:dyDescent="0.35">
      <c r="A102" s="36">
        <v>2060</v>
      </c>
      <c r="B102" s="60">
        <v>5.8939999999999999E-3</v>
      </c>
      <c r="C102" s="80" t="s">
        <v>588</v>
      </c>
      <c r="D102" s="80"/>
      <c r="E102">
        <v>8.5000000000000006E-2</v>
      </c>
      <c r="F102">
        <f t="shared" si="15"/>
        <v>0.27625000000000005</v>
      </c>
      <c r="G102" s="62">
        <f t="shared" si="16"/>
        <v>161.83037919999998</v>
      </c>
      <c r="H102">
        <f t="shared" si="28"/>
        <v>4000</v>
      </c>
      <c r="I102">
        <f t="shared" si="29"/>
        <v>3.2500000000000004</v>
      </c>
      <c r="J102">
        <f t="shared" si="17"/>
        <v>1.1949239750653693</v>
      </c>
      <c r="K102">
        <f t="shared" si="18"/>
        <v>193.37500000000003</v>
      </c>
      <c r="M102">
        <f t="shared" si="19"/>
        <v>11.050000000000002</v>
      </c>
      <c r="O102">
        <f t="shared" si="20"/>
        <v>1.6283924843423798E-2</v>
      </c>
      <c r="R102">
        <f t="shared" si="21"/>
        <v>1.6114583333333337</v>
      </c>
      <c r="S102">
        <f t="shared" si="22"/>
        <v>8.594444444444445</v>
      </c>
      <c r="T102">
        <f t="shared" si="23"/>
        <v>0.33630434782608698</v>
      </c>
      <c r="U102">
        <f t="shared" si="30"/>
        <v>0.23020833333333338</v>
      </c>
      <c r="V102">
        <f t="shared" si="24"/>
        <v>18.958333333333336</v>
      </c>
      <c r="W102">
        <f t="shared" si="25"/>
        <v>101.11111111111111</v>
      </c>
      <c r="X102">
        <f t="shared" si="26"/>
        <v>3.9565217391304346</v>
      </c>
      <c r="Y102">
        <f t="shared" si="27"/>
        <v>2.7083333333333335</v>
      </c>
    </row>
    <row r="103" spans="1:25" x14ac:dyDescent="0.35">
      <c r="A103" s="36">
        <v>1995</v>
      </c>
      <c r="B103" s="60">
        <v>1.784E-3</v>
      </c>
      <c r="C103" s="80" t="s">
        <v>590</v>
      </c>
      <c r="D103" s="80"/>
      <c r="E103">
        <v>0.1</v>
      </c>
      <c r="F103">
        <f>E103*10*C90</f>
        <v>0.15</v>
      </c>
      <c r="G103" s="62">
        <f>(K103/J103)</f>
        <v>118.08385199999998</v>
      </c>
      <c r="H103">
        <f>H90</f>
        <v>4500</v>
      </c>
      <c r="I103">
        <f t="shared" si="29"/>
        <v>1.4999999999999998</v>
      </c>
      <c r="J103">
        <f t="shared" si="17"/>
        <v>1.9054256461755672</v>
      </c>
      <c r="K103">
        <f>F103*M90</f>
        <v>225</v>
      </c>
      <c r="M103">
        <f t="shared" si="19"/>
        <v>6</v>
      </c>
      <c r="O103">
        <f t="shared" si="20"/>
        <v>7.5949367088607592E-3</v>
      </c>
      <c r="R103">
        <f t="shared" si="21"/>
        <v>1.875</v>
      </c>
      <c r="S103">
        <f t="shared" si="22"/>
        <v>10</v>
      </c>
      <c r="T103">
        <f t="shared" si="23"/>
        <v>0.39130434782608697</v>
      </c>
      <c r="U103">
        <f t="shared" si="30"/>
        <v>0.26785714285714285</v>
      </c>
      <c r="V103">
        <f t="shared" si="24"/>
        <v>18.75</v>
      </c>
      <c r="W103">
        <f t="shared" si="25"/>
        <v>100</v>
      </c>
      <c r="X103">
        <f t="shared" si="26"/>
        <v>3.9130434782608696</v>
      </c>
      <c r="Y103">
        <f t="shared" si="27"/>
        <v>2.6785714285714284</v>
      </c>
    </row>
    <row r="104" spans="1:25" s="7" customFormat="1" x14ac:dyDescent="0.35">
      <c r="A104" s="74">
        <v>2005</v>
      </c>
      <c r="B104" s="74">
        <v>1.784E-3</v>
      </c>
      <c r="C104" s="81" t="s">
        <v>594</v>
      </c>
      <c r="D104" s="81"/>
      <c r="E104" s="7">
        <v>0.125</v>
      </c>
      <c r="F104" s="7">
        <f>E104*10*C91</f>
        <v>0.21875</v>
      </c>
      <c r="G104" s="75">
        <f t="shared" ref="G104:G111" si="31">(K104/J104)</f>
        <v>160.72524299999998</v>
      </c>
      <c r="H104" s="7">
        <f t="shared" ref="H104:H107" si="32">H91</f>
        <v>5250</v>
      </c>
      <c r="I104" s="7">
        <f t="shared" si="29"/>
        <v>1.75</v>
      </c>
      <c r="J104" s="7">
        <f t="shared" si="17"/>
        <v>2.3817820577194588</v>
      </c>
      <c r="K104" s="7">
        <f>F104*M91</f>
        <v>382.8125</v>
      </c>
      <c r="M104" s="7">
        <f t="shared" si="19"/>
        <v>8.75</v>
      </c>
      <c r="O104" s="7">
        <f t="shared" si="20"/>
        <v>6.5985860172820118E-3</v>
      </c>
      <c r="R104" s="7">
        <f t="shared" si="21"/>
        <v>3.1901041666666665</v>
      </c>
      <c r="S104" s="7">
        <f t="shared" si="22"/>
        <v>17.013888888888889</v>
      </c>
      <c r="T104" s="7">
        <f t="shared" si="23"/>
        <v>0.66576086956521741</v>
      </c>
      <c r="U104" s="7">
        <f t="shared" si="30"/>
        <v>0.45572916666666663</v>
      </c>
      <c r="V104" s="7">
        <f t="shared" si="24"/>
        <v>25.520833333333332</v>
      </c>
      <c r="W104" s="7">
        <f t="shared" si="25"/>
        <v>136.11111111111111</v>
      </c>
      <c r="X104" s="7">
        <f t="shared" si="26"/>
        <v>5.3260869565217392</v>
      </c>
      <c r="Y104" s="7">
        <f t="shared" si="27"/>
        <v>3.645833333333333</v>
      </c>
    </row>
    <row r="105" spans="1:25" x14ac:dyDescent="0.35">
      <c r="A105" s="36">
        <v>2020</v>
      </c>
      <c r="B105" s="60">
        <v>1.784E-3</v>
      </c>
      <c r="C105" s="80" t="s">
        <v>591</v>
      </c>
      <c r="D105" s="80"/>
      <c r="E105">
        <v>0.15</v>
      </c>
      <c r="F105">
        <f>E105*10*C92</f>
        <v>0.30000000000000004</v>
      </c>
      <c r="G105" s="62">
        <f t="shared" si="31"/>
        <v>202.9292864</v>
      </c>
      <c r="H105">
        <f t="shared" si="32"/>
        <v>5800</v>
      </c>
      <c r="I105">
        <f t="shared" si="29"/>
        <v>2.0000000000000004</v>
      </c>
      <c r="J105">
        <f t="shared" si="17"/>
        <v>2.9566949682034664</v>
      </c>
      <c r="K105">
        <f>F105*M92</f>
        <v>600.00000000000011</v>
      </c>
      <c r="M105">
        <f t="shared" si="19"/>
        <v>12.000000000000002</v>
      </c>
      <c r="O105">
        <f t="shared" si="20"/>
        <v>5.8252427184466013E-3</v>
      </c>
      <c r="R105">
        <f t="shared" si="21"/>
        <v>5.0000000000000009</v>
      </c>
      <c r="S105">
        <f t="shared" si="22"/>
        <v>26.666666666666671</v>
      </c>
      <c r="T105">
        <f t="shared" si="23"/>
        <v>1.0434782608695654</v>
      </c>
      <c r="U105">
        <f t="shared" si="30"/>
        <v>0.71428571428571441</v>
      </c>
      <c r="V105">
        <f t="shared" si="24"/>
        <v>33.333333333333343</v>
      </c>
      <c r="W105">
        <f t="shared" si="25"/>
        <v>177.77777777777783</v>
      </c>
      <c r="X105">
        <f t="shared" si="26"/>
        <v>6.9565217391304364</v>
      </c>
      <c r="Y105">
        <f t="shared" si="27"/>
        <v>4.7619047619047628</v>
      </c>
    </row>
    <row r="106" spans="1:25" x14ac:dyDescent="0.35">
      <c r="A106" s="36">
        <v>2040</v>
      </c>
      <c r="B106" s="60">
        <v>1.784E-3</v>
      </c>
      <c r="C106" s="80" t="s">
        <v>701</v>
      </c>
      <c r="D106" s="80"/>
      <c r="E106">
        <v>0.15</v>
      </c>
      <c r="F106">
        <f>E106*10*C93</f>
        <v>0.33750000000000002</v>
      </c>
      <c r="G106" s="62">
        <f t="shared" si="31"/>
        <v>251.91221759999999</v>
      </c>
      <c r="H106">
        <f t="shared" si="32"/>
        <v>6400</v>
      </c>
      <c r="I106">
        <f t="shared" si="29"/>
        <v>2.2500000000000004</v>
      </c>
      <c r="J106">
        <f t="shared" si="17"/>
        <v>3.0144429168011899</v>
      </c>
      <c r="K106">
        <f>F106*M93</f>
        <v>759.375</v>
      </c>
      <c r="M106">
        <f t="shared" si="19"/>
        <v>13.5</v>
      </c>
      <c r="O106">
        <f t="shared" si="20"/>
        <v>5.2098408104196822E-3</v>
      </c>
      <c r="R106">
        <f t="shared" si="21"/>
        <v>6.328125</v>
      </c>
      <c r="S106">
        <f t="shared" si="22"/>
        <v>33.75</v>
      </c>
      <c r="T106">
        <f t="shared" si="23"/>
        <v>1.3206521739130435</v>
      </c>
      <c r="U106">
        <f t="shared" si="30"/>
        <v>0.9040178571428571</v>
      </c>
      <c r="V106">
        <f t="shared" si="24"/>
        <v>42.1875</v>
      </c>
      <c r="W106">
        <f t="shared" si="25"/>
        <v>225</v>
      </c>
      <c r="X106">
        <f t="shared" si="26"/>
        <v>8.804347826086957</v>
      </c>
      <c r="Y106">
        <f t="shared" si="27"/>
        <v>6.0267857142857144</v>
      </c>
    </row>
    <row r="107" spans="1:25" x14ac:dyDescent="0.35">
      <c r="A107" s="36">
        <v>2060</v>
      </c>
      <c r="B107" s="60">
        <v>1.784E-3</v>
      </c>
      <c r="C107" s="80" t="s">
        <v>702</v>
      </c>
      <c r="D107" s="80"/>
      <c r="E107">
        <v>0.15</v>
      </c>
      <c r="F107">
        <f>E107*10*C94</f>
        <v>0.375</v>
      </c>
      <c r="G107" s="62">
        <f t="shared" si="31"/>
        <v>317.07701000000003</v>
      </c>
      <c r="H107">
        <f t="shared" si="32"/>
        <v>7250</v>
      </c>
      <c r="I107">
        <f t="shared" si="29"/>
        <v>2.5</v>
      </c>
      <c r="J107">
        <f t="shared" si="17"/>
        <v>2.9566949682034656</v>
      </c>
      <c r="K107">
        <f>F107*M94</f>
        <v>937.5</v>
      </c>
      <c r="M107">
        <f t="shared" si="19"/>
        <v>15</v>
      </c>
      <c r="O107">
        <f t="shared" si="20"/>
        <v>4.7095761381475663E-3</v>
      </c>
      <c r="R107">
        <f t="shared" si="21"/>
        <v>7.8125</v>
      </c>
      <c r="S107">
        <f t="shared" si="22"/>
        <v>41.666666666666664</v>
      </c>
      <c r="T107">
        <f t="shared" si="23"/>
        <v>1.6304347826086956</v>
      </c>
      <c r="U107">
        <f t="shared" si="30"/>
        <v>1.1160714285714286</v>
      </c>
      <c r="V107">
        <f t="shared" si="24"/>
        <v>52.083333333333336</v>
      </c>
      <c r="W107">
        <f t="shared" si="25"/>
        <v>277.77777777777777</v>
      </c>
      <c r="X107">
        <f t="shared" si="26"/>
        <v>10.869565217391305</v>
      </c>
      <c r="Y107">
        <f t="shared" si="27"/>
        <v>7.4404761904761907</v>
      </c>
    </row>
    <row r="108" spans="1:25" x14ac:dyDescent="0.35">
      <c r="A108" s="36">
        <v>2005</v>
      </c>
      <c r="B108" s="60">
        <v>0.53400000000000003</v>
      </c>
      <c r="C108" s="80" t="s">
        <v>610</v>
      </c>
      <c r="D108" s="80"/>
      <c r="E108">
        <v>0.2</v>
      </c>
      <c r="F108">
        <f>E108*10*D91</f>
        <v>0.04</v>
      </c>
      <c r="G108" s="41">
        <f t="shared" si="31"/>
        <v>59695.005599999989</v>
      </c>
      <c r="H108">
        <f>I91</f>
        <v>9500</v>
      </c>
      <c r="I108">
        <f t="shared" si="29"/>
        <v>0.19999999999999998</v>
      </c>
      <c r="J108">
        <f t="shared" si="17"/>
        <v>8.0408736907799211E-4</v>
      </c>
      <c r="K108">
        <f>F108*N91</f>
        <v>48</v>
      </c>
      <c r="M108">
        <f t="shared" si="19"/>
        <v>1.6</v>
      </c>
      <c r="O108">
        <f t="shared" si="20"/>
        <v>6.6666666666666662E-3</v>
      </c>
      <c r="R108">
        <f t="shared" si="21"/>
        <v>0.4</v>
      </c>
      <c r="S108">
        <f t="shared" si="22"/>
        <v>2.1333333333333333</v>
      </c>
      <c r="T108">
        <f t="shared" si="23"/>
        <v>8.3478260869565224E-2</v>
      </c>
      <c r="U108">
        <f t="shared" si="30"/>
        <v>5.7142857142857148E-2</v>
      </c>
      <c r="V108">
        <f t="shared" si="24"/>
        <v>2</v>
      </c>
      <c r="W108">
        <f t="shared" si="25"/>
        <v>10.666666666666666</v>
      </c>
      <c r="X108">
        <f t="shared" si="26"/>
        <v>0.41739130434782612</v>
      </c>
      <c r="Y108">
        <f t="shared" si="27"/>
        <v>0.2857142857142857</v>
      </c>
    </row>
    <row r="109" spans="1:25" x14ac:dyDescent="0.35">
      <c r="A109" s="36">
        <v>2020</v>
      </c>
      <c r="B109" s="60">
        <v>0.53400000000000003</v>
      </c>
      <c r="C109" s="80" t="s">
        <v>613</v>
      </c>
      <c r="D109" s="80"/>
      <c r="E109">
        <v>0.22</v>
      </c>
      <c r="F109">
        <f>E109*10*D92</f>
        <v>5.5000000000000007E-2</v>
      </c>
      <c r="G109" s="41">
        <f t="shared" si="31"/>
        <v>95302.552800000005</v>
      </c>
      <c r="H109">
        <f t="shared" ref="H109:H111" si="33">I92</f>
        <v>14000</v>
      </c>
      <c r="I109">
        <f t="shared" si="29"/>
        <v>0.25000000000000006</v>
      </c>
      <c r="J109">
        <f t="shared" si="17"/>
        <v>7.5024223275580511E-4</v>
      </c>
      <c r="K109">
        <f>F109*N92</f>
        <v>71.500000000000014</v>
      </c>
      <c r="M109">
        <f t="shared" si="19"/>
        <v>2.2000000000000002</v>
      </c>
      <c r="O109">
        <f t="shared" si="20"/>
        <v>6.7415730337078645E-3</v>
      </c>
      <c r="R109">
        <f t="shared" si="21"/>
        <v>0.59583333333333344</v>
      </c>
      <c r="S109">
        <f t="shared" si="22"/>
        <v>3.1777777777777785</v>
      </c>
      <c r="T109">
        <f t="shared" si="23"/>
        <v>0.12434782608695655</v>
      </c>
      <c r="U109">
        <f t="shared" si="30"/>
        <v>8.5119047619047636E-2</v>
      </c>
      <c r="V109">
        <f t="shared" si="24"/>
        <v>2.7083333333333339</v>
      </c>
      <c r="W109">
        <f t="shared" si="25"/>
        <v>14.444444444444448</v>
      </c>
      <c r="X109">
        <f t="shared" si="26"/>
        <v>0.56521739130434789</v>
      </c>
      <c r="Y109">
        <f t="shared" si="27"/>
        <v>0.38690476190476197</v>
      </c>
    </row>
    <row r="110" spans="1:25" x14ac:dyDescent="0.35">
      <c r="A110" s="36">
        <v>2040</v>
      </c>
      <c r="B110" s="60">
        <v>0.53400000000000003</v>
      </c>
      <c r="C110" s="80" t="s">
        <v>615</v>
      </c>
      <c r="D110" s="80"/>
      <c r="E110">
        <v>0.24</v>
      </c>
      <c r="F110">
        <f>E110*10*D93</f>
        <v>7.1999999999999995E-2</v>
      </c>
      <c r="G110" s="41">
        <f t="shared" si="31"/>
        <v>120960.93240000002</v>
      </c>
      <c r="H110">
        <f t="shared" si="33"/>
        <v>16500</v>
      </c>
      <c r="I110">
        <f t="shared" si="29"/>
        <v>0.3</v>
      </c>
      <c r="J110">
        <f t="shared" si="17"/>
        <v>8.3332690977173701E-4</v>
      </c>
      <c r="K110">
        <f>F110*N93</f>
        <v>100.8</v>
      </c>
      <c r="M110">
        <f t="shared" si="19"/>
        <v>2.88</v>
      </c>
      <c r="O110">
        <f t="shared" si="20"/>
        <v>6.6666666666666654E-3</v>
      </c>
      <c r="R110">
        <f t="shared" si="21"/>
        <v>0.84</v>
      </c>
      <c r="S110">
        <f t="shared" si="22"/>
        <v>4.4799999999999995</v>
      </c>
      <c r="T110">
        <f t="shared" si="23"/>
        <v>0.17530434782608695</v>
      </c>
      <c r="U110">
        <f t="shared" si="30"/>
        <v>0.12</v>
      </c>
      <c r="V110">
        <f t="shared" si="24"/>
        <v>3.5</v>
      </c>
      <c r="W110">
        <f t="shared" si="25"/>
        <v>18.666666666666664</v>
      </c>
      <c r="X110">
        <f t="shared" si="26"/>
        <v>0.73043478260869565</v>
      </c>
      <c r="Y110">
        <f t="shared" si="27"/>
        <v>0.5</v>
      </c>
    </row>
    <row r="111" spans="1:25" x14ac:dyDescent="0.35">
      <c r="A111" s="36">
        <v>2060</v>
      </c>
      <c r="B111" s="60">
        <v>0.53400000000000003</v>
      </c>
      <c r="C111" s="80" t="s">
        <v>703</v>
      </c>
      <c r="D111" s="80"/>
      <c r="E111">
        <v>0.26</v>
      </c>
      <c r="F111">
        <f>E111*10*D94</f>
        <v>9.1000000000000011E-2</v>
      </c>
      <c r="G111" s="41">
        <f t="shared" si="31"/>
        <v>149237.514</v>
      </c>
      <c r="H111">
        <f t="shared" si="33"/>
        <v>19000</v>
      </c>
      <c r="I111">
        <f t="shared" si="29"/>
        <v>0.35000000000000003</v>
      </c>
      <c r="J111">
        <f t="shared" si="17"/>
        <v>9.1464938232621617E-4</v>
      </c>
      <c r="K111">
        <f>F111*N94</f>
        <v>136.50000000000003</v>
      </c>
      <c r="M111">
        <f t="shared" si="19"/>
        <v>3.6400000000000006</v>
      </c>
      <c r="O111">
        <f t="shared" si="20"/>
        <v>6.5116279069767444E-3</v>
      </c>
      <c r="R111">
        <f t="shared" si="21"/>
        <v>1.1375000000000002</v>
      </c>
      <c r="S111">
        <f t="shared" si="22"/>
        <v>6.0666666666666682</v>
      </c>
      <c r="T111">
        <f t="shared" si="23"/>
        <v>0.23739130434782613</v>
      </c>
      <c r="U111">
        <f t="shared" si="30"/>
        <v>0.16250000000000003</v>
      </c>
      <c r="V111">
        <f t="shared" si="24"/>
        <v>4.3750000000000009</v>
      </c>
      <c r="W111">
        <f t="shared" si="25"/>
        <v>23.333333333333339</v>
      </c>
      <c r="X111">
        <f t="shared" si="26"/>
        <v>0.91304347826086973</v>
      </c>
      <c r="Y111">
        <f t="shared" si="27"/>
        <v>0.62500000000000011</v>
      </c>
    </row>
    <row r="112" spans="1:25" x14ac:dyDescent="0.35">
      <c r="A112" s="60" t="s">
        <v>609</v>
      </c>
      <c r="B112" s="60">
        <v>0.53400000000000003</v>
      </c>
      <c r="F112">
        <v>1.1830000000000001</v>
      </c>
      <c r="G112">
        <f>(0.025*K112/J112)</f>
        <v>115.08580219780221</v>
      </c>
      <c r="H112">
        <v>2600</v>
      </c>
      <c r="J112">
        <f t="shared" si="17"/>
        <v>8.6891691320990505E-2</v>
      </c>
      <c r="K112">
        <v>400</v>
      </c>
    </row>
    <row r="113" spans="1:15" x14ac:dyDescent="0.35">
      <c r="A113" s="60" t="s">
        <v>597</v>
      </c>
      <c r="B113" s="60">
        <v>5.8939999999999999E-3</v>
      </c>
      <c r="F113">
        <v>5.2999999999999999E-2</v>
      </c>
      <c r="G113">
        <f>(0.025*K113/J113)/0.05894</f>
        <v>177.06305660377356</v>
      </c>
      <c r="H113">
        <v>6380</v>
      </c>
      <c r="J113">
        <f t="shared" si="17"/>
        <v>0.14373190128305835</v>
      </c>
      <c r="K113">
        <v>60</v>
      </c>
    </row>
    <row r="114" spans="1:15" x14ac:dyDescent="0.35">
      <c r="G114" t="s">
        <v>675</v>
      </c>
      <c r="H114" t="s">
        <v>676</v>
      </c>
    </row>
    <row r="115" spans="1:15" x14ac:dyDescent="0.35">
      <c r="A115" t="s">
        <v>637</v>
      </c>
      <c r="B115">
        <v>5.8939999999999998E-6</v>
      </c>
      <c r="E115" t="s">
        <v>674</v>
      </c>
      <c r="G115">
        <v>0.5</v>
      </c>
    </row>
    <row r="116" spans="1:15" x14ac:dyDescent="0.35">
      <c r="A116" t="s">
        <v>647</v>
      </c>
      <c r="B116">
        <v>1.784E-6</v>
      </c>
      <c r="E116" t="s">
        <v>674</v>
      </c>
      <c r="G116">
        <v>0.25</v>
      </c>
      <c r="M116" t="s">
        <v>952</v>
      </c>
      <c r="N116" t="s">
        <v>953</v>
      </c>
      <c r="O116" t="s">
        <v>954</v>
      </c>
    </row>
    <row r="117" spans="1:15" x14ac:dyDescent="0.35">
      <c r="A117" t="s">
        <v>644</v>
      </c>
      <c r="B117">
        <v>5.3399999999999997E-4</v>
      </c>
      <c r="E117" t="s">
        <v>674</v>
      </c>
      <c r="G117">
        <v>0.5</v>
      </c>
      <c r="J117" s="71">
        <v>1980</v>
      </c>
      <c r="K117" s="80" t="s">
        <v>596</v>
      </c>
      <c r="L117" s="80"/>
    </row>
    <row r="118" spans="1:15" x14ac:dyDescent="0.35">
      <c r="J118" s="71">
        <v>1995</v>
      </c>
      <c r="K118" s="80" t="s">
        <v>598</v>
      </c>
      <c r="L118" s="80"/>
      <c r="M118">
        <f>I98/I97</f>
        <v>1.3333333333333335</v>
      </c>
      <c r="N118">
        <f>H98-H97</f>
        <v>300</v>
      </c>
      <c r="O118">
        <f>(K98/F98)/(K97/F97)</f>
        <v>1.1875</v>
      </c>
    </row>
    <row r="119" spans="1:15" x14ac:dyDescent="0.35">
      <c r="J119" s="71">
        <v>2005</v>
      </c>
      <c r="K119" s="80" t="s">
        <v>582</v>
      </c>
      <c r="L119" s="80"/>
      <c r="M119">
        <f t="shared" ref="M119:M131" si="34">I99/I98</f>
        <v>1.25</v>
      </c>
      <c r="N119">
        <f t="shared" ref="N119:N131" si="35">H99-H98</f>
        <v>300</v>
      </c>
      <c r="O119">
        <f t="shared" ref="O119:O131" si="36">(K99/F99)/(K98/F98)</f>
        <v>1.1578947368421053</v>
      </c>
    </row>
    <row r="120" spans="1:15" x14ac:dyDescent="0.35">
      <c r="J120" s="71">
        <v>2020</v>
      </c>
      <c r="K120" s="80" t="s">
        <v>584</v>
      </c>
      <c r="L120" s="80"/>
      <c r="M120">
        <f t="shared" si="34"/>
        <v>1.1000000000000001</v>
      </c>
      <c r="N120">
        <f t="shared" si="35"/>
        <v>400</v>
      </c>
      <c r="O120">
        <f t="shared" si="36"/>
        <v>1.0909090909090908</v>
      </c>
    </row>
    <row r="121" spans="1:15" x14ac:dyDescent="0.35">
      <c r="J121" s="71">
        <v>2040</v>
      </c>
      <c r="K121" s="80" t="s">
        <v>586</v>
      </c>
      <c r="L121" s="80"/>
      <c r="M121">
        <f t="shared" si="34"/>
        <v>1.0909090909090908</v>
      </c>
      <c r="N121">
        <f t="shared" si="35"/>
        <v>400</v>
      </c>
      <c r="O121">
        <f t="shared" si="36"/>
        <v>1.0833333333333333</v>
      </c>
    </row>
    <row r="122" spans="1:15" x14ac:dyDescent="0.35">
      <c r="J122" s="71">
        <v>2060</v>
      </c>
      <c r="K122" s="80" t="s">
        <v>588</v>
      </c>
      <c r="L122" s="80"/>
      <c r="M122">
        <f t="shared" si="34"/>
        <v>1.0833333333333335</v>
      </c>
      <c r="N122">
        <f t="shared" si="35"/>
        <v>400</v>
      </c>
      <c r="O122">
        <f t="shared" si="36"/>
        <v>1.0769230769230769</v>
      </c>
    </row>
    <row r="123" spans="1:15" x14ac:dyDescent="0.35">
      <c r="D123" t="s">
        <v>687</v>
      </c>
      <c r="E123">
        <v>2</v>
      </c>
      <c r="J123" s="71">
        <v>1995</v>
      </c>
      <c r="K123" s="80" t="s">
        <v>590</v>
      </c>
      <c r="L123" s="80"/>
    </row>
    <row r="124" spans="1:15" x14ac:dyDescent="0.35">
      <c r="D124" t="s">
        <v>688</v>
      </c>
      <c r="E124">
        <v>4</v>
      </c>
      <c r="J124" s="71">
        <v>2005</v>
      </c>
      <c r="K124" s="80" t="s">
        <v>594</v>
      </c>
      <c r="L124" s="80"/>
      <c r="M124">
        <f t="shared" si="34"/>
        <v>1.1666666666666667</v>
      </c>
      <c r="N124">
        <f t="shared" si="35"/>
        <v>750</v>
      </c>
      <c r="O124">
        <f t="shared" si="36"/>
        <v>1.1666666666666667</v>
      </c>
    </row>
    <row r="125" spans="1:15" x14ac:dyDescent="0.35">
      <c r="D125" t="s">
        <v>689</v>
      </c>
      <c r="E125">
        <v>8</v>
      </c>
      <c r="J125" s="71">
        <v>2020</v>
      </c>
      <c r="K125" s="80" t="s">
        <v>591</v>
      </c>
      <c r="L125" s="80"/>
      <c r="M125">
        <f t="shared" si="34"/>
        <v>1.142857142857143</v>
      </c>
      <c r="N125">
        <f t="shared" si="35"/>
        <v>550</v>
      </c>
      <c r="O125">
        <f t="shared" si="36"/>
        <v>1.1428571428571428</v>
      </c>
    </row>
    <row r="126" spans="1:15" x14ac:dyDescent="0.35">
      <c r="D126" t="s">
        <v>690</v>
      </c>
      <c r="E126">
        <f>E123/E124/E125</f>
        <v>6.25E-2</v>
      </c>
      <c r="J126" s="71">
        <v>2040</v>
      </c>
      <c r="K126" s="80" t="s">
        <v>701</v>
      </c>
      <c r="L126" s="80"/>
      <c r="M126">
        <f t="shared" si="34"/>
        <v>1.125</v>
      </c>
      <c r="N126">
        <f t="shared" si="35"/>
        <v>600</v>
      </c>
      <c r="O126">
        <f t="shared" si="36"/>
        <v>1.125</v>
      </c>
    </row>
    <row r="127" spans="1:15" x14ac:dyDescent="0.35">
      <c r="D127" t="s">
        <v>691</v>
      </c>
      <c r="E127">
        <f>E123/(E124/E125)</f>
        <v>4</v>
      </c>
      <c r="J127" s="71">
        <v>2060</v>
      </c>
      <c r="K127" s="80" t="s">
        <v>702</v>
      </c>
      <c r="L127" s="80"/>
      <c r="M127">
        <f t="shared" si="34"/>
        <v>1.1111111111111109</v>
      </c>
      <c r="N127">
        <f t="shared" si="35"/>
        <v>850</v>
      </c>
      <c r="O127">
        <f t="shared" si="36"/>
        <v>1.1111111111111112</v>
      </c>
    </row>
    <row r="128" spans="1:15" x14ac:dyDescent="0.35">
      <c r="D128" t="s">
        <v>692</v>
      </c>
      <c r="E128">
        <f>(E123/E124)/E125</f>
        <v>6.25E-2</v>
      </c>
      <c r="J128" s="71">
        <v>2005</v>
      </c>
      <c r="K128" s="80" t="s">
        <v>610</v>
      </c>
      <c r="L128" s="80"/>
    </row>
    <row r="129" spans="4:15" x14ac:dyDescent="0.35">
      <c r="J129" s="71">
        <v>2020</v>
      </c>
      <c r="K129" s="80" t="s">
        <v>613</v>
      </c>
      <c r="L129" s="80"/>
      <c r="M129">
        <f t="shared" si="34"/>
        <v>1.2500000000000004</v>
      </c>
      <c r="N129">
        <f t="shared" si="35"/>
        <v>4500</v>
      </c>
      <c r="O129">
        <f t="shared" si="36"/>
        <v>1.0833333333333333</v>
      </c>
    </row>
    <row r="130" spans="4:15" x14ac:dyDescent="0.35">
      <c r="J130" s="71">
        <v>2040</v>
      </c>
      <c r="K130" s="80" t="s">
        <v>615</v>
      </c>
      <c r="L130" s="80"/>
      <c r="M130">
        <f t="shared" si="34"/>
        <v>1.1999999999999997</v>
      </c>
      <c r="N130">
        <f t="shared" si="35"/>
        <v>2500</v>
      </c>
      <c r="O130">
        <f t="shared" si="36"/>
        <v>1.0769230769230769</v>
      </c>
    </row>
    <row r="131" spans="4:15" x14ac:dyDescent="0.35">
      <c r="J131" s="71">
        <v>2060</v>
      </c>
      <c r="K131" s="80" t="s">
        <v>703</v>
      </c>
      <c r="L131" s="80"/>
      <c r="M131">
        <f t="shared" si="34"/>
        <v>1.1666666666666667</v>
      </c>
      <c r="N131">
        <f t="shared" si="35"/>
        <v>2500</v>
      </c>
      <c r="O131">
        <f t="shared" si="36"/>
        <v>1.0714285714285716</v>
      </c>
    </row>
    <row r="135" spans="4:15" x14ac:dyDescent="0.35">
      <c r="E135" t="s">
        <v>94</v>
      </c>
      <c r="F135" t="s">
        <v>580</v>
      </c>
    </row>
    <row r="136" spans="4:15" x14ac:dyDescent="0.35">
      <c r="D136">
        <v>0.625</v>
      </c>
      <c r="E136">
        <v>8.5000000000000006E-2</v>
      </c>
      <c r="F136">
        <v>0.27600000000000002</v>
      </c>
    </row>
    <row r="137" spans="4:15" x14ac:dyDescent="0.35">
      <c r="D137">
        <v>1.25</v>
      </c>
      <c r="E137">
        <v>0.34</v>
      </c>
      <c r="F137">
        <v>1.105</v>
      </c>
    </row>
    <row r="138" spans="4:15" x14ac:dyDescent="0.35">
      <c r="D138" t="s">
        <v>920</v>
      </c>
      <c r="E138">
        <f>E137/E136</f>
        <v>4</v>
      </c>
      <c r="F138">
        <f>F137/F136</f>
        <v>4.0036231884057969</v>
      </c>
    </row>
  </sheetData>
  <mergeCells count="31">
    <mergeCell ref="K127:L127"/>
    <mergeCell ref="K128:L128"/>
    <mergeCell ref="K129:L129"/>
    <mergeCell ref="K130:L130"/>
    <mergeCell ref="K131:L131"/>
    <mergeCell ref="K122:L122"/>
    <mergeCell ref="K123:L123"/>
    <mergeCell ref="K124:L124"/>
    <mergeCell ref="K125:L125"/>
    <mergeCell ref="K126:L126"/>
    <mergeCell ref="K117:L117"/>
    <mergeCell ref="K118:L118"/>
    <mergeCell ref="K119:L119"/>
    <mergeCell ref="K120:L120"/>
    <mergeCell ref="K121:L121"/>
    <mergeCell ref="C96:D96"/>
    <mergeCell ref="C108:D108"/>
    <mergeCell ref="C109:D109"/>
    <mergeCell ref="C110:D110"/>
    <mergeCell ref="C111:D111"/>
    <mergeCell ref="C102:D102"/>
    <mergeCell ref="C103:D103"/>
    <mergeCell ref="C104:D104"/>
    <mergeCell ref="C105:D105"/>
    <mergeCell ref="C106:D106"/>
    <mergeCell ref="C107:D107"/>
    <mergeCell ref="C101:D101"/>
    <mergeCell ref="C97:D97"/>
    <mergeCell ref="C98:D98"/>
    <mergeCell ref="C99:D99"/>
    <mergeCell ref="C100:D100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7AAC-2A4C-433D-BD38-8D2EC3FA4582}">
  <dimension ref="A1:N93"/>
  <sheetViews>
    <sheetView workbookViewId="0">
      <pane ySplit="2" topLeftCell="A45" activePane="bottomLeft" state="frozen"/>
      <selection pane="bottomLeft" activeCell="C48" sqref="C48"/>
    </sheetView>
  </sheetViews>
  <sheetFormatPr defaultRowHeight="14.5" x14ac:dyDescent="0.35"/>
  <cols>
    <col min="1" max="1" width="26.54296875" bestFit="1" customWidth="1"/>
    <col min="2" max="2" width="4.81640625" bestFit="1" customWidth="1"/>
    <col min="3" max="3" width="13.6328125" bestFit="1" customWidth="1"/>
    <col min="4" max="4" width="11.90625" bestFit="1" customWidth="1"/>
    <col min="5" max="6" width="15.26953125" bestFit="1" customWidth="1"/>
    <col min="7" max="7" width="15.81640625" bestFit="1" customWidth="1"/>
    <col min="8" max="8" width="16.453125" bestFit="1" customWidth="1"/>
    <col min="9" max="9" width="15.81640625" bestFit="1" customWidth="1"/>
    <col min="10" max="14" width="16.453125" bestFit="1" customWidth="1"/>
  </cols>
  <sheetData>
    <row r="1" spans="1:14" s="39" customFormat="1" ht="18.5" x14ac:dyDescent="0.45">
      <c r="A1" s="39" t="s">
        <v>176</v>
      </c>
      <c r="C1" s="39">
        <v>1955</v>
      </c>
      <c r="D1" s="39">
        <v>1960</v>
      </c>
      <c r="E1" s="39">
        <v>1965</v>
      </c>
      <c r="F1" s="39">
        <v>1970</v>
      </c>
      <c r="G1" s="39">
        <v>1975</v>
      </c>
      <c r="H1" s="39">
        <v>1980</v>
      </c>
      <c r="I1" s="39">
        <v>1985</v>
      </c>
      <c r="J1" s="39">
        <v>1995</v>
      </c>
      <c r="K1" s="39">
        <v>2005</v>
      </c>
      <c r="L1" s="39">
        <v>2020</v>
      </c>
      <c r="M1" s="39">
        <v>2040</v>
      </c>
      <c r="N1" s="39">
        <v>2060</v>
      </c>
    </row>
    <row r="2" spans="1:14" x14ac:dyDescent="0.35">
      <c r="C2">
        <v>-2308</v>
      </c>
      <c r="D2">
        <v>-2188</v>
      </c>
      <c r="E2">
        <v>-2068</v>
      </c>
      <c r="F2">
        <v>-1948</v>
      </c>
      <c r="G2">
        <v>-1828</v>
      </c>
      <c r="H2">
        <v>-1708</v>
      </c>
      <c r="I2">
        <v>-1588</v>
      </c>
      <c r="J2">
        <v>-1468</v>
      </c>
      <c r="K2">
        <v>-1348</v>
      </c>
      <c r="L2">
        <v>-1228</v>
      </c>
      <c r="M2">
        <v>-1108</v>
      </c>
      <c r="N2">
        <v>-988</v>
      </c>
    </row>
    <row r="3" spans="1:14" x14ac:dyDescent="0.35"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x14ac:dyDescent="0.35">
      <c r="A4" t="s">
        <v>1024</v>
      </c>
      <c r="B4">
        <v>1785</v>
      </c>
      <c r="C4" s="33"/>
      <c r="D4" s="33"/>
      <c r="E4" s="33" t="s">
        <v>1037</v>
      </c>
      <c r="F4" s="33" t="s">
        <v>1038</v>
      </c>
      <c r="G4" s="33" t="s">
        <v>1039</v>
      </c>
      <c r="H4" s="33" t="s">
        <v>1040</v>
      </c>
      <c r="I4" s="33"/>
      <c r="J4" s="33" t="s">
        <v>1041</v>
      </c>
      <c r="K4" s="33" t="s">
        <v>1042</v>
      </c>
      <c r="L4" s="33" t="s">
        <v>1043</v>
      </c>
      <c r="M4" s="33" t="s">
        <v>1044</v>
      </c>
      <c r="N4" s="33" t="s">
        <v>1045</v>
      </c>
    </row>
    <row r="5" spans="1:14" x14ac:dyDescent="0.35">
      <c r="A5" t="s">
        <v>1036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</row>
    <row r="6" spans="1:14" x14ac:dyDescent="0.35"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4" x14ac:dyDescent="0.35">
      <c r="A7" s="28" t="s">
        <v>139</v>
      </c>
      <c r="B7">
        <v>1665</v>
      </c>
      <c r="D7" s="82" t="s">
        <v>958</v>
      </c>
      <c r="E7" s="33" t="s">
        <v>959</v>
      </c>
      <c r="F7" s="82" t="s">
        <v>960</v>
      </c>
      <c r="G7" s="33" t="s">
        <v>938</v>
      </c>
      <c r="H7" s="82" t="s">
        <v>961</v>
      </c>
      <c r="I7" s="33"/>
      <c r="J7" s="82" t="s">
        <v>962</v>
      </c>
      <c r="K7" s="82" t="s">
        <v>963</v>
      </c>
      <c r="L7" s="82" t="s">
        <v>964</v>
      </c>
      <c r="M7" s="82" t="s">
        <v>965</v>
      </c>
      <c r="N7" s="82" t="s">
        <v>966</v>
      </c>
    </row>
    <row r="8" spans="1:14" x14ac:dyDescent="0.35">
      <c r="A8" t="s">
        <v>1026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4" x14ac:dyDescent="0.35">
      <c r="A9" s="28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4" x14ac:dyDescent="0.35">
      <c r="A10" s="28" t="s">
        <v>140</v>
      </c>
      <c r="B10">
        <f>B7-120</f>
        <v>1545</v>
      </c>
      <c r="C10" s="33"/>
      <c r="D10" s="33"/>
      <c r="E10" s="33"/>
      <c r="F10" s="33"/>
      <c r="G10" s="33" t="s">
        <v>1046</v>
      </c>
      <c r="H10" s="33"/>
      <c r="I10" s="33" t="s">
        <v>1047</v>
      </c>
      <c r="J10" s="33" t="s">
        <v>1048</v>
      </c>
      <c r="K10" s="33" t="s">
        <v>1049</v>
      </c>
      <c r="L10" s="33" t="s">
        <v>1050</v>
      </c>
      <c r="M10" s="33" t="s">
        <v>1051</v>
      </c>
      <c r="N10" s="33" t="s">
        <v>1052</v>
      </c>
    </row>
    <row r="11" spans="1:14" x14ac:dyDescent="0.35">
      <c r="A11" t="s">
        <v>1030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4" x14ac:dyDescent="0.35">
      <c r="A12" s="28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4" x14ac:dyDescent="0.35">
      <c r="A13" s="28" t="s">
        <v>157</v>
      </c>
      <c r="B13">
        <f>B10-120</f>
        <v>1425</v>
      </c>
      <c r="C13" s="33"/>
      <c r="D13" s="33"/>
      <c r="E13" s="33"/>
      <c r="F13" s="33" t="s">
        <v>967</v>
      </c>
      <c r="G13" s="33"/>
      <c r="H13" s="33" t="s">
        <v>968</v>
      </c>
      <c r="I13" s="33"/>
      <c r="J13" s="33" t="s">
        <v>969</v>
      </c>
      <c r="K13" s="33"/>
      <c r="L13" s="33" t="s">
        <v>970</v>
      </c>
      <c r="M13" s="33" t="s">
        <v>502</v>
      </c>
      <c r="N13" s="33" t="s">
        <v>503</v>
      </c>
    </row>
    <row r="14" spans="1:14" x14ac:dyDescent="0.35">
      <c r="A14" t="s">
        <v>1035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</row>
    <row r="15" spans="1:14" x14ac:dyDescent="0.35">
      <c r="A15" s="28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1:14" x14ac:dyDescent="0.35">
      <c r="A16" s="28" t="s">
        <v>148</v>
      </c>
      <c r="B16">
        <f>B13-120</f>
        <v>1305</v>
      </c>
      <c r="C16" s="33"/>
      <c r="D16" s="33"/>
      <c r="E16" s="33"/>
      <c r="F16" s="33" t="s">
        <v>971</v>
      </c>
      <c r="G16" s="33"/>
      <c r="H16" s="33" t="s">
        <v>972</v>
      </c>
      <c r="I16" s="33"/>
      <c r="J16" s="33" t="s">
        <v>973</v>
      </c>
      <c r="K16" s="33"/>
      <c r="L16" s="33" t="s">
        <v>974</v>
      </c>
      <c r="M16" s="33" t="s">
        <v>975</v>
      </c>
      <c r="N16" s="33" t="s">
        <v>976</v>
      </c>
    </row>
    <row r="17" spans="1:14" x14ac:dyDescent="0.35">
      <c r="A17" s="9" t="s">
        <v>1029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1:14" x14ac:dyDescent="0.35">
      <c r="A18" s="28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</row>
    <row r="19" spans="1:14" x14ac:dyDescent="0.35">
      <c r="A19" s="28" t="s">
        <v>180</v>
      </c>
      <c r="B19">
        <f>B16-120</f>
        <v>1185</v>
      </c>
      <c r="C19" s="33"/>
      <c r="D19" s="33" t="s">
        <v>957</v>
      </c>
      <c r="E19" s="33" t="s">
        <v>977</v>
      </c>
      <c r="F19" s="33" t="s">
        <v>978</v>
      </c>
      <c r="G19" s="33" t="s">
        <v>979</v>
      </c>
      <c r="H19" s="33" t="s">
        <v>980</v>
      </c>
      <c r="I19" s="33" t="s">
        <v>981</v>
      </c>
      <c r="J19" s="33" t="s">
        <v>982</v>
      </c>
      <c r="K19" s="33" t="s">
        <v>983</v>
      </c>
      <c r="L19" s="33" t="s">
        <v>984</v>
      </c>
      <c r="M19" s="33" t="s">
        <v>1086</v>
      </c>
      <c r="N19" s="33" t="s">
        <v>1093</v>
      </c>
    </row>
    <row r="20" spans="1:14" x14ac:dyDescent="0.35"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  <row r="21" spans="1:14" x14ac:dyDescent="0.35">
      <c r="A21" s="28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4" x14ac:dyDescent="0.35">
      <c r="A22" s="28" t="s">
        <v>168</v>
      </c>
      <c r="B22">
        <f>B19-120</f>
        <v>1065</v>
      </c>
      <c r="C22" s="33"/>
      <c r="D22" s="33"/>
      <c r="E22" s="33"/>
      <c r="F22" s="33"/>
      <c r="G22" s="33"/>
      <c r="H22" s="33"/>
      <c r="I22" s="33"/>
      <c r="J22" s="33"/>
      <c r="K22" s="33" t="s">
        <v>1053</v>
      </c>
      <c r="L22" s="33" t="s">
        <v>1054</v>
      </c>
      <c r="M22" s="33" t="s">
        <v>1055</v>
      </c>
      <c r="N22" s="33" t="s">
        <v>1056</v>
      </c>
    </row>
    <row r="23" spans="1:14" x14ac:dyDescent="0.35">
      <c r="A23" s="73" t="s">
        <v>1032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1:14" x14ac:dyDescent="0.35">
      <c r="A24" s="28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1:14" x14ac:dyDescent="0.35">
      <c r="A25" s="28" t="s">
        <v>165</v>
      </c>
      <c r="B25">
        <f>B22-120</f>
        <v>945</v>
      </c>
      <c r="C25" s="33" t="s">
        <v>956</v>
      </c>
      <c r="D25" s="33"/>
      <c r="E25" s="33"/>
      <c r="F25" s="33"/>
      <c r="G25" s="33"/>
      <c r="H25" s="33" t="s">
        <v>1060</v>
      </c>
      <c r="I25" s="33"/>
      <c r="J25" s="33" t="s">
        <v>1059</v>
      </c>
      <c r="K25" s="33" t="s">
        <v>1058</v>
      </c>
      <c r="L25" s="33" t="s">
        <v>1057</v>
      </c>
      <c r="M25" s="33" t="s">
        <v>378</v>
      </c>
      <c r="N25" s="33" t="s">
        <v>379</v>
      </c>
    </row>
    <row r="26" spans="1:14" x14ac:dyDescent="0.35">
      <c r="A26" s="73" t="s">
        <v>1032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spans="1:14" x14ac:dyDescent="0.35">
      <c r="A27" s="28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1:14" x14ac:dyDescent="0.35">
      <c r="A28" s="28" t="s">
        <v>158</v>
      </c>
      <c r="B28">
        <f>B25-120</f>
        <v>825</v>
      </c>
      <c r="C28" s="33"/>
      <c r="D28" s="33" t="s">
        <v>985</v>
      </c>
      <c r="E28" s="33" t="s">
        <v>986</v>
      </c>
      <c r="F28" s="33" t="s">
        <v>987</v>
      </c>
      <c r="G28" s="33" t="s">
        <v>988</v>
      </c>
      <c r="H28" s="33" t="s">
        <v>989</v>
      </c>
      <c r="I28" s="33" t="s">
        <v>990</v>
      </c>
      <c r="J28" s="33" t="s">
        <v>994</v>
      </c>
      <c r="K28" s="33" t="s">
        <v>995</v>
      </c>
      <c r="L28" s="33" t="s">
        <v>996</v>
      </c>
      <c r="M28" s="33" t="s">
        <v>433</v>
      </c>
      <c r="N28" s="33" t="s">
        <v>434</v>
      </c>
    </row>
    <row r="29" spans="1:14" x14ac:dyDescent="0.35">
      <c r="A29" s="73" t="s">
        <v>1027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1:14" x14ac:dyDescent="0.35">
      <c r="A30" s="28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14" x14ac:dyDescent="0.35">
      <c r="A31" s="28" t="s">
        <v>160</v>
      </c>
      <c r="B31">
        <f>B28-120</f>
        <v>705</v>
      </c>
      <c r="C31" s="33"/>
      <c r="D31" s="33"/>
      <c r="E31" s="33"/>
      <c r="F31" s="33"/>
      <c r="G31" s="33" t="s">
        <v>991</v>
      </c>
      <c r="H31" s="33"/>
      <c r="I31" s="33" t="s">
        <v>992</v>
      </c>
      <c r="J31" s="33"/>
      <c r="K31" s="33" t="s">
        <v>993</v>
      </c>
      <c r="L31" s="33"/>
      <c r="M31" s="33" t="s">
        <v>482</v>
      </c>
      <c r="N31" s="33" t="s">
        <v>483</v>
      </c>
    </row>
    <row r="32" spans="1:14" x14ac:dyDescent="0.35">
      <c r="A32" s="73" t="s">
        <v>1033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1:14" x14ac:dyDescent="0.35">
      <c r="A33" s="28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1:14" x14ac:dyDescent="0.35">
      <c r="A34" s="28" t="s">
        <v>159</v>
      </c>
      <c r="B34">
        <f>B31-120</f>
        <v>585</v>
      </c>
      <c r="C34" s="33"/>
      <c r="D34" s="33"/>
      <c r="E34" s="33"/>
      <c r="F34" s="33" t="s">
        <v>997</v>
      </c>
      <c r="G34" s="33" t="s">
        <v>998</v>
      </c>
      <c r="H34" s="33"/>
      <c r="I34" s="33" t="s">
        <v>999</v>
      </c>
      <c r="J34" s="33" t="s">
        <v>1000</v>
      </c>
      <c r="K34" s="33" t="s">
        <v>1001</v>
      </c>
      <c r="L34" s="33" t="s">
        <v>1002</v>
      </c>
      <c r="M34" s="33" t="s">
        <v>1003</v>
      </c>
      <c r="N34" s="33" t="s">
        <v>1004</v>
      </c>
    </row>
    <row r="35" spans="1:14" x14ac:dyDescent="0.35">
      <c r="A35" s="73" t="s">
        <v>1025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14" x14ac:dyDescent="0.35">
      <c r="A36" s="28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</row>
    <row r="37" spans="1:14" x14ac:dyDescent="0.35">
      <c r="A37" s="28" t="s">
        <v>171</v>
      </c>
      <c r="B37">
        <f>B34-120</f>
        <v>465</v>
      </c>
      <c r="C37" s="33"/>
      <c r="D37" s="33"/>
      <c r="E37" s="33"/>
      <c r="F37" s="33" t="s">
        <v>1005</v>
      </c>
      <c r="G37" s="33" t="s">
        <v>1006</v>
      </c>
      <c r="H37" s="33" t="s">
        <v>1007</v>
      </c>
      <c r="I37" s="33" t="s">
        <v>1008</v>
      </c>
      <c r="J37" s="33" t="s">
        <v>1009</v>
      </c>
      <c r="K37" s="33" t="s">
        <v>1010</v>
      </c>
      <c r="L37" s="33" t="s">
        <v>447</v>
      </c>
      <c r="M37" s="33" t="s">
        <v>446</v>
      </c>
      <c r="N37" s="33" t="s">
        <v>1011</v>
      </c>
    </row>
    <row r="38" spans="1:14" x14ac:dyDescent="0.35">
      <c r="A38" s="73" t="s">
        <v>1034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4" x14ac:dyDescent="0.35">
      <c r="A39" s="28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4" x14ac:dyDescent="0.35">
      <c r="A40" s="28" t="s">
        <v>175</v>
      </c>
      <c r="B40">
        <f>B37-120</f>
        <v>345</v>
      </c>
      <c r="C40" s="33"/>
      <c r="D40" s="33"/>
      <c r="E40" s="33"/>
      <c r="F40" s="33" t="s">
        <v>1012</v>
      </c>
      <c r="G40" s="33" t="s">
        <v>1013</v>
      </c>
      <c r="H40" s="33" t="s">
        <v>1014</v>
      </c>
      <c r="I40" s="33"/>
      <c r="J40" s="33" t="s">
        <v>578</v>
      </c>
      <c r="K40" s="33"/>
      <c r="L40" s="33" t="s">
        <v>579</v>
      </c>
      <c r="M40" s="33" t="s">
        <v>1015</v>
      </c>
      <c r="N40" s="33" t="s">
        <v>1016</v>
      </c>
    </row>
    <row r="41" spans="1:14" x14ac:dyDescent="0.35">
      <c r="A41" s="73" t="s">
        <v>1031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14" x14ac:dyDescent="0.35">
      <c r="A42" s="2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</row>
    <row r="43" spans="1:14" x14ac:dyDescent="0.35">
      <c r="A43" s="28" t="s">
        <v>172</v>
      </c>
      <c r="B43">
        <f>B40-120</f>
        <v>225</v>
      </c>
      <c r="C43" s="33"/>
      <c r="D43" s="33" t="s">
        <v>1017</v>
      </c>
      <c r="E43" s="33" t="s">
        <v>1018</v>
      </c>
      <c r="F43" s="33" t="s">
        <v>1019</v>
      </c>
      <c r="G43" s="33"/>
      <c r="H43" s="33" t="s">
        <v>1020</v>
      </c>
      <c r="I43" s="33"/>
      <c r="J43" s="33" t="s">
        <v>1021</v>
      </c>
      <c r="K43" s="33" t="s">
        <v>1022</v>
      </c>
      <c r="L43" s="33" t="s">
        <v>1023</v>
      </c>
      <c r="M43" s="33" t="s">
        <v>1096</v>
      </c>
      <c r="N43" s="33" t="s">
        <v>1097</v>
      </c>
    </row>
    <row r="44" spans="1:14" x14ac:dyDescent="0.35">
      <c r="A44" s="73" t="s">
        <v>1028</v>
      </c>
    </row>
    <row r="47" spans="1:14" ht="15" thickBot="1" x14ac:dyDescent="0.4"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1:14" s="83" customFormat="1" x14ac:dyDescent="0.35">
      <c r="A48" s="84" t="s">
        <v>1094</v>
      </c>
      <c r="C48" s="85" t="s">
        <v>1095</v>
      </c>
      <c r="D48" s="86">
        <f>D52+D55+D58+D61+D64+D67+D70+D73+D76+D79+D82+D85+D88+D91</f>
        <v>5</v>
      </c>
      <c r="E48" s="86">
        <f>E52+E55+E58+E61+E64+E67+E70+E73+E76+E79+E82+E85+E88+E91</f>
        <v>34</v>
      </c>
      <c r="F48" s="86">
        <f>F52+F55+F58+F61+F64+F67+F70+F73+F76+F79+F82+F85+F88+F91</f>
        <v>196</v>
      </c>
      <c r="G48" s="86">
        <f>G52+G55+G58+G61+G64+G67+G70+G73+G76+G79+G82+G85+G88+G91</f>
        <v>685</v>
      </c>
      <c r="H48" s="86">
        <f>H52+H55+H58+H61+H64+H67+H70+H73+H76+H79+H82+H85+H88+H91</f>
        <v>1205</v>
      </c>
      <c r="I48" s="86">
        <f>I52+I55+I58+I61+I64+I67+I70+I73+I76+I79+I82+I85+I88+I91</f>
        <v>1105</v>
      </c>
      <c r="J48" s="86">
        <f>J52+J55+J58+J61+J64+J67+J70+J73+J76+J79+J82+J85+J88+J91</f>
        <v>3130</v>
      </c>
      <c r="K48" s="86">
        <f>K52+K55+K58+K61+K64+K67+K70+K73+K76+K79+K82+K85+K88+K91</f>
        <v>4270</v>
      </c>
      <c r="L48" s="86">
        <f>L52+L55+L58+L61+L64+L67+L70+L73+L76+L79+L82+L85+L88+L91</f>
        <v>6625</v>
      </c>
      <c r="M48" s="86">
        <f>M52+M55+M58+M61+M64+M67+M70+M73+M76+M79+M82+M85+M88+M91</f>
        <v>9150</v>
      </c>
      <c r="N48" s="87">
        <f>N52+N55+N58+N61+N64+N67+N70+N73+N76+N79+N82+N85+N88+N91</f>
        <v>11875</v>
      </c>
    </row>
    <row r="49" spans="3:14" s="70" customFormat="1" x14ac:dyDescent="0.35">
      <c r="C49" s="70" t="s">
        <v>1099</v>
      </c>
      <c r="D49" s="70">
        <f>D48</f>
        <v>5</v>
      </c>
      <c r="E49" s="70">
        <f>E48+D49</f>
        <v>39</v>
      </c>
      <c r="F49" s="70">
        <f t="shared" ref="F49:N49" si="0">F48+E49</f>
        <v>235</v>
      </c>
      <c r="G49" s="70">
        <f t="shared" si="0"/>
        <v>920</v>
      </c>
      <c r="H49" s="70">
        <f t="shared" si="0"/>
        <v>2125</v>
      </c>
      <c r="I49" s="70">
        <f t="shared" si="0"/>
        <v>3230</v>
      </c>
      <c r="J49" s="70">
        <f t="shared" si="0"/>
        <v>6360</v>
      </c>
      <c r="K49" s="70">
        <f t="shared" si="0"/>
        <v>10630</v>
      </c>
      <c r="L49" s="70">
        <f t="shared" si="0"/>
        <v>17255</v>
      </c>
      <c r="M49" s="70">
        <f t="shared" si="0"/>
        <v>26405</v>
      </c>
      <c r="N49" s="70">
        <f t="shared" si="0"/>
        <v>38280</v>
      </c>
    </row>
    <row r="51" spans="3:14" x14ac:dyDescent="0.35">
      <c r="E51" t="str">
        <f>E4</f>
        <v>cryorocketry1965</v>
      </c>
      <c r="F51" t="str">
        <f>F4</f>
        <v>cryorocketry1970</v>
      </c>
      <c r="G51" t="str">
        <f>G4</f>
        <v>cryorocketry1975</v>
      </c>
      <c r="H51" t="str">
        <f>H4</f>
        <v>cryorocketry1980</v>
      </c>
      <c r="J51" t="str">
        <f>J4</f>
        <v>cryorocketry1995</v>
      </c>
      <c r="K51" t="str">
        <f>K4</f>
        <v>cryorocketry2005</v>
      </c>
      <c r="L51" t="str">
        <f>L4</f>
        <v>cryorocketry2020</v>
      </c>
      <c r="M51" t="str">
        <f>M4</f>
        <v>cryorocketry2040</v>
      </c>
      <c r="N51" t="str">
        <f>N4</f>
        <v>cryorocketry2060</v>
      </c>
    </row>
    <row r="52" spans="3:14" x14ac:dyDescent="0.35">
      <c r="E52">
        <v>12</v>
      </c>
      <c r="F52">
        <v>25</v>
      </c>
      <c r="G52">
        <v>75</v>
      </c>
      <c r="H52">
        <v>150</v>
      </c>
      <c r="J52">
        <v>250</v>
      </c>
      <c r="K52">
        <v>350</v>
      </c>
      <c r="L52">
        <v>500</v>
      </c>
      <c r="M52">
        <v>650</v>
      </c>
      <c r="N52">
        <v>800</v>
      </c>
    </row>
    <row r="54" spans="3:14" x14ac:dyDescent="0.35">
      <c r="D54" t="str">
        <f>D7</f>
        <v>rocketry1960</v>
      </c>
      <c r="E54" t="str">
        <f>E7</f>
        <v>rocketry1965</v>
      </c>
      <c r="F54" t="str">
        <f>F7</f>
        <v>rocketry1970</v>
      </c>
      <c r="G54" t="str">
        <f>G7</f>
        <v>rocketry1975</v>
      </c>
      <c r="H54" t="str">
        <f>H7</f>
        <v>rocketry1980</v>
      </c>
      <c r="J54" t="str">
        <f>J7</f>
        <v>rocketry1995</v>
      </c>
      <c r="K54" t="str">
        <f>K7</f>
        <v>rocketry2005</v>
      </c>
      <c r="L54" t="str">
        <f>L7</f>
        <v>rocketry2020</v>
      </c>
      <c r="M54" t="str">
        <f>M7</f>
        <v>rocketry2040</v>
      </c>
      <c r="N54" t="str">
        <f>N7</f>
        <v>rocketry2060</v>
      </c>
    </row>
    <row r="55" spans="3:14" x14ac:dyDescent="0.35">
      <c r="D55">
        <v>2</v>
      </c>
      <c r="E55">
        <v>7</v>
      </c>
      <c r="F55">
        <v>27</v>
      </c>
      <c r="G55">
        <v>85</v>
      </c>
      <c r="H55">
        <v>175</v>
      </c>
      <c r="J55">
        <v>300</v>
      </c>
      <c r="K55">
        <v>425</v>
      </c>
      <c r="L55">
        <v>600</v>
      </c>
      <c r="M55">
        <v>750</v>
      </c>
      <c r="N55">
        <v>1000</v>
      </c>
    </row>
    <row r="57" spans="3:14" x14ac:dyDescent="0.35">
      <c r="G57" t="str">
        <f>G10</f>
        <v>nukerocketry1975</v>
      </c>
      <c r="I57" t="str">
        <f>I10</f>
        <v>nukerocketry1985</v>
      </c>
      <c r="J57" t="str">
        <f>J10</f>
        <v>nukerocketry1995</v>
      </c>
      <c r="K57" t="str">
        <f>K10</f>
        <v>nukerocketry2005</v>
      </c>
      <c r="L57" t="str">
        <f>L10</f>
        <v>nukerocketry2020</v>
      </c>
      <c r="M57" t="str">
        <f>M10</f>
        <v>nukerocketry2040</v>
      </c>
      <c r="N57" t="str">
        <f>N10</f>
        <v>nukerocketry2060</v>
      </c>
    </row>
    <row r="58" spans="3:14" x14ac:dyDescent="0.35">
      <c r="G58">
        <v>125</v>
      </c>
      <c r="I58">
        <v>250</v>
      </c>
      <c r="J58">
        <v>375</v>
      </c>
      <c r="K58">
        <v>525</v>
      </c>
      <c r="L58">
        <v>675</v>
      </c>
      <c r="M58">
        <v>850</v>
      </c>
      <c r="N58">
        <v>1250</v>
      </c>
    </row>
    <row r="60" spans="3:14" x14ac:dyDescent="0.35">
      <c r="F60" t="str">
        <f>F13</f>
        <v>nuclear1970</v>
      </c>
      <c r="H60" t="str">
        <f>H13</f>
        <v>nuclear1980</v>
      </c>
      <c r="J60" t="str">
        <f>J13</f>
        <v>nuclear1995</v>
      </c>
      <c r="L60" t="str">
        <f>L13</f>
        <v>nuclear2020</v>
      </c>
      <c r="M60" t="str">
        <f>M13</f>
        <v>nuclear2040</v>
      </c>
      <c r="N60" t="str">
        <f>N13</f>
        <v>nuclear2060</v>
      </c>
    </row>
    <row r="61" spans="3:14" x14ac:dyDescent="0.35">
      <c r="F61">
        <v>37</v>
      </c>
      <c r="H61">
        <v>120</v>
      </c>
      <c r="J61">
        <v>220</v>
      </c>
      <c r="L61">
        <v>450</v>
      </c>
      <c r="M61">
        <v>600</v>
      </c>
      <c r="N61">
        <v>750</v>
      </c>
    </row>
    <row r="63" spans="3:14" x14ac:dyDescent="0.35">
      <c r="F63" t="str">
        <f>F16</f>
        <v>fuel1970</v>
      </c>
      <c r="H63" t="str">
        <f>H16</f>
        <v>fuel1980</v>
      </c>
      <c r="J63" t="str">
        <f>J16</f>
        <v>fuel1995</v>
      </c>
      <c r="L63" t="str">
        <f>L16</f>
        <v>fuel2020</v>
      </c>
      <c r="M63" t="str">
        <f>M16</f>
        <v>fuel2040</v>
      </c>
      <c r="N63" t="str">
        <f>N16</f>
        <v>fuel2060</v>
      </c>
    </row>
    <row r="64" spans="3:14" x14ac:dyDescent="0.35">
      <c r="F64">
        <v>20</v>
      </c>
      <c r="H64">
        <v>115</v>
      </c>
      <c r="J64">
        <v>195</v>
      </c>
      <c r="L64">
        <v>350</v>
      </c>
      <c r="M64">
        <v>475</v>
      </c>
      <c r="N64">
        <v>600</v>
      </c>
    </row>
    <row r="66" spans="3:14" x14ac:dyDescent="0.35">
      <c r="D66" t="str">
        <f>D19</f>
        <v>eng1960</v>
      </c>
      <c r="E66" t="str">
        <f>E19</f>
        <v>eng1965</v>
      </c>
      <c r="F66" t="str">
        <f>F19</f>
        <v>eng1970</v>
      </c>
      <c r="G66" t="str">
        <f>G19</f>
        <v>eng1975</v>
      </c>
      <c r="H66" t="str">
        <f>H19</f>
        <v>eng1980</v>
      </c>
      <c r="I66" t="str">
        <f>I19</f>
        <v>eng1985</v>
      </c>
      <c r="J66" t="str">
        <f>J19</f>
        <v>eng1995</v>
      </c>
      <c r="K66" t="str">
        <f>K19</f>
        <v>eng2005</v>
      </c>
      <c r="L66" t="str">
        <f>L19</f>
        <v>eng2020</v>
      </c>
      <c r="M66" t="str">
        <f>M19</f>
        <v>eng2040</v>
      </c>
      <c r="N66" t="str">
        <f>N19</f>
        <v>eng2060</v>
      </c>
    </row>
    <row r="67" spans="3:14" x14ac:dyDescent="0.35">
      <c r="D67">
        <v>1</v>
      </c>
      <c r="E67">
        <v>5</v>
      </c>
      <c r="F67">
        <v>12</v>
      </c>
      <c r="G67">
        <v>40</v>
      </c>
      <c r="H67">
        <v>75</v>
      </c>
      <c r="I67">
        <v>120</v>
      </c>
      <c r="J67">
        <v>150</v>
      </c>
      <c r="K67">
        <v>210</v>
      </c>
      <c r="L67">
        <v>275</v>
      </c>
      <c r="M67">
        <v>375</v>
      </c>
      <c r="N67">
        <v>475</v>
      </c>
    </row>
    <row r="69" spans="3:14" x14ac:dyDescent="0.35">
      <c r="K69" t="str">
        <f>K22</f>
        <v>plasma2005</v>
      </c>
      <c r="L69" t="str">
        <f>L22</f>
        <v>plasma2020</v>
      </c>
      <c r="M69" t="str">
        <f>M22</f>
        <v>plasma2040</v>
      </c>
      <c r="N69" t="str">
        <f>N22</f>
        <v>plasma2060</v>
      </c>
    </row>
    <row r="70" spans="3:14" x14ac:dyDescent="0.35">
      <c r="K70">
        <v>600</v>
      </c>
      <c r="L70">
        <v>750</v>
      </c>
      <c r="M70">
        <v>900</v>
      </c>
      <c r="N70">
        <v>1150</v>
      </c>
    </row>
    <row r="72" spans="3:14" x14ac:dyDescent="0.35">
      <c r="C72" t="str">
        <f>C25</f>
        <v>tech1955</v>
      </c>
      <c r="H72" t="str">
        <f>H25</f>
        <v>ionPropulsion1980</v>
      </c>
      <c r="J72" t="str">
        <f>J25</f>
        <v>ionPropulsion1995</v>
      </c>
      <c r="K72" t="str">
        <f>K25</f>
        <v>ionPropulsion2005</v>
      </c>
      <c r="L72" t="str">
        <f>L25</f>
        <v>ionPropulsion2020</v>
      </c>
      <c r="M72" t="str">
        <f>M25</f>
        <v>ionPropulsion2040</v>
      </c>
      <c r="N72" t="str">
        <f>N25</f>
        <v>ionPropulsion2060</v>
      </c>
    </row>
    <row r="73" spans="3:14" x14ac:dyDescent="0.35">
      <c r="C73">
        <v>5</v>
      </c>
      <c r="H73">
        <v>210</v>
      </c>
      <c r="J73">
        <v>450</v>
      </c>
      <c r="K73">
        <v>500</v>
      </c>
      <c r="L73">
        <v>650</v>
      </c>
      <c r="M73">
        <v>750</v>
      </c>
      <c r="N73">
        <v>1000</v>
      </c>
    </row>
    <row r="75" spans="3:14" x14ac:dyDescent="0.35">
      <c r="D75" t="str">
        <f>D28</f>
        <v>electrics1960</v>
      </c>
      <c r="E75" t="str">
        <f>E28</f>
        <v>electrics1965</v>
      </c>
      <c r="F75" t="str">
        <f>F28</f>
        <v>electrics1970</v>
      </c>
      <c r="G75" t="str">
        <f>G28</f>
        <v>electrics1975</v>
      </c>
      <c r="H75" t="str">
        <f>H28</f>
        <v>electrics1980</v>
      </c>
      <c r="I75" t="str">
        <f>I28</f>
        <v>electrics1985</v>
      </c>
      <c r="J75" t="str">
        <f>J28</f>
        <v>electrics1995</v>
      </c>
      <c r="K75" t="str">
        <f>K28</f>
        <v>electrics2005</v>
      </c>
      <c r="L75" t="str">
        <f>L28</f>
        <v>electrics2020</v>
      </c>
      <c r="M75" t="str">
        <f>M28</f>
        <v>electrics2040</v>
      </c>
      <c r="N75" t="str">
        <f>N28</f>
        <v>electrics2060</v>
      </c>
    </row>
    <row r="76" spans="3:14" x14ac:dyDescent="0.35">
      <c r="D76">
        <v>1</v>
      </c>
      <c r="E76">
        <v>5</v>
      </c>
      <c r="F76">
        <v>12</v>
      </c>
      <c r="G76">
        <v>40</v>
      </c>
      <c r="H76">
        <v>75</v>
      </c>
      <c r="I76">
        <v>120</v>
      </c>
      <c r="J76">
        <v>150</v>
      </c>
      <c r="K76">
        <v>210</v>
      </c>
      <c r="L76">
        <v>275</v>
      </c>
      <c r="M76">
        <v>375</v>
      </c>
      <c r="N76">
        <v>475</v>
      </c>
    </row>
    <row r="78" spans="3:14" x14ac:dyDescent="0.35">
      <c r="G78" t="str">
        <f>G31</f>
        <v>rtg1975</v>
      </c>
      <c r="I78" t="str">
        <f>I31</f>
        <v>rtg1985</v>
      </c>
      <c r="K78" t="str">
        <f>K31</f>
        <v>rtg2005</v>
      </c>
      <c r="M78" t="str">
        <f>M31</f>
        <v>rtg2040</v>
      </c>
      <c r="N78" t="str">
        <f>N31</f>
        <v>rtg2060</v>
      </c>
    </row>
    <row r="79" spans="3:14" x14ac:dyDescent="0.35">
      <c r="G79">
        <v>100</v>
      </c>
      <c r="I79">
        <v>150</v>
      </c>
      <c r="K79">
        <v>250</v>
      </c>
      <c r="M79">
        <v>450</v>
      </c>
      <c r="N79">
        <v>550</v>
      </c>
    </row>
    <row r="81" spans="3:14" x14ac:dyDescent="0.35">
      <c r="F81" t="str">
        <f>F34</f>
        <v>science1970</v>
      </c>
      <c r="G81" t="str">
        <f>G34</f>
        <v>science1975</v>
      </c>
      <c r="I81" t="str">
        <f>I34</f>
        <v>science1985</v>
      </c>
      <c r="J81" t="str">
        <f>J34</f>
        <v>science1995</v>
      </c>
      <c r="K81" t="str">
        <f>K34</f>
        <v>science2005</v>
      </c>
      <c r="L81" t="str">
        <f>L34</f>
        <v>science2020</v>
      </c>
      <c r="M81" t="str">
        <f>M34</f>
        <v>science2040</v>
      </c>
      <c r="N81" t="str">
        <f>N34</f>
        <v>science2060</v>
      </c>
    </row>
    <row r="82" spans="3:14" x14ac:dyDescent="0.35">
      <c r="F82">
        <v>20</v>
      </c>
      <c r="G82">
        <v>125</v>
      </c>
      <c r="I82">
        <v>300</v>
      </c>
      <c r="J82">
        <v>425</v>
      </c>
      <c r="K82">
        <v>600</v>
      </c>
      <c r="L82">
        <v>900</v>
      </c>
      <c r="M82">
        <v>1350</v>
      </c>
      <c r="N82">
        <v>1800</v>
      </c>
    </row>
    <row r="84" spans="3:14" x14ac:dyDescent="0.35">
      <c r="F84" t="str">
        <f>F37</f>
        <v>probes1970</v>
      </c>
      <c r="G84" t="str">
        <f>G37</f>
        <v>probes1975</v>
      </c>
      <c r="H84" t="str">
        <f>H37</f>
        <v>probes1980</v>
      </c>
      <c r="I84" t="str">
        <f>I37</f>
        <v>probes1985</v>
      </c>
      <c r="J84" t="str">
        <f>J37</f>
        <v>probes1995</v>
      </c>
      <c r="K84" t="str">
        <f>K37</f>
        <v>probes2005</v>
      </c>
      <c r="L84" t="str">
        <f>L37</f>
        <v>probes2020</v>
      </c>
      <c r="M84" t="str">
        <f>M37</f>
        <v>probes2040</v>
      </c>
      <c r="N84" t="str">
        <f>N37</f>
        <v>probes2060</v>
      </c>
    </row>
    <row r="85" spans="3:14" x14ac:dyDescent="0.35">
      <c r="F85">
        <v>15</v>
      </c>
      <c r="G85">
        <v>50</v>
      </c>
      <c r="H85">
        <v>100</v>
      </c>
      <c r="I85">
        <v>165</v>
      </c>
      <c r="J85">
        <v>225</v>
      </c>
      <c r="K85">
        <v>300</v>
      </c>
      <c r="L85">
        <v>450</v>
      </c>
      <c r="M85">
        <v>600</v>
      </c>
      <c r="N85">
        <v>750</v>
      </c>
    </row>
    <row r="87" spans="3:14" x14ac:dyDescent="0.35">
      <c r="F87" t="str">
        <f>F40</f>
        <v>comms1970</v>
      </c>
      <c r="G87" t="str">
        <f>G40</f>
        <v>comms1975</v>
      </c>
      <c r="H87" t="str">
        <f>H40</f>
        <v>comms1980</v>
      </c>
      <c r="J87" t="str">
        <f>J40</f>
        <v>comms1995</v>
      </c>
      <c r="L87" t="str">
        <f>L40</f>
        <v>comms2020</v>
      </c>
      <c r="M87" t="str">
        <f>M40</f>
        <v>comms2040</v>
      </c>
      <c r="N87" t="str">
        <f>N40</f>
        <v>comms2060</v>
      </c>
    </row>
    <row r="88" spans="3:14" x14ac:dyDescent="0.35">
      <c r="F88">
        <v>13</v>
      </c>
      <c r="G88">
        <v>45</v>
      </c>
      <c r="H88">
        <v>85</v>
      </c>
      <c r="J88">
        <v>165</v>
      </c>
      <c r="L88">
        <v>300</v>
      </c>
      <c r="M88">
        <v>425</v>
      </c>
      <c r="N88">
        <v>525</v>
      </c>
    </row>
    <row r="90" spans="3:14" x14ac:dyDescent="0.35">
      <c r="D90" t="str">
        <f>D43</f>
        <v>capsules1960</v>
      </c>
      <c r="E90" t="str">
        <f>E43</f>
        <v>capsules1965</v>
      </c>
      <c r="F90" t="str">
        <f>F43</f>
        <v>capsules1970</v>
      </c>
      <c r="H90" t="str">
        <f>H43</f>
        <v>capsules1980</v>
      </c>
      <c r="J90" t="str">
        <f>J43</f>
        <v>capsules1995</v>
      </c>
      <c r="K90" t="str">
        <f>K43</f>
        <v>capsules2005</v>
      </c>
      <c r="L90" t="str">
        <f>L43</f>
        <v>capsules2020</v>
      </c>
    </row>
    <row r="91" spans="3:14" x14ac:dyDescent="0.35">
      <c r="C91" s="73"/>
      <c r="D91" s="73">
        <v>1</v>
      </c>
      <c r="E91">
        <v>5</v>
      </c>
      <c r="F91">
        <v>15</v>
      </c>
      <c r="H91">
        <v>100</v>
      </c>
      <c r="J91">
        <v>225</v>
      </c>
      <c r="K91">
        <v>300</v>
      </c>
      <c r="L91">
        <v>450</v>
      </c>
      <c r="M91">
        <v>600</v>
      </c>
      <c r="N91">
        <v>750</v>
      </c>
    </row>
    <row r="92" spans="3:14" x14ac:dyDescent="0.35">
      <c r="C92" s="73"/>
      <c r="D92" s="73"/>
    </row>
    <row r="93" spans="3:14" x14ac:dyDescent="0.35">
      <c r="C93" s="73"/>
      <c r="D93" s="73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1BDF-9047-4CD8-9147-3632F525106E}">
  <dimension ref="A1:S15"/>
  <sheetViews>
    <sheetView workbookViewId="0">
      <selection activeCell="T4" sqref="T4"/>
    </sheetView>
  </sheetViews>
  <sheetFormatPr defaultRowHeight="14.5" x14ac:dyDescent="0.35"/>
  <cols>
    <col min="1" max="1" width="18.54296875" bestFit="1" customWidth="1"/>
    <col min="3" max="3" width="9.90625" bestFit="1" customWidth="1"/>
    <col min="4" max="4" width="9.453125" bestFit="1" customWidth="1"/>
    <col min="5" max="5" width="8.54296875" bestFit="1" customWidth="1"/>
    <col min="6" max="6" width="9.453125" bestFit="1" customWidth="1"/>
    <col min="7" max="7" width="8.54296875" bestFit="1" customWidth="1"/>
    <col min="8" max="8" width="9.453125" bestFit="1" customWidth="1"/>
    <col min="13" max="13" width="11.54296875" bestFit="1" customWidth="1"/>
    <col min="16" max="16" width="9.453125" bestFit="1" customWidth="1"/>
    <col min="17" max="17" width="8.54296875" bestFit="1" customWidth="1"/>
    <col min="18" max="18" width="9.453125" bestFit="1" customWidth="1"/>
  </cols>
  <sheetData>
    <row r="1" spans="1:19" x14ac:dyDescent="0.35">
      <c r="A1" t="s">
        <v>1084</v>
      </c>
      <c r="C1" s="80" t="s">
        <v>1073</v>
      </c>
      <c r="D1" s="80"/>
      <c r="E1" s="80" t="s">
        <v>1076</v>
      </c>
      <c r="F1" s="80"/>
      <c r="G1" s="80" t="s">
        <v>1077</v>
      </c>
      <c r="H1" s="80"/>
      <c r="O1" s="80" t="s">
        <v>1073</v>
      </c>
      <c r="P1" s="80"/>
      <c r="Q1" s="80" t="s">
        <v>1076</v>
      </c>
      <c r="R1" s="80"/>
      <c r="S1" t="s">
        <v>1092</v>
      </c>
    </row>
    <row r="2" spans="1:19" x14ac:dyDescent="0.35">
      <c r="A2" s="22" t="s">
        <v>87</v>
      </c>
      <c r="B2" t="s">
        <v>570</v>
      </c>
      <c r="C2" t="s">
        <v>1074</v>
      </c>
      <c r="D2" t="s">
        <v>1075</v>
      </c>
      <c r="E2" t="s">
        <v>1074</v>
      </c>
      <c r="F2" t="s">
        <v>1075</v>
      </c>
      <c r="G2" t="s">
        <v>1074</v>
      </c>
      <c r="H2" t="s">
        <v>1075</v>
      </c>
      <c r="K2" t="s">
        <v>1078</v>
      </c>
      <c r="N2" t="s">
        <v>1083</v>
      </c>
      <c r="O2" t="s">
        <v>1074</v>
      </c>
      <c r="P2" t="s">
        <v>1075</v>
      </c>
      <c r="Q2" t="s">
        <v>1074</v>
      </c>
      <c r="R2" t="s">
        <v>1075</v>
      </c>
    </row>
    <row r="3" spans="1:19" x14ac:dyDescent="0.35">
      <c r="A3" t="s">
        <v>74</v>
      </c>
      <c r="B3">
        <v>1945</v>
      </c>
      <c r="C3">
        <v>87.99</v>
      </c>
      <c r="D3">
        <v>56.414999999999999</v>
      </c>
      <c r="G3">
        <v>58</v>
      </c>
      <c r="H3">
        <v>100</v>
      </c>
      <c r="J3" t="s">
        <v>1079</v>
      </c>
      <c r="K3">
        <v>0.68640000000000001</v>
      </c>
      <c r="M3" t="s">
        <v>74</v>
      </c>
      <c r="N3">
        <v>1945</v>
      </c>
      <c r="O3">
        <v>87.99</v>
      </c>
      <c r="P3" s="41">
        <f>O3*$K$3</f>
        <v>60.396335999999998</v>
      </c>
      <c r="Q3" s="19">
        <f>O3*1.1</f>
        <v>96.789000000000001</v>
      </c>
      <c r="R3" s="42">
        <f>Q3*0.624</f>
        <v>60.396335999999998</v>
      </c>
    </row>
    <row r="4" spans="1:19" x14ac:dyDescent="0.35">
      <c r="A4" t="s">
        <v>1061</v>
      </c>
      <c r="B4">
        <v>1955</v>
      </c>
      <c r="C4">
        <v>69.712000000000003</v>
      </c>
      <c r="D4">
        <v>47.850999999999999</v>
      </c>
      <c r="G4">
        <v>17</v>
      </c>
      <c r="H4">
        <v>25</v>
      </c>
      <c r="J4" t="s">
        <v>1080</v>
      </c>
      <c r="K4">
        <v>0.624</v>
      </c>
      <c r="M4" t="s">
        <v>956</v>
      </c>
      <c r="N4">
        <v>1955</v>
      </c>
      <c r="O4">
        <v>69.712000000000003</v>
      </c>
      <c r="P4" s="41">
        <f t="shared" ref="P4:P15" si="0">O4*$K$3</f>
        <v>47.850316800000002</v>
      </c>
      <c r="Q4" s="19">
        <f t="shared" ref="Q4:Q15" si="1">O4*1.1</f>
        <v>76.683200000000014</v>
      </c>
      <c r="R4" s="42">
        <f t="shared" ref="R4:R15" si="2">Q4*0.624</f>
        <v>47.850316800000009</v>
      </c>
      <c r="S4">
        <f>1-(O4/O3)</f>
        <v>0.20772815092624153</v>
      </c>
    </row>
    <row r="5" spans="1:19" x14ac:dyDescent="0.35">
      <c r="A5" t="s">
        <v>1062</v>
      </c>
      <c r="B5">
        <v>1958</v>
      </c>
      <c r="C5">
        <v>59.13</v>
      </c>
      <c r="D5">
        <v>40.587000000000003</v>
      </c>
      <c r="G5">
        <v>4</v>
      </c>
      <c r="H5">
        <v>0.15</v>
      </c>
      <c r="M5" t="s">
        <v>985</v>
      </c>
      <c r="N5">
        <v>1960</v>
      </c>
      <c r="O5">
        <v>50.152999999999999</v>
      </c>
      <c r="P5" s="41">
        <f t="shared" si="0"/>
        <v>34.425019200000001</v>
      </c>
      <c r="Q5">
        <f t="shared" si="1"/>
        <v>55.168300000000002</v>
      </c>
      <c r="R5" s="41">
        <f t="shared" si="2"/>
        <v>34.425019200000001</v>
      </c>
      <c r="S5">
        <f t="shared" ref="S5:S15" si="3">1-(O5/O4)</f>
        <v>0.28056862520082626</v>
      </c>
    </row>
    <row r="6" spans="1:19" x14ac:dyDescent="0.35">
      <c r="A6" t="s">
        <v>1063</v>
      </c>
      <c r="B6">
        <v>1960</v>
      </c>
      <c r="C6">
        <v>50.152999999999999</v>
      </c>
      <c r="D6">
        <v>34.426000000000002</v>
      </c>
      <c r="E6">
        <v>55.167999999999999</v>
      </c>
      <c r="F6">
        <v>34.426000000000002</v>
      </c>
      <c r="G6">
        <v>1.5</v>
      </c>
      <c r="H6">
        <v>0.1</v>
      </c>
      <c r="K6" t="s">
        <v>1081</v>
      </c>
      <c r="M6" t="s">
        <v>986</v>
      </c>
      <c r="N6">
        <v>1965</v>
      </c>
      <c r="O6">
        <v>31.2</v>
      </c>
      <c r="P6" s="41">
        <f t="shared" si="0"/>
        <v>21.415679999999998</v>
      </c>
      <c r="Q6">
        <f t="shared" si="1"/>
        <v>34.32</v>
      </c>
      <c r="R6" s="41">
        <f t="shared" si="2"/>
        <v>21.415680000000002</v>
      </c>
      <c r="S6">
        <f t="shared" si="3"/>
        <v>0.37790361493828883</v>
      </c>
    </row>
    <row r="7" spans="1:19" x14ac:dyDescent="0.35">
      <c r="A7" t="s">
        <v>1064</v>
      </c>
      <c r="B7">
        <v>1961</v>
      </c>
      <c r="C7">
        <v>42.54</v>
      </c>
      <c r="D7">
        <v>29.2</v>
      </c>
      <c r="E7">
        <v>46.793999999999997</v>
      </c>
      <c r="F7">
        <v>29.2</v>
      </c>
      <c r="G7">
        <v>1</v>
      </c>
      <c r="H7">
        <v>0.09</v>
      </c>
      <c r="J7" t="s">
        <v>1082</v>
      </c>
      <c r="K7">
        <v>1.1000000000000001</v>
      </c>
      <c r="M7" t="s">
        <v>1005</v>
      </c>
      <c r="N7">
        <v>1970</v>
      </c>
      <c r="O7">
        <v>26.4</v>
      </c>
      <c r="P7" s="41">
        <f t="shared" si="0"/>
        <v>18.12096</v>
      </c>
      <c r="Q7">
        <f t="shared" si="1"/>
        <v>29.04</v>
      </c>
      <c r="R7" s="41">
        <f t="shared" si="2"/>
        <v>18.12096</v>
      </c>
      <c r="S7">
        <f t="shared" si="3"/>
        <v>0.15384615384615385</v>
      </c>
    </row>
    <row r="8" spans="1:19" x14ac:dyDescent="0.35">
      <c r="A8" t="s">
        <v>1065</v>
      </c>
      <c r="B8">
        <v>1963</v>
      </c>
      <c r="C8">
        <v>36.082000000000001</v>
      </c>
      <c r="D8">
        <v>24.766999999999999</v>
      </c>
      <c r="E8">
        <v>39.69</v>
      </c>
      <c r="F8">
        <v>24.766999999999999</v>
      </c>
      <c r="G8">
        <v>0.81</v>
      </c>
      <c r="H8">
        <v>8.1000000000000003E-2</v>
      </c>
      <c r="M8" t="s">
        <v>1006</v>
      </c>
      <c r="N8">
        <v>1975</v>
      </c>
      <c r="O8">
        <v>24.05</v>
      </c>
      <c r="P8" s="41">
        <f t="shared" si="0"/>
        <v>16.507920000000002</v>
      </c>
      <c r="Q8">
        <f t="shared" si="1"/>
        <v>26.455000000000002</v>
      </c>
      <c r="R8" s="41">
        <f t="shared" si="2"/>
        <v>16.507920000000002</v>
      </c>
      <c r="S8">
        <f t="shared" si="3"/>
        <v>8.9015151515151492E-2</v>
      </c>
    </row>
    <row r="9" spans="1:19" x14ac:dyDescent="0.35">
      <c r="A9" t="s">
        <v>1066</v>
      </c>
      <c r="B9">
        <v>1966</v>
      </c>
      <c r="C9">
        <v>30.605</v>
      </c>
      <c r="D9">
        <v>21.007000000000001</v>
      </c>
      <c r="E9">
        <v>33.664999999999999</v>
      </c>
      <c r="F9">
        <v>21.007000000000001</v>
      </c>
      <c r="G9">
        <v>0.73</v>
      </c>
      <c r="H9">
        <v>7.2999999999999995E-2</v>
      </c>
      <c r="M9" t="s">
        <v>1007</v>
      </c>
      <c r="N9">
        <v>1980</v>
      </c>
      <c r="O9">
        <v>21.2</v>
      </c>
      <c r="P9" s="41">
        <f t="shared" si="0"/>
        <v>14.551679999999999</v>
      </c>
      <c r="Q9">
        <f t="shared" si="1"/>
        <v>23.32</v>
      </c>
      <c r="R9" s="41">
        <f t="shared" si="2"/>
        <v>14.551679999999999</v>
      </c>
      <c r="S9">
        <f t="shared" si="3"/>
        <v>0.11850311850311857</v>
      </c>
    </row>
    <row r="10" spans="1:19" x14ac:dyDescent="0.35">
      <c r="A10" t="s">
        <v>1067</v>
      </c>
      <c r="B10">
        <v>1971</v>
      </c>
      <c r="C10">
        <v>25.959</v>
      </c>
      <c r="D10">
        <v>17.818000000000001</v>
      </c>
      <c r="E10">
        <v>28.553999999999998</v>
      </c>
      <c r="F10">
        <v>17.818000000000001</v>
      </c>
      <c r="G10">
        <v>0.66</v>
      </c>
      <c r="H10">
        <v>6.6000000000000003E-2</v>
      </c>
      <c r="M10" t="s">
        <v>1008</v>
      </c>
      <c r="N10">
        <v>1985</v>
      </c>
      <c r="O10">
        <v>19.100000000000001</v>
      </c>
      <c r="P10" s="41">
        <f t="shared" si="0"/>
        <v>13.110240000000001</v>
      </c>
      <c r="Q10">
        <f t="shared" si="1"/>
        <v>21.01</v>
      </c>
      <c r="R10" s="41">
        <f t="shared" si="2"/>
        <v>13.110240000000001</v>
      </c>
      <c r="S10">
        <f t="shared" si="3"/>
        <v>9.9056603773584828E-2</v>
      </c>
    </row>
    <row r="11" spans="1:19" x14ac:dyDescent="0.35">
      <c r="A11" t="s">
        <v>1068</v>
      </c>
      <c r="B11">
        <v>1980</v>
      </c>
      <c r="C11">
        <v>22.018000000000001</v>
      </c>
      <c r="D11">
        <v>15.113</v>
      </c>
      <c r="E11">
        <v>24.22</v>
      </c>
      <c r="F11">
        <v>15.113</v>
      </c>
      <c r="G11">
        <v>0.59</v>
      </c>
      <c r="H11">
        <v>5.8999999999999997E-2</v>
      </c>
      <c r="M11" t="s">
        <v>1009</v>
      </c>
      <c r="N11">
        <v>1995</v>
      </c>
      <c r="O11">
        <v>16.03</v>
      </c>
      <c r="P11" s="41">
        <f t="shared" si="0"/>
        <v>11.002992000000001</v>
      </c>
      <c r="Q11">
        <f t="shared" si="1"/>
        <v>17.633000000000003</v>
      </c>
      <c r="R11" s="41">
        <f t="shared" si="2"/>
        <v>11.002992000000001</v>
      </c>
      <c r="S11">
        <f t="shared" si="3"/>
        <v>0.16073298429319371</v>
      </c>
    </row>
    <row r="12" spans="1:19" x14ac:dyDescent="0.35">
      <c r="A12" t="s">
        <v>1069</v>
      </c>
      <c r="B12">
        <v>1985</v>
      </c>
      <c r="C12">
        <v>18.675000000000001</v>
      </c>
      <c r="D12">
        <v>12.819000000000001</v>
      </c>
      <c r="E12">
        <v>20.542999999999999</v>
      </c>
      <c r="F12">
        <v>12.819000000000001</v>
      </c>
      <c r="G12">
        <v>0.53</v>
      </c>
      <c r="H12">
        <v>5.2999999999999999E-2</v>
      </c>
      <c r="M12" t="s">
        <v>1010</v>
      </c>
      <c r="N12">
        <v>2005</v>
      </c>
      <c r="O12">
        <v>13.61</v>
      </c>
      <c r="P12" s="41">
        <f t="shared" si="0"/>
        <v>9.3419039999999995</v>
      </c>
      <c r="Q12">
        <f t="shared" si="1"/>
        <v>14.971</v>
      </c>
      <c r="R12" s="41">
        <f t="shared" si="2"/>
        <v>9.3419039999999995</v>
      </c>
      <c r="S12">
        <f t="shared" si="3"/>
        <v>0.15096693699313801</v>
      </c>
    </row>
    <row r="13" spans="1:19" x14ac:dyDescent="0.35">
      <c r="A13" t="s">
        <v>1070</v>
      </c>
      <c r="B13">
        <v>1996</v>
      </c>
      <c r="C13">
        <v>15.84</v>
      </c>
      <c r="D13">
        <v>10.872999999999999</v>
      </c>
      <c r="E13">
        <v>17.423999999999999</v>
      </c>
      <c r="F13">
        <v>10.872999999999999</v>
      </c>
      <c r="G13">
        <v>0.48</v>
      </c>
      <c r="H13">
        <v>4.8000000000000001E-2</v>
      </c>
      <c r="M13" t="s">
        <v>447</v>
      </c>
      <c r="N13">
        <v>2020</v>
      </c>
      <c r="O13">
        <v>11.003</v>
      </c>
      <c r="P13" s="41">
        <f t="shared" si="0"/>
        <v>7.5524592000000004</v>
      </c>
      <c r="Q13">
        <f t="shared" si="1"/>
        <v>12.103300000000001</v>
      </c>
      <c r="R13" s="41">
        <f t="shared" si="2"/>
        <v>7.5524592000000004</v>
      </c>
      <c r="S13">
        <f t="shared" si="3"/>
        <v>0.19155033063923577</v>
      </c>
    </row>
    <row r="14" spans="1:19" x14ac:dyDescent="0.35">
      <c r="A14" t="s">
        <v>1071</v>
      </c>
      <c r="B14">
        <v>2008</v>
      </c>
      <c r="C14">
        <v>13.436</v>
      </c>
      <c r="D14">
        <v>9.2219999999999995</v>
      </c>
      <c r="E14">
        <v>14.779</v>
      </c>
      <c r="F14">
        <v>9.2219999999999995</v>
      </c>
      <c r="G14">
        <v>0.43</v>
      </c>
      <c r="H14">
        <v>4.2999999999999997E-2</v>
      </c>
      <c r="M14" t="s">
        <v>446</v>
      </c>
      <c r="N14">
        <v>2040</v>
      </c>
      <c r="O14">
        <v>9.1999999999999993</v>
      </c>
      <c r="P14" s="41">
        <f t="shared" si="0"/>
        <v>6.3148799999999996</v>
      </c>
      <c r="Q14">
        <f t="shared" si="1"/>
        <v>10.119999999999999</v>
      </c>
      <c r="R14" s="41">
        <f t="shared" si="2"/>
        <v>6.3148799999999996</v>
      </c>
      <c r="S14">
        <f t="shared" si="3"/>
        <v>0.16386440061801333</v>
      </c>
    </row>
    <row r="15" spans="1:19" x14ac:dyDescent="0.35">
      <c r="A15" t="s">
        <v>1072</v>
      </c>
      <c r="B15">
        <v>2018</v>
      </c>
      <c r="C15">
        <v>11.396000000000001</v>
      </c>
      <c r="D15">
        <v>7.8220000000000001</v>
      </c>
      <c r="E15">
        <v>12.536</v>
      </c>
      <c r="F15">
        <v>7.8220000000000001</v>
      </c>
      <c r="G15">
        <v>0.39</v>
      </c>
      <c r="H15">
        <v>3.9E-2</v>
      </c>
      <c r="M15" t="s">
        <v>1011</v>
      </c>
      <c r="N15">
        <v>2060</v>
      </c>
      <c r="O15">
        <v>7.7</v>
      </c>
      <c r="P15" s="41">
        <f t="shared" si="0"/>
        <v>5.2852800000000002</v>
      </c>
      <c r="Q15">
        <f t="shared" si="1"/>
        <v>8.4700000000000006</v>
      </c>
      <c r="R15" s="41">
        <f t="shared" si="2"/>
        <v>5.2852800000000002</v>
      </c>
      <c r="S15">
        <f t="shared" si="3"/>
        <v>0.16304347826086951</v>
      </c>
    </row>
  </sheetData>
  <mergeCells count="5">
    <mergeCell ref="C1:D1"/>
    <mergeCell ref="E1:F1"/>
    <mergeCell ref="G1:H1"/>
    <mergeCell ref="O1:P1"/>
    <mergeCell ref="Q1:R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2C45-76C7-4008-AA01-4A4A3E1330C0}">
  <dimension ref="A1:AR14"/>
  <sheetViews>
    <sheetView topLeftCell="D1" workbookViewId="0">
      <selection activeCell="U7" sqref="U7"/>
    </sheetView>
  </sheetViews>
  <sheetFormatPr defaultRowHeight="14.5" x14ac:dyDescent="0.35"/>
  <cols>
    <col min="1" max="1" width="8.7265625" style="16"/>
    <col min="2" max="2" width="11.26953125" customWidth="1"/>
    <col min="3" max="5" width="8.7265625" customWidth="1"/>
    <col min="6" max="6" width="8.7265625" style="16" customWidth="1"/>
    <col min="7" max="10" width="8.7265625" customWidth="1"/>
    <col min="11" max="11" width="8.7265625" style="16" customWidth="1"/>
    <col min="12" max="15" width="8.7265625" customWidth="1"/>
    <col min="16" max="16" width="8.7265625" style="16" customWidth="1"/>
    <col min="17" max="20" width="8.7265625" customWidth="1"/>
    <col min="21" max="21" width="8.7265625" style="16" customWidth="1"/>
    <col min="22" max="25" width="8.7265625" customWidth="1"/>
    <col min="26" max="26" width="8.7265625" style="16" customWidth="1"/>
    <col min="27" max="30" width="8.7265625" customWidth="1"/>
    <col min="31" max="31" width="8.7265625" style="16" customWidth="1"/>
    <col min="32" max="35" width="8.7265625" customWidth="1"/>
    <col min="36" max="36" width="8.7265625" style="16" customWidth="1"/>
    <col min="37" max="40" width="8.7265625" customWidth="1"/>
    <col min="41" max="41" width="8.7265625" style="16" customWidth="1"/>
    <col min="44" max="44" width="24.81640625" customWidth="1"/>
  </cols>
  <sheetData>
    <row r="1" spans="1:44" x14ac:dyDescent="0.35">
      <c r="B1" s="77" t="s">
        <v>63</v>
      </c>
      <c r="C1" s="77"/>
      <c r="D1" s="77"/>
      <c r="E1" s="77"/>
      <c r="F1" s="77"/>
      <c r="G1" s="76" t="s">
        <v>68</v>
      </c>
      <c r="H1" s="77"/>
      <c r="I1" s="77"/>
      <c r="J1" s="77"/>
      <c r="K1" s="77"/>
      <c r="L1" s="76" t="s">
        <v>64</v>
      </c>
      <c r="M1" s="77"/>
      <c r="N1" s="77"/>
      <c r="O1" s="77"/>
      <c r="P1" s="77"/>
      <c r="Q1" s="76" t="s">
        <v>67</v>
      </c>
      <c r="R1" s="77"/>
      <c r="S1" s="77"/>
      <c r="T1" s="77"/>
      <c r="U1" s="77"/>
      <c r="V1" s="76" t="s">
        <v>70</v>
      </c>
      <c r="W1" s="77"/>
      <c r="X1" s="77"/>
      <c r="Y1" s="77"/>
      <c r="Z1" s="77"/>
      <c r="AA1" s="76" t="s">
        <v>65</v>
      </c>
      <c r="AB1" s="77"/>
      <c r="AC1" s="77"/>
      <c r="AD1" s="77"/>
      <c r="AE1" s="77"/>
      <c r="AF1" s="76" t="s">
        <v>66</v>
      </c>
      <c r="AG1" s="77"/>
      <c r="AH1" s="77"/>
      <c r="AI1" s="77"/>
      <c r="AJ1" s="77"/>
      <c r="AK1" s="76" t="s">
        <v>69</v>
      </c>
      <c r="AL1" s="77"/>
      <c r="AM1" s="77"/>
      <c r="AN1" s="77"/>
      <c r="AO1" s="78"/>
    </row>
    <row r="2" spans="1:44" x14ac:dyDescent="0.35">
      <c r="B2" s="77" t="s">
        <v>51</v>
      </c>
      <c r="C2" s="77"/>
      <c r="D2" s="77"/>
      <c r="E2" s="77" t="s">
        <v>50</v>
      </c>
      <c r="F2" s="77"/>
      <c r="G2" s="76" t="s">
        <v>49</v>
      </c>
      <c r="H2" s="77"/>
      <c r="I2" s="77"/>
      <c r="J2" s="77" t="s">
        <v>55</v>
      </c>
      <c r="K2" s="77"/>
      <c r="L2" s="76" t="s">
        <v>49</v>
      </c>
      <c r="M2" s="77"/>
      <c r="N2" s="77"/>
      <c r="O2" s="77" t="s">
        <v>9</v>
      </c>
      <c r="P2" s="77"/>
      <c r="Q2" s="76" t="s">
        <v>49</v>
      </c>
      <c r="R2" s="77"/>
      <c r="S2" s="77"/>
      <c r="T2" s="77" t="s">
        <v>9</v>
      </c>
      <c r="U2" s="77"/>
      <c r="V2" s="76" t="s">
        <v>49</v>
      </c>
      <c r="W2" s="77"/>
      <c r="X2" s="77"/>
      <c r="Y2" s="77" t="s">
        <v>8</v>
      </c>
      <c r="Z2" s="77"/>
      <c r="AA2" s="76" t="s">
        <v>49</v>
      </c>
      <c r="AB2" s="77"/>
      <c r="AC2" s="77"/>
      <c r="AD2" s="77" t="s">
        <v>8</v>
      </c>
      <c r="AE2" s="77"/>
      <c r="AF2" s="76" t="s">
        <v>49</v>
      </c>
      <c r="AG2" s="77"/>
      <c r="AH2" s="77"/>
      <c r="AI2" s="77" t="s">
        <v>50</v>
      </c>
      <c r="AJ2" s="77"/>
      <c r="AK2" s="76" t="s">
        <v>49</v>
      </c>
      <c r="AL2" s="77"/>
      <c r="AM2" s="77"/>
      <c r="AN2" s="77" t="s">
        <v>9</v>
      </c>
      <c r="AO2" s="78"/>
    </row>
    <row r="3" spans="1:44" x14ac:dyDescent="0.35">
      <c r="B3" t="s">
        <v>48</v>
      </c>
      <c r="C3" s="11" t="s">
        <v>52</v>
      </c>
      <c r="D3" s="7" t="s">
        <v>53</v>
      </c>
      <c r="E3" s="11" t="s">
        <v>3</v>
      </c>
      <c r="F3" s="30" t="s">
        <v>54</v>
      </c>
      <c r="G3" t="s">
        <v>48</v>
      </c>
      <c r="H3" t="s">
        <v>52</v>
      </c>
      <c r="I3" t="s">
        <v>53</v>
      </c>
      <c r="J3" t="s">
        <v>3</v>
      </c>
      <c r="K3" s="16" t="s">
        <v>54</v>
      </c>
      <c r="L3" t="s">
        <v>48</v>
      </c>
      <c r="M3" t="s">
        <v>52</v>
      </c>
      <c r="N3" t="s">
        <v>53</v>
      </c>
      <c r="O3" t="s">
        <v>3</v>
      </c>
      <c r="P3" s="16" t="s">
        <v>54</v>
      </c>
      <c r="Q3" t="s">
        <v>48</v>
      </c>
      <c r="R3" t="s">
        <v>52</v>
      </c>
      <c r="S3" t="s">
        <v>53</v>
      </c>
      <c r="T3" t="s">
        <v>3</v>
      </c>
      <c r="U3" s="16" t="s">
        <v>54</v>
      </c>
      <c r="V3" t="s">
        <v>48</v>
      </c>
      <c r="W3" t="s">
        <v>52</v>
      </c>
      <c r="X3" t="s">
        <v>53</v>
      </c>
      <c r="Y3" t="s">
        <v>3</v>
      </c>
      <c r="Z3" s="16" t="s">
        <v>54</v>
      </c>
      <c r="AA3" t="s">
        <v>48</v>
      </c>
      <c r="AB3" t="s">
        <v>52</v>
      </c>
      <c r="AC3" t="s">
        <v>53</v>
      </c>
      <c r="AD3" t="s">
        <v>3</v>
      </c>
      <c r="AE3" s="16" t="s">
        <v>54</v>
      </c>
      <c r="AF3" t="s">
        <v>48</v>
      </c>
      <c r="AG3" t="s">
        <v>52</v>
      </c>
      <c r="AH3" t="s">
        <v>53</v>
      </c>
      <c r="AI3" t="s">
        <v>3</v>
      </c>
      <c r="AJ3" s="16" t="s">
        <v>54</v>
      </c>
      <c r="AK3" t="s">
        <v>48</v>
      </c>
      <c r="AL3" t="s">
        <v>52</v>
      </c>
      <c r="AM3" t="s">
        <v>53</v>
      </c>
      <c r="AN3" t="s">
        <v>3</v>
      </c>
      <c r="AO3" s="16" t="s">
        <v>54</v>
      </c>
      <c r="AQ3" t="s">
        <v>72</v>
      </c>
      <c r="AR3" t="s">
        <v>73</v>
      </c>
    </row>
    <row r="4" spans="1:44" x14ac:dyDescent="0.35">
      <c r="A4" s="16">
        <v>2020</v>
      </c>
      <c r="B4" s="13">
        <f>E4*10*F4</f>
        <v>113.04809999999999</v>
      </c>
      <c r="C4">
        <v>85</v>
      </c>
      <c r="D4" s="14">
        <v>465.50000000000006</v>
      </c>
      <c r="E4">
        <f>O4-0.025</f>
        <v>0.28499999999999998</v>
      </c>
      <c r="F4" s="29">
        <v>39.666000000000004</v>
      </c>
      <c r="G4" s="13">
        <f>J4*10*K4</f>
        <v>154.36872</v>
      </c>
      <c r="H4" s="14">
        <v>364.98999999999995</v>
      </c>
      <c r="I4" s="14">
        <v>434.87500000000006</v>
      </c>
      <c r="J4">
        <f>E4+0.007</f>
        <v>0.29199999999999998</v>
      </c>
      <c r="K4" s="29">
        <v>52.866</v>
      </c>
      <c r="L4" s="13">
        <f>O4*10*P4</f>
        <v>220.72000000000003</v>
      </c>
      <c r="M4">
        <v>275</v>
      </c>
      <c r="N4">
        <v>362</v>
      </c>
      <c r="O4">
        <v>0.31</v>
      </c>
      <c r="P4" s="16">
        <v>71.2</v>
      </c>
      <c r="Q4" s="13">
        <f>T4*10*U4</f>
        <v>298.88000000000005</v>
      </c>
      <c r="R4" s="14">
        <v>323</v>
      </c>
      <c r="S4">
        <v>355</v>
      </c>
      <c r="T4">
        <f>O4+0.01</f>
        <v>0.32</v>
      </c>
      <c r="U4" s="16">
        <v>93.4</v>
      </c>
      <c r="V4" s="13">
        <f>Y4*10*Z4</f>
        <v>117.55799999999999</v>
      </c>
      <c r="W4">
        <v>85</v>
      </c>
      <c r="X4">
        <f>AM4*0.9</f>
        <v>342</v>
      </c>
      <c r="Y4">
        <f>AD4-0.004</f>
        <v>0.311</v>
      </c>
      <c r="Z4" s="16">
        <v>37.799999999999997</v>
      </c>
      <c r="AA4" s="13">
        <f>AD4*10*AE4</f>
        <v>213.066</v>
      </c>
      <c r="AB4">
        <f>M4</f>
        <v>275</v>
      </c>
      <c r="AC4" s="14">
        <f>N4*0.92</f>
        <v>333.04</v>
      </c>
      <c r="AD4">
        <f>O4+0.005</f>
        <v>0.315</v>
      </c>
      <c r="AE4" s="29">
        <f t="shared" ref="AE4:AE10" si="0">P4*0.95</f>
        <v>67.64</v>
      </c>
      <c r="AF4" s="13">
        <f>AI4*10*AJ4</f>
        <v>134.86704</v>
      </c>
      <c r="AG4" s="14">
        <v>247.5</v>
      </c>
      <c r="AH4" s="14">
        <v>443.45000000000005</v>
      </c>
      <c r="AI4">
        <f>E4+0.002</f>
        <v>0.28699999999999998</v>
      </c>
      <c r="AJ4" s="29">
        <v>46.992000000000004</v>
      </c>
      <c r="AK4" s="13">
        <f>AN4*10*AO4</f>
        <v>184.50700000000001</v>
      </c>
      <c r="AL4">
        <v>85</v>
      </c>
      <c r="AM4" s="28">
        <v>380</v>
      </c>
      <c r="AN4">
        <f>O4-0.003</f>
        <v>0.307</v>
      </c>
      <c r="AO4" s="16">
        <v>60.1</v>
      </c>
      <c r="AQ4" s="16">
        <v>2020</v>
      </c>
      <c r="AR4" t="s">
        <v>81</v>
      </c>
    </row>
    <row r="5" spans="1:44" x14ac:dyDescent="0.35">
      <c r="A5" s="16">
        <v>2005</v>
      </c>
      <c r="B5" s="13">
        <f t="shared" ref="B5:B9" si="1">E5*10*F5</f>
        <v>110.24772</v>
      </c>
      <c r="C5">
        <v>85</v>
      </c>
      <c r="D5" s="14">
        <v>453.25000000000006</v>
      </c>
      <c r="E5">
        <f t="shared" ref="E5:E9" si="2">O5-0.025</f>
        <v>0.28899999999999998</v>
      </c>
      <c r="F5" s="29">
        <v>38.148000000000003</v>
      </c>
      <c r="G5" s="13">
        <f t="shared" ref="G5:G7" si="3">J5*10*K5</f>
        <v>151.20864</v>
      </c>
      <c r="H5" s="14">
        <v>357.8476056338028</v>
      </c>
      <c r="I5" s="14">
        <v>427.8</v>
      </c>
      <c r="J5">
        <f t="shared" ref="J5:J7" si="4">E5+0.007</f>
        <v>0.29599999999999999</v>
      </c>
      <c r="K5" s="29">
        <v>51.084000000000003</v>
      </c>
      <c r="L5" s="13">
        <f t="shared" ref="L5:L11" si="5">O5*10*P5</f>
        <v>216.03200000000001</v>
      </c>
      <c r="M5" s="14">
        <v>267.40331491712703</v>
      </c>
      <c r="N5">
        <v>352</v>
      </c>
      <c r="O5">
        <v>0.314</v>
      </c>
      <c r="P5" s="16">
        <v>68.8</v>
      </c>
      <c r="Q5" s="13">
        <f t="shared" ref="Q5:Q11" si="6">T5*10*U5</f>
        <v>292.572</v>
      </c>
      <c r="R5" s="14">
        <v>313.90140845070425</v>
      </c>
      <c r="S5">
        <v>345</v>
      </c>
      <c r="T5">
        <f t="shared" ref="T5:T11" si="7">O5+0.01</f>
        <v>0.32400000000000001</v>
      </c>
      <c r="U5" s="16">
        <v>90.3</v>
      </c>
      <c r="V5" s="13">
        <f t="shared" ref="V5:V10" si="8">Y5*10*Z5</f>
        <v>114.97499999999999</v>
      </c>
      <c r="W5">
        <v>85</v>
      </c>
      <c r="X5">
        <f t="shared" ref="X5:X10" si="9">AM5*0.9</f>
        <v>333</v>
      </c>
      <c r="Y5">
        <f t="shared" ref="Y5:Y10" si="10">AD5-0.004</f>
        <v>0.315</v>
      </c>
      <c r="Z5" s="16">
        <v>36.5</v>
      </c>
      <c r="AA5" s="13">
        <f t="shared" ref="AA5:AA10" si="11">AD5*10*AE5</f>
        <v>208.4984</v>
      </c>
      <c r="AB5" s="14">
        <f t="shared" ref="AB5:AB10" si="12">M5</f>
        <v>267.40331491712703</v>
      </c>
      <c r="AC5" s="14">
        <f t="shared" ref="AC5:AC10" si="13">N5*0.92</f>
        <v>323.84000000000003</v>
      </c>
      <c r="AD5">
        <f t="shared" ref="AD5:AD10" si="14">O5+0.005</f>
        <v>0.31900000000000001</v>
      </c>
      <c r="AE5" s="29">
        <f t="shared" si="0"/>
        <v>65.36</v>
      </c>
      <c r="AF5" s="13">
        <f t="shared" ref="AF5:AF9" si="15">AI5*10*AJ5</f>
        <v>132.13728</v>
      </c>
      <c r="AG5" s="14">
        <v>240.66298342541432</v>
      </c>
      <c r="AH5" s="14">
        <v>431.20000000000005</v>
      </c>
      <c r="AI5">
        <f t="shared" ref="AI5:AI9" si="16">E5+0.002</f>
        <v>0.29099999999999998</v>
      </c>
      <c r="AJ5" s="29">
        <v>45.408000000000001</v>
      </c>
      <c r="AK5" s="13">
        <f t="shared" ref="AK5:AK10" si="17">AN5*10*AO5</f>
        <v>179.75799999999998</v>
      </c>
      <c r="AL5">
        <v>85</v>
      </c>
      <c r="AM5" s="28">
        <v>370</v>
      </c>
      <c r="AN5">
        <f t="shared" ref="AN5:AN10" si="18">O5-0.003</f>
        <v>0.311</v>
      </c>
      <c r="AO5" s="16">
        <v>57.8</v>
      </c>
      <c r="AQ5" s="16">
        <v>2005</v>
      </c>
      <c r="AR5" t="s">
        <v>80</v>
      </c>
    </row>
    <row r="6" spans="1:44" x14ac:dyDescent="0.35">
      <c r="A6" s="16">
        <v>1995</v>
      </c>
      <c r="B6" s="13">
        <f t="shared" si="1"/>
        <v>107.32589999999999</v>
      </c>
      <c r="C6">
        <v>85</v>
      </c>
      <c r="D6" s="14">
        <v>444.928</v>
      </c>
      <c r="E6">
        <f t="shared" si="2"/>
        <v>0.29299999999999998</v>
      </c>
      <c r="F6" s="29">
        <v>36.630000000000003</v>
      </c>
      <c r="G6" s="13">
        <f t="shared" si="3"/>
        <v>147.708</v>
      </c>
      <c r="H6" s="14">
        <v>354.94606478873243</v>
      </c>
      <c r="I6" s="14">
        <v>418.56</v>
      </c>
      <c r="J6">
        <f t="shared" si="4"/>
        <v>0.3</v>
      </c>
      <c r="K6" s="29">
        <v>49.235999999999997</v>
      </c>
      <c r="L6" s="13">
        <f t="shared" si="5"/>
        <v>211.15200000000002</v>
      </c>
      <c r="M6" s="14">
        <v>253.7292817679558</v>
      </c>
      <c r="N6">
        <v>334</v>
      </c>
      <c r="O6">
        <v>0.318</v>
      </c>
      <c r="P6" s="16">
        <v>66.400000000000006</v>
      </c>
      <c r="Q6" s="13">
        <f t="shared" si="6"/>
        <v>285.68799999999999</v>
      </c>
      <c r="R6" s="14">
        <v>297.52394366197183</v>
      </c>
      <c r="S6">
        <v>327</v>
      </c>
      <c r="T6">
        <f t="shared" si="7"/>
        <v>0.32800000000000001</v>
      </c>
      <c r="U6" s="16">
        <v>87.1</v>
      </c>
      <c r="V6" s="13">
        <f t="shared" si="8"/>
        <v>112.60699999999999</v>
      </c>
      <c r="W6">
        <v>85</v>
      </c>
      <c r="X6">
        <f t="shared" si="9"/>
        <v>316.8</v>
      </c>
      <c r="Y6">
        <f t="shared" si="10"/>
        <v>0.31900000000000001</v>
      </c>
      <c r="Z6" s="16">
        <v>35.299999999999997</v>
      </c>
      <c r="AA6" s="13">
        <f t="shared" si="11"/>
        <v>203.7484</v>
      </c>
      <c r="AB6" s="14">
        <f t="shared" si="12"/>
        <v>253.7292817679558</v>
      </c>
      <c r="AC6" s="14">
        <f t="shared" si="13"/>
        <v>307.28000000000003</v>
      </c>
      <c r="AD6">
        <f t="shared" si="14"/>
        <v>0.32300000000000001</v>
      </c>
      <c r="AE6" s="29">
        <f t="shared" si="0"/>
        <v>63.080000000000005</v>
      </c>
      <c r="AF6" s="13">
        <f t="shared" si="15"/>
        <v>129.2808</v>
      </c>
      <c r="AG6" s="14">
        <v>228.35635359116023</v>
      </c>
      <c r="AH6" s="14">
        <v>427.52</v>
      </c>
      <c r="AI6">
        <f t="shared" si="16"/>
        <v>0.29499999999999998</v>
      </c>
      <c r="AJ6" s="29">
        <v>43.824000000000005</v>
      </c>
      <c r="AK6" s="13">
        <f t="shared" si="17"/>
        <v>174.82499999999999</v>
      </c>
      <c r="AL6">
        <v>85</v>
      </c>
      <c r="AM6" s="28">
        <v>352</v>
      </c>
      <c r="AN6">
        <f t="shared" si="18"/>
        <v>0.315</v>
      </c>
      <c r="AO6" s="16">
        <v>55.5</v>
      </c>
      <c r="AQ6" s="16">
        <v>1995</v>
      </c>
      <c r="AR6" t="s">
        <v>79</v>
      </c>
    </row>
    <row r="7" spans="1:44" x14ac:dyDescent="0.35">
      <c r="A7" s="16">
        <v>1980</v>
      </c>
      <c r="B7" s="13">
        <f t="shared" si="1"/>
        <v>104.28264</v>
      </c>
      <c r="C7">
        <v>85</v>
      </c>
      <c r="D7" s="14">
        <v>430.14</v>
      </c>
      <c r="E7">
        <f t="shared" si="2"/>
        <v>0.29699999999999999</v>
      </c>
      <c r="F7" s="29">
        <v>35.112000000000002</v>
      </c>
      <c r="G7" s="13">
        <f t="shared" si="3"/>
        <v>142.25376</v>
      </c>
      <c r="H7" s="14">
        <v>350.03191549295781</v>
      </c>
      <c r="I7" s="14">
        <v>409.20000000000005</v>
      </c>
      <c r="J7">
        <f t="shared" si="4"/>
        <v>0.30399999999999999</v>
      </c>
      <c r="K7" s="29">
        <v>46.794000000000004</v>
      </c>
      <c r="L7" s="13">
        <f t="shared" si="5"/>
        <v>206.08</v>
      </c>
      <c r="M7" s="14">
        <v>240.81491712707182</v>
      </c>
      <c r="N7">
        <v>317</v>
      </c>
      <c r="O7">
        <v>0.32200000000000001</v>
      </c>
      <c r="P7" s="16">
        <v>64</v>
      </c>
      <c r="Q7" s="13">
        <f t="shared" si="6"/>
        <v>274.56400000000002</v>
      </c>
      <c r="R7" s="14">
        <v>282.05633802816902</v>
      </c>
      <c r="S7">
        <v>310</v>
      </c>
      <c r="T7">
        <f t="shared" si="7"/>
        <v>0.33200000000000002</v>
      </c>
      <c r="U7" s="16">
        <v>82.7</v>
      </c>
      <c r="V7" s="13">
        <f t="shared" si="8"/>
        <v>109.82</v>
      </c>
      <c r="W7">
        <v>85</v>
      </c>
      <c r="X7">
        <f t="shared" si="9"/>
        <v>301.5</v>
      </c>
      <c r="Y7">
        <f t="shared" si="10"/>
        <v>0.32300000000000001</v>
      </c>
      <c r="Z7" s="16">
        <v>34</v>
      </c>
      <c r="AA7" s="13">
        <f t="shared" si="11"/>
        <v>198.816</v>
      </c>
      <c r="AB7" s="14">
        <f t="shared" si="12"/>
        <v>240.81491712707182</v>
      </c>
      <c r="AC7" s="14">
        <f t="shared" si="13"/>
        <v>291.64</v>
      </c>
      <c r="AD7">
        <f t="shared" si="14"/>
        <v>0.32700000000000001</v>
      </c>
      <c r="AE7" s="29">
        <f t="shared" si="0"/>
        <v>60.8</v>
      </c>
      <c r="AF7" s="13">
        <f t="shared" si="15"/>
        <v>126.2976</v>
      </c>
      <c r="AG7" s="14">
        <v>216.73342541436463</v>
      </c>
      <c r="AH7" s="14">
        <v>418.44</v>
      </c>
      <c r="AI7">
        <f t="shared" si="16"/>
        <v>0.29899999999999999</v>
      </c>
      <c r="AJ7" s="29">
        <v>42.24</v>
      </c>
      <c r="AK7" s="13">
        <f t="shared" si="17"/>
        <v>169.708</v>
      </c>
      <c r="AL7">
        <v>85</v>
      </c>
      <c r="AM7" s="28">
        <v>335</v>
      </c>
      <c r="AN7">
        <f t="shared" si="18"/>
        <v>0.31900000000000001</v>
      </c>
      <c r="AO7" s="16">
        <v>53.2</v>
      </c>
      <c r="AQ7" s="16">
        <v>1980</v>
      </c>
      <c r="AR7" t="s">
        <v>78</v>
      </c>
    </row>
    <row r="8" spans="1:44" x14ac:dyDescent="0.35">
      <c r="A8" s="16">
        <v>1970</v>
      </c>
      <c r="B8" s="13">
        <f t="shared" si="1"/>
        <v>101.11793999999999</v>
      </c>
      <c r="C8">
        <v>85</v>
      </c>
      <c r="D8" s="14">
        <v>422.142</v>
      </c>
      <c r="E8">
        <f t="shared" si="2"/>
        <v>0.30099999999999999</v>
      </c>
      <c r="F8" s="29">
        <v>33.594000000000001</v>
      </c>
      <c r="G8" s="19"/>
      <c r="H8" s="19"/>
      <c r="I8" s="19"/>
      <c r="J8" s="19"/>
      <c r="K8" s="26"/>
      <c r="L8" s="13">
        <f t="shared" si="5"/>
        <v>200.81600000000003</v>
      </c>
      <c r="M8" s="14">
        <v>230.93922651933701</v>
      </c>
      <c r="N8">
        <v>304</v>
      </c>
      <c r="O8">
        <v>0.32600000000000001</v>
      </c>
      <c r="P8" s="16">
        <v>61.6</v>
      </c>
      <c r="Q8" s="13">
        <f t="shared" si="6"/>
        <v>256.36799999999999</v>
      </c>
      <c r="R8" s="14">
        <v>270.22816901408453</v>
      </c>
      <c r="S8">
        <v>297</v>
      </c>
      <c r="T8">
        <f t="shared" si="7"/>
        <v>0.33600000000000002</v>
      </c>
      <c r="U8" s="16">
        <v>76.3</v>
      </c>
      <c r="V8" s="13">
        <f t="shared" si="8"/>
        <v>107.25599999999999</v>
      </c>
      <c r="W8">
        <v>85</v>
      </c>
      <c r="X8">
        <f t="shared" si="9"/>
        <v>289.8</v>
      </c>
      <c r="Y8">
        <f t="shared" si="10"/>
        <v>0.32700000000000001</v>
      </c>
      <c r="Z8" s="16">
        <v>32.799999999999997</v>
      </c>
      <c r="AA8" s="13">
        <f t="shared" si="11"/>
        <v>193.7012</v>
      </c>
      <c r="AB8" s="14">
        <f t="shared" si="12"/>
        <v>230.93922651933701</v>
      </c>
      <c r="AC8" s="14">
        <f t="shared" si="13"/>
        <v>279.68</v>
      </c>
      <c r="AD8">
        <f t="shared" si="14"/>
        <v>0.33100000000000002</v>
      </c>
      <c r="AE8" s="29">
        <f t="shared" si="0"/>
        <v>58.519999999999996</v>
      </c>
      <c r="AF8" s="13">
        <f t="shared" si="15"/>
        <v>123.18768000000001</v>
      </c>
      <c r="AG8" s="14">
        <v>207.84530386740332</v>
      </c>
      <c r="AH8" s="14">
        <v>410.40000000000003</v>
      </c>
      <c r="AI8">
        <f t="shared" si="16"/>
        <v>0.30299999999999999</v>
      </c>
      <c r="AJ8" s="29">
        <v>40.656000000000006</v>
      </c>
      <c r="AK8" s="13">
        <f t="shared" si="17"/>
        <v>164.40699999999998</v>
      </c>
      <c r="AL8">
        <v>85</v>
      </c>
      <c r="AM8" s="28">
        <v>322</v>
      </c>
      <c r="AN8">
        <f t="shared" si="18"/>
        <v>0.32300000000000001</v>
      </c>
      <c r="AO8" s="16">
        <v>50.9</v>
      </c>
      <c r="AQ8" s="16">
        <v>1970</v>
      </c>
      <c r="AR8" t="s">
        <v>77</v>
      </c>
    </row>
    <row r="9" spans="1:44" x14ac:dyDescent="0.35">
      <c r="A9" s="16">
        <v>1965</v>
      </c>
      <c r="B9" s="31">
        <f t="shared" si="1"/>
        <v>92.69568000000001</v>
      </c>
      <c r="C9" s="19">
        <v>85</v>
      </c>
      <c r="D9" s="20">
        <v>403</v>
      </c>
      <c r="E9" s="19">
        <f t="shared" si="2"/>
        <v>0.30399999999999999</v>
      </c>
      <c r="F9" s="32">
        <v>30.492000000000004</v>
      </c>
      <c r="G9" s="19"/>
      <c r="H9" s="19"/>
      <c r="I9" s="19"/>
      <c r="J9" s="19"/>
      <c r="K9" s="26"/>
      <c r="L9" s="13">
        <f t="shared" si="5"/>
        <v>186.87199999999999</v>
      </c>
      <c r="M9" s="14">
        <v>221.82320441988952</v>
      </c>
      <c r="N9">
        <v>292</v>
      </c>
      <c r="O9">
        <v>0.32900000000000001</v>
      </c>
      <c r="P9" s="16">
        <v>56.8</v>
      </c>
      <c r="Q9" s="13">
        <f t="shared" si="6"/>
        <v>226.452</v>
      </c>
      <c r="R9" s="14">
        <v>259.3098591549296</v>
      </c>
      <c r="S9">
        <v>285</v>
      </c>
      <c r="T9">
        <f t="shared" si="7"/>
        <v>0.33900000000000002</v>
      </c>
      <c r="U9" s="16">
        <v>66.8</v>
      </c>
      <c r="V9" s="13">
        <f t="shared" si="8"/>
        <v>99.990000000000009</v>
      </c>
      <c r="W9">
        <v>85</v>
      </c>
      <c r="X9">
        <f t="shared" si="9"/>
        <v>279</v>
      </c>
      <c r="Y9">
        <f t="shared" si="10"/>
        <v>0.33</v>
      </c>
      <c r="Z9" s="16">
        <v>30.3</v>
      </c>
      <c r="AA9" s="13">
        <f t="shared" si="11"/>
        <v>180.22639999999998</v>
      </c>
      <c r="AB9" s="14">
        <f t="shared" si="12"/>
        <v>221.82320441988952</v>
      </c>
      <c r="AC9" s="14">
        <f t="shared" si="13"/>
        <v>268.64</v>
      </c>
      <c r="AD9">
        <f t="shared" si="14"/>
        <v>0.33400000000000002</v>
      </c>
      <c r="AE9" s="29">
        <f t="shared" si="0"/>
        <v>53.959999999999994</v>
      </c>
      <c r="AF9" s="13">
        <f t="shared" si="15"/>
        <v>114.71328</v>
      </c>
      <c r="AG9" s="14">
        <v>198.957182320442</v>
      </c>
      <c r="AH9" s="33">
        <v>394.2</v>
      </c>
      <c r="AI9">
        <f t="shared" si="16"/>
        <v>0.30599999999999999</v>
      </c>
      <c r="AJ9" s="34">
        <v>37.488</v>
      </c>
      <c r="AK9" s="13">
        <f t="shared" si="17"/>
        <v>150.61200000000002</v>
      </c>
      <c r="AL9">
        <v>85</v>
      </c>
      <c r="AM9" s="28">
        <v>310</v>
      </c>
      <c r="AN9">
        <f t="shared" si="18"/>
        <v>0.32600000000000001</v>
      </c>
      <c r="AO9" s="16">
        <v>46.2</v>
      </c>
      <c r="AQ9" s="16">
        <v>1965</v>
      </c>
      <c r="AR9" t="s">
        <v>76</v>
      </c>
    </row>
    <row r="10" spans="1:44" x14ac:dyDescent="0.35">
      <c r="A10" s="16">
        <v>1960</v>
      </c>
      <c r="B10" s="19"/>
      <c r="C10" s="19"/>
      <c r="D10" s="19"/>
      <c r="E10" s="19"/>
      <c r="F10" s="26"/>
      <c r="G10" s="19"/>
      <c r="H10" s="19"/>
      <c r="I10" s="19"/>
      <c r="J10" s="19"/>
      <c r="K10" s="26"/>
      <c r="L10" s="13">
        <f t="shared" si="5"/>
        <v>161.52799999999999</v>
      </c>
      <c r="M10" s="14">
        <v>210.4281767955801</v>
      </c>
      <c r="N10">
        <v>277</v>
      </c>
      <c r="O10">
        <v>0.33100000000000002</v>
      </c>
      <c r="P10" s="16">
        <v>48.8</v>
      </c>
      <c r="Q10" s="13">
        <f t="shared" si="6"/>
        <v>184.82200000000003</v>
      </c>
      <c r="R10" s="14">
        <v>245.66197183098592</v>
      </c>
      <c r="S10">
        <v>270</v>
      </c>
      <c r="T10">
        <f t="shared" si="7"/>
        <v>0.34100000000000003</v>
      </c>
      <c r="U10" s="16">
        <v>54.2</v>
      </c>
      <c r="V10" s="13">
        <f t="shared" si="8"/>
        <v>85.656000000000006</v>
      </c>
      <c r="W10">
        <v>85</v>
      </c>
      <c r="X10">
        <f t="shared" si="9"/>
        <v>265.5</v>
      </c>
      <c r="Y10">
        <f t="shared" si="10"/>
        <v>0.33200000000000002</v>
      </c>
      <c r="Z10" s="16">
        <v>25.8</v>
      </c>
      <c r="AA10" s="13">
        <f t="shared" si="11"/>
        <v>155.7696</v>
      </c>
      <c r="AB10" s="14">
        <f t="shared" si="12"/>
        <v>210.4281767955801</v>
      </c>
      <c r="AC10" s="14">
        <f t="shared" si="13"/>
        <v>254.84</v>
      </c>
      <c r="AD10">
        <f t="shared" si="14"/>
        <v>0.33600000000000002</v>
      </c>
      <c r="AE10" s="29">
        <f t="shared" si="0"/>
        <v>46.359999999999992</v>
      </c>
      <c r="AF10" s="19"/>
      <c r="AG10" s="19"/>
      <c r="AH10" s="19"/>
      <c r="AI10" s="19"/>
      <c r="AJ10" s="26"/>
      <c r="AK10" s="31">
        <f t="shared" si="17"/>
        <v>126.28000000000002</v>
      </c>
      <c r="AL10" s="19">
        <v>85</v>
      </c>
      <c r="AM10" s="19">
        <v>295</v>
      </c>
      <c r="AN10" s="19">
        <f t="shared" si="18"/>
        <v>0.32800000000000001</v>
      </c>
      <c r="AO10" s="26">
        <v>38.5</v>
      </c>
      <c r="AQ10" s="16">
        <v>1960</v>
      </c>
      <c r="AR10" t="s">
        <v>75</v>
      </c>
    </row>
    <row r="11" spans="1:44" x14ac:dyDescent="0.35">
      <c r="A11" s="16">
        <v>1950</v>
      </c>
      <c r="B11" s="19"/>
      <c r="C11" s="19"/>
      <c r="D11" s="19"/>
      <c r="E11" s="19"/>
      <c r="F11" s="26"/>
      <c r="G11" s="19"/>
      <c r="H11" s="19"/>
      <c r="I11" s="19"/>
      <c r="J11" s="19"/>
      <c r="K11" s="26"/>
      <c r="L11" s="13">
        <f t="shared" si="5"/>
        <v>116.86400000000002</v>
      </c>
      <c r="M11" s="14">
        <v>199.03314917127074</v>
      </c>
      <c r="N11">
        <v>262</v>
      </c>
      <c r="O11">
        <v>0.33200000000000002</v>
      </c>
      <c r="P11" s="16">
        <v>35.200000000000003</v>
      </c>
      <c r="Q11" s="13">
        <f t="shared" si="6"/>
        <v>152.87400000000002</v>
      </c>
      <c r="R11" s="14">
        <v>232.01408450704227</v>
      </c>
      <c r="S11">
        <v>255</v>
      </c>
      <c r="T11">
        <f t="shared" si="7"/>
        <v>0.34200000000000003</v>
      </c>
      <c r="U11" s="16">
        <v>44.7</v>
      </c>
      <c r="V11" s="19"/>
      <c r="W11" s="19">
        <v>85</v>
      </c>
      <c r="X11" s="19">
        <f>AM11*0.95</f>
        <v>266</v>
      </c>
      <c r="Y11" s="19"/>
      <c r="Z11" s="26"/>
      <c r="AA11" s="19"/>
      <c r="AB11" s="19">
        <v>85</v>
      </c>
      <c r="AC11" s="19">
        <f>N11*0.95</f>
        <v>248.89999999999998</v>
      </c>
      <c r="AD11" s="19"/>
      <c r="AE11" s="26"/>
      <c r="AF11" s="19"/>
      <c r="AG11" s="19"/>
      <c r="AH11" s="19"/>
      <c r="AI11" s="19"/>
      <c r="AJ11" s="26"/>
      <c r="AK11" s="19"/>
      <c r="AL11" s="19">
        <v>85</v>
      </c>
      <c r="AM11" s="19">
        <v>280</v>
      </c>
      <c r="AN11" s="19"/>
      <c r="AO11" s="26">
        <v>25.4</v>
      </c>
      <c r="AQ11" s="16">
        <v>1950</v>
      </c>
      <c r="AR11" t="s">
        <v>74</v>
      </c>
    </row>
    <row r="13" spans="1:44" x14ac:dyDescent="0.35">
      <c r="AQ13">
        <v>2040</v>
      </c>
      <c r="AR13" t="s">
        <v>82</v>
      </c>
    </row>
    <row r="14" spans="1:44" x14ac:dyDescent="0.35">
      <c r="AQ14">
        <v>2060</v>
      </c>
      <c r="AR14" t="s">
        <v>83</v>
      </c>
    </row>
  </sheetData>
  <mergeCells count="24">
    <mergeCell ref="B1:F1"/>
    <mergeCell ref="B2:D2"/>
    <mergeCell ref="G1:K1"/>
    <mergeCell ref="G2:I2"/>
    <mergeCell ref="J2:K2"/>
    <mergeCell ref="E2:F2"/>
    <mergeCell ref="L1:P1"/>
    <mergeCell ref="L2:N2"/>
    <mergeCell ref="O2:P2"/>
    <mergeCell ref="Q1:U1"/>
    <mergeCell ref="Q2:S2"/>
    <mergeCell ref="T2:U2"/>
    <mergeCell ref="V1:Z1"/>
    <mergeCell ref="V2:X2"/>
    <mergeCell ref="Y2:Z2"/>
    <mergeCell ref="AA1:AE1"/>
    <mergeCell ref="AA2:AC2"/>
    <mergeCell ref="AD2:AE2"/>
    <mergeCell ref="AF1:AJ1"/>
    <mergeCell ref="AF2:AH2"/>
    <mergeCell ref="AI2:AJ2"/>
    <mergeCell ref="AK1:AO1"/>
    <mergeCell ref="AK2:AM2"/>
    <mergeCell ref="AN2:A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AF82-31B5-40FE-9A2C-239ECDB648D4}">
  <dimension ref="A1:T73"/>
  <sheetViews>
    <sheetView topLeftCell="A52" workbookViewId="0">
      <selection activeCell="B72" sqref="B72"/>
    </sheetView>
  </sheetViews>
  <sheetFormatPr defaultRowHeight="14.5" x14ac:dyDescent="0.35"/>
  <cols>
    <col min="3" max="3" width="9.36328125" bestFit="1" customWidth="1"/>
  </cols>
  <sheetData>
    <row r="1" spans="1:20" x14ac:dyDescent="0.35">
      <c r="A1" t="s">
        <v>939</v>
      </c>
      <c r="C1" s="68">
        <v>1</v>
      </c>
      <c r="D1" s="68">
        <v>1.0638000000000001</v>
      </c>
      <c r="E1">
        <v>1.0932999999999999</v>
      </c>
      <c r="F1">
        <v>0.88</v>
      </c>
      <c r="G1">
        <v>0.97870000000000001</v>
      </c>
      <c r="H1">
        <v>1</v>
      </c>
      <c r="I1">
        <v>1.27</v>
      </c>
      <c r="J1">
        <f>I1*D1</f>
        <v>1.3510260000000001</v>
      </c>
      <c r="K1">
        <f>E1*I1</f>
        <v>1.3884909999999999</v>
      </c>
      <c r="L1">
        <v>1.24</v>
      </c>
      <c r="P1" t="s">
        <v>929</v>
      </c>
      <c r="Q1" t="s">
        <v>930</v>
      </c>
      <c r="R1" t="s">
        <v>934</v>
      </c>
      <c r="S1" t="s">
        <v>935</v>
      </c>
      <c r="T1" t="s">
        <v>936</v>
      </c>
    </row>
    <row r="2" spans="1:20" x14ac:dyDescent="0.35">
      <c r="A2" t="s">
        <v>235</v>
      </c>
      <c r="B2" t="s">
        <v>570</v>
      </c>
      <c r="C2" t="s">
        <v>931</v>
      </c>
      <c r="D2" t="s">
        <v>930</v>
      </c>
      <c r="E2" t="s">
        <v>935</v>
      </c>
      <c r="F2" t="s">
        <v>937</v>
      </c>
      <c r="G2" t="s">
        <v>940</v>
      </c>
      <c r="H2" t="s">
        <v>941</v>
      </c>
      <c r="I2" t="s">
        <v>942</v>
      </c>
      <c r="J2" t="s">
        <v>943</v>
      </c>
      <c r="K2" t="s">
        <v>944</v>
      </c>
      <c r="L2" t="s">
        <v>945</v>
      </c>
      <c r="M2" t="s">
        <v>920</v>
      </c>
      <c r="O2">
        <v>1945</v>
      </c>
      <c r="P2">
        <v>235</v>
      </c>
      <c r="Q2" s="19"/>
    </row>
    <row r="3" spans="1:20" x14ac:dyDescent="0.35">
      <c r="A3">
        <v>0</v>
      </c>
      <c r="B3">
        <v>1945</v>
      </c>
      <c r="C3" s="14">
        <v>235</v>
      </c>
      <c r="D3" s="20">
        <f t="shared" ref="D3:G13" si="0">$C3*D$1</f>
        <v>249.99300000000002</v>
      </c>
      <c r="E3" s="20">
        <f t="shared" si="0"/>
        <v>256.9255</v>
      </c>
      <c r="F3" s="14">
        <f t="shared" si="0"/>
        <v>206.8</v>
      </c>
      <c r="G3" s="20">
        <f t="shared" si="0"/>
        <v>229.99450000000002</v>
      </c>
      <c r="H3" s="20">
        <f>C3</f>
        <v>235</v>
      </c>
      <c r="I3" s="19">
        <f t="shared" ref="I3:I8" si="1">$C3*I$1</f>
        <v>298.45</v>
      </c>
      <c r="J3" s="19">
        <f t="shared" ref="J3:J5" si="2">C3*J$1</f>
        <v>317.49110999999999</v>
      </c>
      <c r="K3" s="19">
        <f t="shared" ref="K3:K6" si="3">$C3*K$1</f>
        <v>326.29538499999995</v>
      </c>
      <c r="L3" s="19">
        <f t="shared" ref="L3:L8" si="4">F3*$L$1</f>
        <v>256.43200000000002</v>
      </c>
      <c r="O3">
        <v>1955</v>
      </c>
      <c r="P3">
        <v>255</v>
      </c>
      <c r="Q3">
        <v>272</v>
      </c>
      <c r="R3">
        <f>P3/Q3</f>
        <v>0.9375</v>
      </c>
    </row>
    <row r="4" spans="1:20" x14ac:dyDescent="0.35">
      <c r="A4">
        <v>1</v>
      </c>
      <c r="B4">
        <v>1955</v>
      </c>
      <c r="C4" s="14">
        <v>262</v>
      </c>
      <c r="D4" s="14">
        <f t="shared" si="0"/>
        <v>278.71559999999999</v>
      </c>
      <c r="E4" s="20">
        <f t="shared" si="0"/>
        <v>286.44459999999998</v>
      </c>
      <c r="F4" s="14">
        <f t="shared" si="0"/>
        <v>230.56</v>
      </c>
      <c r="G4" s="20">
        <f t="shared" si="0"/>
        <v>256.4194</v>
      </c>
      <c r="H4" s="20">
        <f t="shared" ref="H4" si="5">C4</f>
        <v>262</v>
      </c>
      <c r="I4" s="19">
        <f t="shared" si="1"/>
        <v>332.74</v>
      </c>
      <c r="J4" s="19">
        <f t="shared" si="2"/>
        <v>353.96881200000001</v>
      </c>
      <c r="K4" s="19">
        <f t="shared" si="3"/>
        <v>363.78464199999996</v>
      </c>
      <c r="L4" s="19">
        <f t="shared" si="4"/>
        <v>285.89440000000002</v>
      </c>
      <c r="M4" s="14"/>
      <c r="O4">
        <v>1960</v>
      </c>
      <c r="P4">
        <v>270</v>
      </c>
      <c r="Q4">
        <v>282</v>
      </c>
      <c r="R4">
        <f t="shared" ref="R4:R12" si="6">P4/Q4</f>
        <v>0.95744680851063835</v>
      </c>
    </row>
    <row r="5" spans="1:20" x14ac:dyDescent="0.35">
      <c r="A5">
        <v>2</v>
      </c>
      <c r="B5">
        <v>1960</v>
      </c>
      <c r="C5" s="14">
        <v>289</v>
      </c>
      <c r="D5" s="14">
        <f t="shared" si="0"/>
        <v>307.43819999999999</v>
      </c>
      <c r="E5" s="20">
        <f t="shared" si="0"/>
        <v>315.96369999999996</v>
      </c>
      <c r="F5" s="14">
        <f t="shared" si="0"/>
        <v>254.32</v>
      </c>
      <c r="G5" s="14">
        <f t="shared" si="0"/>
        <v>282.84430000000003</v>
      </c>
      <c r="H5" s="14">
        <f t="shared" ref="H5:H13" si="7">$C5*H$1</f>
        <v>289</v>
      </c>
      <c r="I5" s="19">
        <f t="shared" si="1"/>
        <v>367.03000000000003</v>
      </c>
      <c r="J5" s="19">
        <f t="shared" si="2"/>
        <v>390.44651400000004</v>
      </c>
      <c r="K5" s="19">
        <f t="shared" si="3"/>
        <v>401.27389899999997</v>
      </c>
      <c r="L5" s="19">
        <f t="shared" si="4"/>
        <v>315.35679999999996</v>
      </c>
      <c r="M5" s="14"/>
      <c r="O5">
        <v>1965</v>
      </c>
      <c r="P5">
        <v>285</v>
      </c>
      <c r="Q5">
        <v>292</v>
      </c>
      <c r="R5">
        <f t="shared" si="6"/>
        <v>0.97602739726027399</v>
      </c>
      <c r="S5">
        <v>310</v>
      </c>
      <c r="T5">
        <f>S5/Q5</f>
        <v>1.0616438356164384</v>
      </c>
    </row>
    <row r="6" spans="1:20" x14ac:dyDescent="0.35">
      <c r="A6">
        <v>3</v>
      </c>
      <c r="B6">
        <v>1965</v>
      </c>
      <c r="C6" s="14">
        <v>301</v>
      </c>
      <c r="D6" s="14">
        <f t="shared" si="0"/>
        <v>320.2038</v>
      </c>
      <c r="E6" s="14">
        <f t="shared" si="0"/>
        <v>329.08330000000001</v>
      </c>
      <c r="F6" s="14">
        <f t="shared" si="0"/>
        <v>264.88</v>
      </c>
      <c r="G6" s="14">
        <f t="shared" si="0"/>
        <v>294.58870000000002</v>
      </c>
      <c r="H6" s="14">
        <f t="shared" si="7"/>
        <v>301</v>
      </c>
      <c r="I6" s="20">
        <f t="shared" si="1"/>
        <v>382.27</v>
      </c>
      <c r="J6" s="14">
        <f>C6*J$1</f>
        <v>406.65882600000003</v>
      </c>
      <c r="K6" s="20">
        <f t="shared" si="3"/>
        <v>417.93579099999999</v>
      </c>
      <c r="L6" s="20">
        <f t="shared" si="4"/>
        <v>328.45119999999997</v>
      </c>
      <c r="M6" s="14"/>
      <c r="O6">
        <v>1970</v>
      </c>
      <c r="P6">
        <v>297</v>
      </c>
      <c r="Q6">
        <v>304</v>
      </c>
      <c r="R6">
        <f t="shared" si="6"/>
        <v>0.97697368421052633</v>
      </c>
      <c r="S6">
        <v>322</v>
      </c>
      <c r="T6">
        <f t="shared" ref="T6:T12" si="8">S6/Q6</f>
        <v>1.0592105263157894</v>
      </c>
    </row>
    <row r="7" spans="1:20" x14ac:dyDescent="0.35">
      <c r="A7">
        <v>4</v>
      </c>
      <c r="B7">
        <v>1970</v>
      </c>
      <c r="C7" s="14">
        <v>308</v>
      </c>
      <c r="D7" s="14">
        <f t="shared" si="0"/>
        <v>327.65040000000005</v>
      </c>
      <c r="E7" s="14">
        <f t="shared" si="0"/>
        <v>336.7364</v>
      </c>
      <c r="F7" s="14">
        <f t="shared" si="0"/>
        <v>271.04000000000002</v>
      </c>
      <c r="G7" s="14">
        <f t="shared" si="0"/>
        <v>301.43959999999998</v>
      </c>
      <c r="H7" s="14">
        <f t="shared" si="7"/>
        <v>308</v>
      </c>
      <c r="I7" s="20">
        <f t="shared" si="1"/>
        <v>391.16</v>
      </c>
      <c r="J7" s="14">
        <f t="shared" ref="J7:J13" si="9">C7*J$1</f>
        <v>416.11600800000002</v>
      </c>
      <c r="K7" s="14">
        <f t="shared" ref="K7:K13" si="10">$C7*K$1</f>
        <v>427.65522799999997</v>
      </c>
      <c r="L7" s="20">
        <f t="shared" si="4"/>
        <v>336.08960000000002</v>
      </c>
      <c r="M7" s="14">
        <f>J7-J6</f>
        <v>9.4571819999999889</v>
      </c>
      <c r="O7">
        <v>1980</v>
      </c>
      <c r="P7">
        <v>310</v>
      </c>
      <c r="Q7">
        <v>317</v>
      </c>
      <c r="R7">
        <f t="shared" si="6"/>
        <v>0.97791798107255523</v>
      </c>
      <c r="S7">
        <v>335</v>
      </c>
      <c r="T7">
        <f t="shared" si="8"/>
        <v>1.0567823343848581</v>
      </c>
    </row>
    <row r="8" spans="1:20" x14ac:dyDescent="0.35">
      <c r="A8">
        <v>5</v>
      </c>
      <c r="B8">
        <v>1975</v>
      </c>
      <c r="C8" s="14">
        <v>314</v>
      </c>
      <c r="D8" s="14">
        <f t="shared" si="0"/>
        <v>334.03320000000002</v>
      </c>
      <c r="E8" s="14">
        <f t="shared" si="0"/>
        <v>343.2962</v>
      </c>
      <c r="F8" s="14">
        <f t="shared" si="0"/>
        <v>276.32</v>
      </c>
      <c r="G8" s="14">
        <f t="shared" si="0"/>
        <v>307.31180000000001</v>
      </c>
      <c r="H8" s="14">
        <f t="shared" si="7"/>
        <v>314</v>
      </c>
      <c r="I8" s="20">
        <f t="shared" si="1"/>
        <v>398.78000000000003</v>
      </c>
      <c r="J8" s="14">
        <f t="shared" si="9"/>
        <v>424.22216400000002</v>
      </c>
      <c r="K8" s="14">
        <f t="shared" si="10"/>
        <v>435.98617399999995</v>
      </c>
      <c r="L8" s="20">
        <f t="shared" si="4"/>
        <v>342.63679999999999</v>
      </c>
      <c r="M8" s="14">
        <f t="shared" ref="M8:M14" si="11">J8-J7</f>
        <v>8.1061559999999986</v>
      </c>
      <c r="O8">
        <v>1995</v>
      </c>
      <c r="P8">
        <v>327</v>
      </c>
      <c r="Q8">
        <v>334</v>
      </c>
      <c r="R8">
        <f t="shared" si="6"/>
        <v>0.97904191616766467</v>
      </c>
      <c r="S8">
        <v>352</v>
      </c>
      <c r="T8">
        <f t="shared" si="8"/>
        <v>1.0538922155688624</v>
      </c>
    </row>
    <row r="9" spans="1:20" x14ac:dyDescent="0.35">
      <c r="A9">
        <v>6</v>
      </c>
      <c r="B9">
        <v>1980</v>
      </c>
      <c r="C9" s="14">
        <v>320</v>
      </c>
      <c r="D9" s="14">
        <f t="shared" si="0"/>
        <v>340.41600000000005</v>
      </c>
      <c r="E9" s="14">
        <f t="shared" si="0"/>
        <v>349.85599999999999</v>
      </c>
      <c r="F9" s="14">
        <f t="shared" si="0"/>
        <v>281.60000000000002</v>
      </c>
      <c r="G9" s="14">
        <f t="shared" si="0"/>
        <v>313.18400000000003</v>
      </c>
      <c r="H9" s="14">
        <f t="shared" si="7"/>
        <v>320</v>
      </c>
      <c r="I9" s="14">
        <f t="shared" ref="I9:I13" si="12">$C9*I$1</f>
        <v>406.4</v>
      </c>
      <c r="J9" s="14">
        <f t="shared" si="9"/>
        <v>432.32832000000002</v>
      </c>
      <c r="K9" s="14">
        <f t="shared" si="10"/>
        <v>444.31711999999999</v>
      </c>
      <c r="L9" s="14">
        <f>F9*$L$1</f>
        <v>349.18400000000003</v>
      </c>
      <c r="M9" s="14">
        <f t="shared" si="11"/>
        <v>8.1061559999999986</v>
      </c>
      <c r="O9">
        <v>2005</v>
      </c>
      <c r="P9">
        <v>336</v>
      </c>
      <c r="Q9">
        <v>352</v>
      </c>
      <c r="R9">
        <f t="shared" si="6"/>
        <v>0.95454545454545459</v>
      </c>
      <c r="S9">
        <v>362</v>
      </c>
      <c r="T9">
        <f t="shared" si="8"/>
        <v>1.0284090909090908</v>
      </c>
    </row>
    <row r="10" spans="1:20" x14ac:dyDescent="0.35">
      <c r="A10">
        <v>7</v>
      </c>
      <c r="B10">
        <v>1995</v>
      </c>
      <c r="C10" s="14">
        <v>326</v>
      </c>
      <c r="D10" s="14">
        <f t="shared" si="0"/>
        <v>346.79880000000003</v>
      </c>
      <c r="E10" s="14">
        <f t="shared" si="0"/>
        <v>356.41579999999999</v>
      </c>
      <c r="F10" s="14">
        <f t="shared" si="0"/>
        <v>286.88</v>
      </c>
      <c r="G10" s="14">
        <f t="shared" si="0"/>
        <v>319.05619999999999</v>
      </c>
      <c r="H10" s="14">
        <f t="shared" si="7"/>
        <v>326</v>
      </c>
      <c r="I10" s="14">
        <f t="shared" si="12"/>
        <v>414.02</v>
      </c>
      <c r="J10" s="14">
        <f t="shared" si="9"/>
        <v>440.43447600000002</v>
      </c>
      <c r="K10" s="14">
        <f t="shared" si="10"/>
        <v>452.64806599999997</v>
      </c>
      <c r="L10" s="14">
        <f t="shared" ref="L10:L14" si="13">F10*$L$1</f>
        <v>355.7312</v>
      </c>
      <c r="M10" s="14">
        <f t="shared" si="11"/>
        <v>8.1061559999999986</v>
      </c>
      <c r="O10">
        <v>2020</v>
      </c>
      <c r="P10">
        <v>346</v>
      </c>
      <c r="Q10">
        <v>362</v>
      </c>
      <c r="R10">
        <f t="shared" si="6"/>
        <v>0.95580110497237569</v>
      </c>
      <c r="S10">
        <v>370</v>
      </c>
      <c r="T10">
        <f t="shared" si="8"/>
        <v>1.0220994475138121</v>
      </c>
    </row>
    <row r="11" spans="1:20" x14ac:dyDescent="0.35">
      <c r="A11">
        <v>8</v>
      </c>
      <c r="B11">
        <v>2005</v>
      </c>
      <c r="C11" s="14">
        <v>331</v>
      </c>
      <c r="D11" s="14">
        <f t="shared" si="0"/>
        <v>352.11780000000005</v>
      </c>
      <c r="E11" s="14">
        <f t="shared" si="0"/>
        <v>361.88229999999999</v>
      </c>
      <c r="F11" s="14">
        <f t="shared" si="0"/>
        <v>291.28000000000003</v>
      </c>
      <c r="G11" s="14">
        <f t="shared" si="0"/>
        <v>323.94970000000001</v>
      </c>
      <c r="H11" s="14">
        <f t="shared" si="7"/>
        <v>331</v>
      </c>
      <c r="I11" s="14">
        <f t="shared" si="12"/>
        <v>420.37</v>
      </c>
      <c r="J11" s="14">
        <f t="shared" si="9"/>
        <v>447.18960600000003</v>
      </c>
      <c r="K11" s="14">
        <f t="shared" si="10"/>
        <v>459.59052099999997</v>
      </c>
      <c r="L11" s="14">
        <f t="shared" si="13"/>
        <v>361.18720000000002</v>
      </c>
      <c r="M11" s="14">
        <f t="shared" si="11"/>
        <v>6.7551300000000083</v>
      </c>
      <c r="O11">
        <v>2040</v>
      </c>
      <c r="P11">
        <v>352</v>
      </c>
      <c r="Q11">
        <v>367</v>
      </c>
      <c r="R11">
        <f t="shared" si="6"/>
        <v>0.95912806539509532</v>
      </c>
      <c r="S11">
        <v>375</v>
      </c>
      <c r="T11">
        <f t="shared" si="8"/>
        <v>1.0217983651226159</v>
      </c>
    </row>
    <row r="12" spans="1:20" x14ac:dyDescent="0.35">
      <c r="A12">
        <v>9</v>
      </c>
      <c r="B12">
        <v>2020</v>
      </c>
      <c r="C12" s="14">
        <v>335</v>
      </c>
      <c r="D12" s="14">
        <f t="shared" si="0"/>
        <v>356.37300000000005</v>
      </c>
      <c r="E12" s="14">
        <f t="shared" si="0"/>
        <v>366.25549999999998</v>
      </c>
      <c r="F12" s="14">
        <f t="shared" si="0"/>
        <v>294.8</v>
      </c>
      <c r="G12" s="14">
        <f t="shared" si="0"/>
        <v>327.86450000000002</v>
      </c>
      <c r="H12" s="14">
        <f t="shared" si="7"/>
        <v>335</v>
      </c>
      <c r="I12" s="14">
        <f t="shared" si="12"/>
        <v>425.45</v>
      </c>
      <c r="J12" s="14">
        <f t="shared" si="9"/>
        <v>452.59371000000004</v>
      </c>
      <c r="K12" s="14">
        <f t="shared" si="10"/>
        <v>465.14448499999997</v>
      </c>
      <c r="L12" s="14">
        <f t="shared" si="13"/>
        <v>365.55200000000002</v>
      </c>
      <c r="M12" s="14">
        <f t="shared" si="11"/>
        <v>5.404104000000018</v>
      </c>
      <c r="O12">
        <v>2060</v>
      </c>
      <c r="P12">
        <v>356</v>
      </c>
      <c r="Q12">
        <v>372</v>
      </c>
      <c r="R12">
        <f t="shared" si="6"/>
        <v>0.956989247311828</v>
      </c>
      <c r="S12">
        <v>380</v>
      </c>
      <c r="T12">
        <f t="shared" si="8"/>
        <v>1.021505376344086</v>
      </c>
    </row>
    <row r="13" spans="1:20" x14ac:dyDescent="0.35">
      <c r="A13">
        <v>10</v>
      </c>
      <c r="B13">
        <v>2040</v>
      </c>
      <c r="C13" s="14">
        <v>339</v>
      </c>
      <c r="D13" s="14">
        <f t="shared" si="0"/>
        <v>360.62820000000005</v>
      </c>
      <c r="E13" s="14">
        <f t="shared" si="0"/>
        <v>370.62869999999998</v>
      </c>
      <c r="F13" s="14">
        <f t="shared" si="0"/>
        <v>298.32</v>
      </c>
      <c r="G13" s="14">
        <f t="shared" si="0"/>
        <v>331.77929999999998</v>
      </c>
      <c r="H13" s="14">
        <f t="shared" si="7"/>
        <v>339</v>
      </c>
      <c r="I13" s="14">
        <f t="shared" si="12"/>
        <v>430.53000000000003</v>
      </c>
      <c r="J13" s="14">
        <f t="shared" si="9"/>
        <v>457.99781400000001</v>
      </c>
      <c r="K13" s="14">
        <f t="shared" si="10"/>
        <v>470.69844899999998</v>
      </c>
      <c r="L13" s="14">
        <f t="shared" si="13"/>
        <v>369.91679999999997</v>
      </c>
      <c r="M13" s="14">
        <f t="shared" si="11"/>
        <v>5.4041039999999612</v>
      </c>
    </row>
    <row r="14" spans="1:20" x14ac:dyDescent="0.35">
      <c r="A14">
        <v>11</v>
      </c>
      <c r="B14">
        <v>2060</v>
      </c>
      <c r="C14" s="14">
        <v>343</v>
      </c>
      <c r="D14" s="14">
        <f t="shared" ref="D14:F14" si="14">$C14*D$1</f>
        <v>364.88340000000005</v>
      </c>
      <c r="E14" s="14">
        <f t="shared" si="14"/>
        <v>375.00189999999998</v>
      </c>
      <c r="F14" s="14">
        <f t="shared" si="14"/>
        <v>301.83999999999997</v>
      </c>
      <c r="G14" s="14">
        <f>$C14*G$1</f>
        <v>335.69409999999999</v>
      </c>
      <c r="H14" s="14">
        <f>$C14*H$1</f>
        <v>343</v>
      </c>
      <c r="I14" s="14">
        <f>$C14*I$1</f>
        <v>435.61</v>
      </c>
      <c r="J14" s="14">
        <f>$C14*J$1</f>
        <v>463.40191800000002</v>
      </c>
      <c r="K14" s="14">
        <f>$C14*K$1</f>
        <v>476.25241299999999</v>
      </c>
      <c r="L14" s="14">
        <f t="shared" si="13"/>
        <v>374.28159999999997</v>
      </c>
      <c r="M14" s="14">
        <f t="shared" si="11"/>
        <v>5.404104000000018</v>
      </c>
    </row>
    <row r="16" spans="1:20" x14ac:dyDescent="0.35">
      <c r="A16" t="s">
        <v>5</v>
      </c>
      <c r="C16" s="14">
        <v>1</v>
      </c>
      <c r="D16">
        <v>0.85</v>
      </c>
      <c r="E16">
        <v>0.72</v>
      </c>
      <c r="F16">
        <v>0.8075</v>
      </c>
      <c r="G16">
        <v>0.68400000000000005</v>
      </c>
      <c r="H16">
        <v>0.56000000000000005</v>
      </c>
      <c r="I16" s="14">
        <f>0.56*D16</f>
        <v>0.47600000000000003</v>
      </c>
      <c r="J16">
        <f>0.56*E16</f>
        <v>0.4032</v>
      </c>
    </row>
    <row r="17" spans="1:16" x14ac:dyDescent="0.35">
      <c r="A17" t="s">
        <v>235</v>
      </c>
      <c r="B17" t="s">
        <v>570</v>
      </c>
      <c r="C17" t="s">
        <v>931</v>
      </c>
      <c r="D17" t="s">
        <v>932</v>
      </c>
      <c r="E17" t="s">
        <v>933</v>
      </c>
      <c r="F17" t="s">
        <v>940</v>
      </c>
      <c r="G17" t="s">
        <v>941</v>
      </c>
      <c r="H17" t="s">
        <v>942</v>
      </c>
      <c r="I17" t="s">
        <v>943</v>
      </c>
      <c r="J17" t="s">
        <v>944</v>
      </c>
      <c r="K17" t="s">
        <v>920</v>
      </c>
    </row>
    <row r="18" spans="1:16" x14ac:dyDescent="0.35">
      <c r="A18">
        <v>0</v>
      </c>
      <c r="B18">
        <v>1945</v>
      </c>
      <c r="C18">
        <v>34</v>
      </c>
      <c r="D18" s="31">
        <f t="shared" ref="D18:J29" si="15">$C18*D$16</f>
        <v>28.9</v>
      </c>
      <c r="E18" s="31">
        <f t="shared" si="15"/>
        <v>24.48</v>
      </c>
      <c r="F18" s="31">
        <f t="shared" si="15"/>
        <v>27.454999999999998</v>
      </c>
      <c r="G18" s="31">
        <f t="shared" si="15"/>
        <v>23.256</v>
      </c>
      <c r="H18" s="31">
        <f t="shared" si="15"/>
        <v>19.040000000000003</v>
      </c>
      <c r="I18" s="31">
        <f t="shared" si="15"/>
        <v>16.184000000000001</v>
      </c>
      <c r="J18" s="31">
        <f t="shared" si="15"/>
        <v>13.7088</v>
      </c>
    </row>
    <row r="19" spans="1:16" x14ac:dyDescent="0.35">
      <c r="A19">
        <v>1</v>
      </c>
      <c r="B19">
        <v>1955</v>
      </c>
      <c r="C19">
        <v>44</v>
      </c>
      <c r="D19" s="13">
        <f t="shared" si="15"/>
        <v>37.4</v>
      </c>
      <c r="E19" s="31">
        <f t="shared" si="15"/>
        <v>31.68</v>
      </c>
      <c r="F19" s="31">
        <f t="shared" si="15"/>
        <v>35.53</v>
      </c>
      <c r="G19" s="31">
        <f t="shared" si="15"/>
        <v>30.096000000000004</v>
      </c>
      <c r="H19" s="31">
        <f t="shared" si="15"/>
        <v>24.64</v>
      </c>
      <c r="I19" s="31">
        <f t="shared" si="15"/>
        <v>20.944000000000003</v>
      </c>
      <c r="J19" s="31">
        <f t="shared" si="15"/>
        <v>17.7408</v>
      </c>
      <c r="K19" s="72">
        <f>C19/C18</f>
        <v>1.2941176470588236</v>
      </c>
    </row>
    <row r="20" spans="1:16" x14ac:dyDescent="0.35">
      <c r="A20">
        <v>2</v>
      </c>
      <c r="B20">
        <v>1960</v>
      </c>
      <c r="C20">
        <v>54</v>
      </c>
      <c r="D20" s="13">
        <f t="shared" si="15"/>
        <v>45.9</v>
      </c>
      <c r="E20" s="31">
        <f t="shared" si="15"/>
        <v>38.879999999999995</v>
      </c>
      <c r="F20" s="13">
        <f t="shared" si="15"/>
        <v>43.604999999999997</v>
      </c>
      <c r="G20" s="13">
        <f t="shared" si="15"/>
        <v>36.936</v>
      </c>
      <c r="H20" s="31">
        <f t="shared" si="15"/>
        <v>30.240000000000002</v>
      </c>
      <c r="I20" s="31">
        <f t="shared" si="15"/>
        <v>25.704000000000001</v>
      </c>
      <c r="J20" s="31">
        <f t="shared" si="15"/>
        <v>21.7728</v>
      </c>
      <c r="K20" s="72">
        <f t="shared" ref="K20:K29" si="16">C20/C19</f>
        <v>1.2272727272727273</v>
      </c>
    </row>
    <row r="21" spans="1:16" x14ac:dyDescent="0.35">
      <c r="A21">
        <v>3</v>
      </c>
      <c r="B21">
        <v>1965</v>
      </c>
      <c r="C21">
        <v>64</v>
      </c>
      <c r="D21" s="13">
        <f t="shared" si="15"/>
        <v>54.4</v>
      </c>
      <c r="E21" s="13">
        <f t="shared" si="15"/>
        <v>46.08</v>
      </c>
      <c r="F21" s="13">
        <f t="shared" si="15"/>
        <v>51.68</v>
      </c>
      <c r="G21" s="13">
        <f t="shared" si="15"/>
        <v>43.776000000000003</v>
      </c>
      <c r="H21" s="31">
        <f t="shared" si="15"/>
        <v>35.840000000000003</v>
      </c>
      <c r="I21" s="13">
        <f t="shared" si="15"/>
        <v>30.464000000000002</v>
      </c>
      <c r="J21" s="31">
        <f t="shared" si="15"/>
        <v>25.8048</v>
      </c>
      <c r="K21" s="72">
        <f t="shared" si="16"/>
        <v>1.1851851851851851</v>
      </c>
      <c r="L21" s="70"/>
      <c r="M21" s="70"/>
      <c r="N21" s="70"/>
      <c r="O21" s="70"/>
      <c r="P21" s="70"/>
    </row>
    <row r="22" spans="1:16" x14ac:dyDescent="0.35">
      <c r="A22">
        <v>4</v>
      </c>
      <c r="B22">
        <v>1970</v>
      </c>
      <c r="C22">
        <v>74</v>
      </c>
      <c r="D22" s="13">
        <f t="shared" si="15"/>
        <v>62.9</v>
      </c>
      <c r="E22" s="13">
        <f t="shared" si="15"/>
        <v>53.28</v>
      </c>
      <c r="F22" s="13">
        <f t="shared" si="15"/>
        <v>59.755000000000003</v>
      </c>
      <c r="G22" s="13">
        <f t="shared" si="15"/>
        <v>50.616000000000007</v>
      </c>
      <c r="H22" s="31">
        <f t="shared" si="15"/>
        <v>41.440000000000005</v>
      </c>
      <c r="I22" s="13">
        <f t="shared" si="15"/>
        <v>35.224000000000004</v>
      </c>
      <c r="J22" s="31">
        <f t="shared" si="15"/>
        <v>29.8368</v>
      </c>
      <c r="K22" s="72">
        <f t="shared" si="16"/>
        <v>1.15625</v>
      </c>
    </row>
    <row r="23" spans="1:16" x14ac:dyDescent="0.35">
      <c r="A23">
        <v>5</v>
      </c>
      <c r="B23">
        <v>1975</v>
      </c>
      <c r="C23">
        <v>84</v>
      </c>
      <c r="D23" s="13">
        <f t="shared" si="15"/>
        <v>71.399999999999991</v>
      </c>
      <c r="E23" s="13">
        <f t="shared" si="15"/>
        <v>60.48</v>
      </c>
      <c r="F23" s="13">
        <f t="shared" si="15"/>
        <v>67.83</v>
      </c>
      <c r="G23" s="13">
        <f t="shared" si="15"/>
        <v>57.456000000000003</v>
      </c>
      <c r="H23" s="31">
        <f t="shared" si="15"/>
        <v>47.040000000000006</v>
      </c>
      <c r="I23" s="13">
        <f t="shared" si="15"/>
        <v>39.984000000000002</v>
      </c>
      <c r="J23" s="13">
        <f t="shared" si="15"/>
        <v>33.8688</v>
      </c>
      <c r="K23" s="72">
        <f t="shared" si="16"/>
        <v>1.1351351351351351</v>
      </c>
    </row>
    <row r="24" spans="1:16" x14ac:dyDescent="0.35">
      <c r="A24">
        <v>6</v>
      </c>
      <c r="B24">
        <v>1980</v>
      </c>
      <c r="C24">
        <v>100</v>
      </c>
      <c r="D24" s="13">
        <f t="shared" si="15"/>
        <v>85</v>
      </c>
      <c r="E24" s="13">
        <f t="shared" si="15"/>
        <v>72</v>
      </c>
      <c r="F24" s="13">
        <f t="shared" si="15"/>
        <v>80.75</v>
      </c>
      <c r="G24" s="13">
        <f t="shared" si="15"/>
        <v>68.400000000000006</v>
      </c>
      <c r="H24" s="13">
        <f t="shared" si="15"/>
        <v>56.000000000000007</v>
      </c>
      <c r="I24" s="13">
        <f t="shared" si="15"/>
        <v>47.6</v>
      </c>
      <c r="J24" s="13">
        <f t="shared" si="15"/>
        <v>40.32</v>
      </c>
      <c r="K24" s="72">
        <f t="shared" si="16"/>
        <v>1.1904761904761905</v>
      </c>
    </row>
    <row r="25" spans="1:16" x14ac:dyDescent="0.35">
      <c r="A25">
        <v>7</v>
      </c>
      <c r="B25">
        <v>1995</v>
      </c>
      <c r="C25">
        <v>125</v>
      </c>
      <c r="D25" s="13">
        <f t="shared" si="15"/>
        <v>106.25</v>
      </c>
      <c r="E25" s="13">
        <f t="shared" si="15"/>
        <v>90</v>
      </c>
      <c r="F25" s="13">
        <f t="shared" si="15"/>
        <v>100.9375</v>
      </c>
      <c r="G25" s="13">
        <f t="shared" si="15"/>
        <v>85.5</v>
      </c>
      <c r="H25" s="13">
        <f t="shared" si="15"/>
        <v>70</v>
      </c>
      <c r="I25" s="13">
        <f t="shared" si="15"/>
        <v>59.500000000000007</v>
      </c>
      <c r="J25" s="13">
        <f t="shared" si="15"/>
        <v>50.4</v>
      </c>
      <c r="K25" s="72">
        <f t="shared" si="16"/>
        <v>1.25</v>
      </c>
    </row>
    <row r="26" spans="1:16" x14ac:dyDescent="0.35">
      <c r="A26">
        <v>8</v>
      </c>
      <c r="B26">
        <v>2005</v>
      </c>
      <c r="C26">
        <v>150</v>
      </c>
      <c r="D26" s="13">
        <f t="shared" si="15"/>
        <v>127.5</v>
      </c>
      <c r="E26" s="13">
        <f t="shared" si="15"/>
        <v>108</v>
      </c>
      <c r="F26" s="13">
        <f t="shared" si="15"/>
        <v>121.125</v>
      </c>
      <c r="G26" s="13">
        <f t="shared" si="15"/>
        <v>102.60000000000001</v>
      </c>
      <c r="H26" s="13">
        <f t="shared" si="15"/>
        <v>84.000000000000014</v>
      </c>
      <c r="I26" s="13">
        <f t="shared" si="15"/>
        <v>71.400000000000006</v>
      </c>
      <c r="J26" s="13">
        <f t="shared" si="15"/>
        <v>60.480000000000004</v>
      </c>
      <c r="K26" s="72">
        <f t="shared" si="16"/>
        <v>1.2</v>
      </c>
    </row>
    <row r="27" spans="1:16" x14ac:dyDescent="0.35">
      <c r="A27">
        <v>9</v>
      </c>
      <c r="B27">
        <v>2020</v>
      </c>
      <c r="C27">
        <v>175</v>
      </c>
      <c r="D27" s="13">
        <f t="shared" si="15"/>
        <v>148.75</v>
      </c>
      <c r="E27" s="13">
        <f t="shared" si="15"/>
        <v>126</v>
      </c>
      <c r="F27" s="13">
        <f t="shared" si="15"/>
        <v>141.3125</v>
      </c>
      <c r="G27" s="13">
        <f t="shared" si="15"/>
        <v>119.7</v>
      </c>
      <c r="H27" s="13">
        <f t="shared" si="15"/>
        <v>98.000000000000014</v>
      </c>
      <c r="I27" s="13">
        <f t="shared" si="15"/>
        <v>83.300000000000011</v>
      </c>
      <c r="J27" s="13">
        <f t="shared" si="15"/>
        <v>70.56</v>
      </c>
      <c r="K27" s="72">
        <f t="shared" si="16"/>
        <v>1.1666666666666667</v>
      </c>
    </row>
    <row r="28" spans="1:16" x14ac:dyDescent="0.35">
      <c r="A28">
        <v>10</v>
      </c>
      <c r="B28">
        <v>2040</v>
      </c>
      <c r="C28">
        <v>200</v>
      </c>
      <c r="D28" s="13">
        <f t="shared" si="15"/>
        <v>170</v>
      </c>
      <c r="E28" s="13">
        <f t="shared" si="15"/>
        <v>144</v>
      </c>
      <c r="F28" s="13">
        <f t="shared" si="15"/>
        <v>161.5</v>
      </c>
      <c r="G28" s="13">
        <f t="shared" si="15"/>
        <v>136.80000000000001</v>
      </c>
      <c r="H28" s="13">
        <f t="shared" si="15"/>
        <v>112.00000000000001</v>
      </c>
      <c r="I28" s="13">
        <f t="shared" si="15"/>
        <v>95.2</v>
      </c>
      <c r="J28" s="13">
        <f t="shared" si="15"/>
        <v>80.64</v>
      </c>
      <c r="K28" s="72">
        <f t="shared" si="16"/>
        <v>1.1428571428571428</v>
      </c>
    </row>
    <row r="29" spans="1:16" x14ac:dyDescent="0.35">
      <c r="A29">
        <v>11</v>
      </c>
      <c r="B29">
        <v>2060</v>
      </c>
      <c r="C29">
        <v>225</v>
      </c>
      <c r="D29" s="13">
        <f t="shared" si="15"/>
        <v>191.25</v>
      </c>
      <c r="E29" s="13">
        <f t="shared" si="15"/>
        <v>162</v>
      </c>
      <c r="F29" s="13">
        <f t="shared" si="15"/>
        <v>181.6875</v>
      </c>
      <c r="G29" s="13">
        <f t="shared" si="15"/>
        <v>153.9</v>
      </c>
      <c r="H29" s="13">
        <f t="shared" si="15"/>
        <v>126.00000000000001</v>
      </c>
      <c r="I29" s="13">
        <f t="shared" si="15"/>
        <v>107.10000000000001</v>
      </c>
      <c r="J29" s="13">
        <f t="shared" si="15"/>
        <v>90.72</v>
      </c>
      <c r="K29" s="72">
        <f t="shared" si="16"/>
        <v>1.125</v>
      </c>
    </row>
    <row r="30" spans="1:16" x14ac:dyDescent="0.35">
      <c r="A30" t="s">
        <v>5</v>
      </c>
      <c r="B30">
        <v>1.6</v>
      </c>
    </row>
    <row r="31" spans="1:16" x14ac:dyDescent="0.35">
      <c r="A31" t="s">
        <v>3</v>
      </c>
      <c r="B31">
        <v>1.65</v>
      </c>
    </row>
    <row r="32" spans="1:16" x14ac:dyDescent="0.35">
      <c r="A32" t="s">
        <v>48</v>
      </c>
      <c r="B32">
        <f>B30*B31*9.8202</f>
        <v>25.925328</v>
      </c>
    </row>
    <row r="36" spans="1:8" x14ac:dyDescent="0.35">
      <c r="A36" t="s">
        <v>261</v>
      </c>
    </row>
    <row r="37" spans="1:8" x14ac:dyDescent="0.35">
      <c r="A37" t="s">
        <v>235</v>
      </c>
      <c r="B37" t="s">
        <v>570</v>
      </c>
      <c r="C37" t="s">
        <v>5</v>
      </c>
      <c r="D37" t="s">
        <v>14</v>
      </c>
      <c r="E37" t="s">
        <v>946</v>
      </c>
      <c r="F37" t="s">
        <v>947</v>
      </c>
    </row>
    <row r="38" spans="1:8" x14ac:dyDescent="0.35">
      <c r="A38">
        <v>1</v>
      </c>
      <c r="B38">
        <v>1975</v>
      </c>
      <c r="C38">
        <v>1.6</v>
      </c>
      <c r="D38">
        <v>890</v>
      </c>
    </row>
    <row r="39" spans="1:8" x14ac:dyDescent="0.35">
      <c r="A39">
        <v>2</v>
      </c>
      <c r="B39">
        <v>1985</v>
      </c>
      <c r="C39">
        <v>2.6</v>
      </c>
      <c r="D39">
        <v>935</v>
      </c>
      <c r="E39">
        <f>C39/C38</f>
        <v>1.625</v>
      </c>
      <c r="F39">
        <f>D39-D38</f>
        <v>45</v>
      </c>
    </row>
    <row r="40" spans="1:8" x14ac:dyDescent="0.35">
      <c r="A40">
        <v>3</v>
      </c>
      <c r="B40">
        <v>1995</v>
      </c>
      <c r="C40">
        <v>4.5</v>
      </c>
      <c r="D40">
        <v>980</v>
      </c>
      <c r="E40">
        <f t="shared" ref="E40:E44" si="17">C40/C39</f>
        <v>1.7307692307692306</v>
      </c>
      <c r="F40">
        <f t="shared" ref="F40:F44" si="18">D40-D39</f>
        <v>45</v>
      </c>
    </row>
    <row r="41" spans="1:8" x14ac:dyDescent="0.35">
      <c r="A41">
        <v>4</v>
      </c>
      <c r="B41">
        <v>2005</v>
      </c>
      <c r="C41">
        <v>8.5</v>
      </c>
      <c r="D41">
        <v>1020</v>
      </c>
      <c r="E41">
        <f t="shared" si="17"/>
        <v>1.8888888888888888</v>
      </c>
      <c r="F41">
        <f t="shared" si="18"/>
        <v>40</v>
      </c>
    </row>
    <row r="42" spans="1:8" x14ac:dyDescent="0.35">
      <c r="A42">
        <v>5</v>
      </c>
      <c r="B42">
        <v>2020</v>
      </c>
      <c r="C42">
        <v>11</v>
      </c>
      <c r="D42">
        <v>1070</v>
      </c>
      <c r="E42">
        <f t="shared" si="17"/>
        <v>1.2941176470588236</v>
      </c>
      <c r="F42">
        <f t="shared" si="18"/>
        <v>50</v>
      </c>
    </row>
    <row r="43" spans="1:8" x14ac:dyDescent="0.35">
      <c r="A43">
        <v>6</v>
      </c>
      <c r="B43">
        <v>2040</v>
      </c>
      <c r="C43">
        <v>14</v>
      </c>
      <c r="D43">
        <v>1130</v>
      </c>
      <c r="E43">
        <f t="shared" si="17"/>
        <v>1.2727272727272727</v>
      </c>
      <c r="F43">
        <f t="shared" si="18"/>
        <v>60</v>
      </c>
    </row>
    <row r="44" spans="1:8" x14ac:dyDescent="0.35">
      <c r="A44">
        <v>7</v>
      </c>
      <c r="B44">
        <v>2060</v>
      </c>
      <c r="C44">
        <v>17</v>
      </c>
      <c r="D44">
        <v>1200</v>
      </c>
      <c r="E44">
        <f t="shared" si="17"/>
        <v>1.2142857142857142</v>
      </c>
      <c r="F44">
        <f t="shared" si="18"/>
        <v>70</v>
      </c>
    </row>
    <row r="46" spans="1:8" x14ac:dyDescent="0.35">
      <c r="A46" t="s">
        <v>262</v>
      </c>
    </row>
    <row r="47" spans="1:8" x14ac:dyDescent="0.35">
      <c r="A47" t="s">
        <v>235</v>
      </c>
      <c r="B47" t="s">
        <v>570</v>
      </c>
      <c r="C47" t="s">
        <v>5</v>
      </c>
      <c r="D47" t="s">
        <v>14</v>
      </c>
      <c r="E47" t="s">
        <v>43</v>
      </c>
      <c r="F47" t="s">
        <v>946</v>
      </c>
      <c r="G47" t="s">
        <v>948</v>
      </c>
      <c r="H47" t="s">
        <v>949</v>
      </c>
    </row>
    <row r="48" spans="1:8" x14ac:dyDescent="0.35">
      <c r="A48">
        <v>1</v>
      </c>
      <c r="B48">
        <v>1975</v>
      </c>
      <c r="C48">
        <v>7</v>
      </c>
      <c r="D48">
        <v>825</v>
      </c>
      <c r="E48">
        <v>675</v>
      </c>
    </row>
    <row r="49" spans="1:8" x14ac:dyDescent="0.35">
      <c r="A49">
        <v>2</v>
      </c>
      <c r="B49">
        <v>1985</v>
      </c>
      <c r="C49">
        <v>10</v>
      </c>
      <c r="D49">
        <v>870</v>
      </c>
      <c r="E49">
        <v>725</v>
      </c>
      <c r="F49">
        <f>C49/C48</f>
        <v>1.4285714285714286</v>
      </c>
      <c r="G49">
        <f>D49-D48</f>
        <v>45</v>
      </c>
      <c r="H49">
        <f>E49-E48</f>
        <v>50</v>
      </c>
    </row>
    <row r="50" spans="1:8" x14ac:dyDescent="0.35">
      <c r="A50">
        <v>3</v>
      </c>
      <c r="B50">
        <v>1995</v>
      </c>
      <c r="C50">
        <v>13</v>
      </c>
      <c r="D50">
        <v>920</v>
      </c>
      <c r="E50">
        <v>760</v>
      </c>
      <c r="F50">
        <f t="shared" ref="F50:F54" si="19">C50/C49</f>
        <v>1.3</v>
      </c>
      <c r="G50">
        <f t="shared" ref="G50:G54" si="20">D50-D49</f>
        <v>50</v>
      </c>
      <c r="H50">
        <f t="shared" ref="H50:H54" si="21">E50-E49</f>
        <v>35</v>
      </c>
    </row>
    <row r="51" spans="1:8" x14ac:dyDescent="0.35">
      <c r="A51">
        <v>4</v>
      </c>
      <c r="B51">
        <v>2005</v>
      </c>
      <c r="C51">
        <v>16</v>
      </c>
      <c r="D51">
        <v>960</v>
      </c>
      <c r="E51">
        <v>800</v>
      </c>
      <c r="F51">
        <f t="shared" si="19"/>
        <v>1.2307692307692308</v>
      </c>
      <c r="G51">
        <f t="shared" si="20"/>
        <v>40</v>
      </c>
      <c r="H51">
        <f t="shared" si="21"/>
        <v>40</v>
      </c>
    </row>
    <row r="52" spans="1:8" x14ac:dyDescent="0.35">
      <c r="A52">
        <v>5</v>
      </c>
      <c r="B52">
        <v>2020</v>
      </c>
      <c r="C52">
        <v>19</v>
      </c>
      <c r="D52">
        <v>1000</v>
      </c>
      <c r="E52">
        <v>840</v>
      </c>
      <c r="F52">
        <f t="shared" si="19"/>
        <v>1.1875</v>
      </c>
      <c r="G52">
        <f t="shared" si="20"/>
        <v>40</v>
      </c>
      <c r="H52">
        <f t="shared" si="21"/>
        <v>40</v>
      </c>
    </row>
    <row r="53" spans="1:8" x14ac:dyDescent="0.35">
      <c r="A53">
        <v>6</v>
      </c>
      <c r="B53">
        <v>2040</v>
      </c>
      <c r="C53">
        <v>22</v>
      </c>
      <c r="D53">
        <v>1040</v>
      </c>
      <c r="E53">
        <v>880</v>
      </c>
      <c r="F53">
        <f t="shared" si="19"/>
        <v>1.1578947368421053</v>
      </c>
      <c r="G53">
        <f t="shared" si="20"/>
        <v>40</v>
      </c>
      <c r="H53">
        <f t="shared" si="21"/>
        <v>40</v>
      </c>
    </row>
    <row r="54" spans="1:8" x14ac:dyDescent="0.35">
      <c r="A54">
        <v>7</v>
      </c>
      <c r="B54">
        <v>2060</v>
      </c>
      <c r="C54">
        <v>25</v>
      </c>
      <c r="D54">
        <v>1080</v>
      </c>
      <c r="E54">
        <v>920</v>
      </c>
      <c r="F54">
        <f t="shared" si="19"/>
        <v>1.1363636363636365</v>
      </c>
      <c r="G54">
        <f t="shared" si="20"/>
        <v>40</v>
      </c>
      <c r="H54">
        <f t="shared" si="21"/>
        <v>40</v>
      </c>
    </row>
    <row r="57" spans="1:8" x14ac:dyDescent="0.35">
      <c r="A57" t="s">
        <v>1085</v>
      </c>
      <c r="B57" t="s">
        <v>5</v>
      </c>
      <c r="C57" t="s">
        <v>571</v>
      </c>
    </row>
    <row r="58" spans="1:8" x14ac:dyDescent="0.35">
      <c r="A58">
        <v>1955</v>
      </c>
      <c r="B58">
        <v>3.8</v>
      </c>
    </row>
    <row r="59" spans="1:8" x14ac:dyDescent="0.35">
      <c r="A59">
        <v>1960</v>
      </c>
      <c r="B59">
        <v>4.5</v>
      </c>
      <c r="C59">
        <f>B59/B58</f>
        <v>1.1842105263157896</v>
      </c>
    </row>
    <row r="60" spans="1:8" x14ac:dyDescent="0.35">
      <c r="A60">
        <v>1965</v>
      </c>
      <c r="B60">
        <v>5.8</v>
      </c>
      <c r="C60">
        <f t="shared" ref="C60:C67" si="22">B60/B59</f>
        <v>1.2888888888888888</v>
      </c>
    </row>
    <row r="61" spans="1:8" x14ac:dyDescent="0.35">
      <c r="A61">
        <v>1970</v>
      </c>
      <c r="B61">
        <v>6.5</v>
      </c>
      <c r="C61">
        <f t="shared" si="22"/>
        <v>1.1206896551724139</v>
      </c>
    </row>
    <row r="62" spans="1:8" x14ac:dyDescent="0.35">
      <c r="A62">
        <v>1975</v>
      </c>
      <c r="B62">
        <v>7.7</v>
      </c>
      <c r="C62">
        <f t="shared" si="22"/>
        <v>1.1846153846153846</v>
      </c>
    </row>
    <row r="63" spans="1:8" x14ac:dyDescent="0.35">
      <c r="A63">
        <v>1980</v>
      </c>
      <c r="B63">
        <v>9.1999999999999993</v>
      </c>
      <c r="C63">
        <f t="shared" si="22"/>
        <v>1.1948051948051948</v>
      </c>
    </row>
    <row r="64" spans="1:8" x14ac:dyDescent="0.35">
      <c r="A64">
        <v>1995</v>
      </c>
      <c r="B64">
        <v>10.4</v>
      </c>
      <c r="C64">
        <f t="shared" si="22"/>
        <v>1.1304347826086958</v>
      </c>
    </row>
    <row r="65" spans="1:3" x14ac:dyDescent="0.35">
      <c r="A65">
        <v>2005</v>
      </c>
      <c r="B65">
        <v>11.8</v>
      </c>
      <c r="C65">
        <f t="shared" si="22"/>
        <v>1.1346153846153846</v>
      </c>
    </row>
    <row r="66" spans="1:3" x14ac:dyDescent="0.35">
      <c r="A66">
        <v>2020</v>
      </c>
      <c r="B66">
        <v>12</v>
      </c>
      <c r="C66">
        <f t="shared" si="22"/>
        <v>1.0169491525423728</v>
      </c>
    </row>
    <row r="67" spans="1:3" x14ac:dyDescent="0.35">
      <c r="A67">
        <v>2040</v>
      </c>
      <c r="B67">
        <v>12.25</v>
      </c>
      <c r="C67">
        <f t="shared" si="22"/>
        <v>1.0208333333333333</v>
      </c>
    </row>
    <row r="69" spans="1:3" x14ac:dyDescent="0.35">
      <c r="A69" t="s">
        <v>1087</v>
      </c>
      <c r="B69">
        <v>1000</v>
      </c>
    </row>
    <row r="70" spans="1:3" x14ac:dyDescent="0.35">
      <c r="A70" t="s">
        <v>1088</v>
      </c>
    </row>
    <row r="71" spans="1:3" x14ac:dyDescent="0.35">
      <c r="A71" t="s">
        <v>1089</v>
      </c>
      <c r="B71">
        <v>1.6</v>
      </c>
    </row>
    <row r="72" spans="1:3" x14ac:dyDescent="0.35">
      <c r="A72" t="s">
        <v>48</v>
      </c>
      <c r="B72">
        <v>12000</v>
      </c>
      <c r="C72" t="s">
        <v>1090</v>
      </c>
    </row>
    <row r="73" spans="1:3" x14ac:dyDescent="0.35">
      <c r="A73" t="s">
        <v>1091</v>
      </c>
      <c r="B73">
        <f>B69*(2^B71)</f>
        <v>3031.433133020796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1076-C2DE-470F-BA25-D731B29960F1}">
  <dimension ref="A1:R95"/>
  <sheetViews>
    <sheetView tabSelected="1" topLeftCell="A31" workbookViewId="0">
      <selection activeCell="O43" sqref="O43"/>
    </sheetView>
  </sheetViews>
  <sheetFormatPr defaultRowHeight="14.5" x14ac:dyDescent="0.35"/>
  <cols>
    <col min="1" max="1" width="10.90625" bestFit="1" customWidth="1"/>
    <col min="3" max="3" width="10" bestFit="1" customWidth="1"/>
    <col min="5" max="5" width="12.54296875" bestFit="1" customWidth="1"/>
    <col min="7" max="7" width="8.6328125" customWidth="1"/>
    <col min="17" max="17" width="63.7265625" bestFit="1" customWidth="1"/>
    <col min="18" max="18" width="27.08984375" bestFit="1" customWidth="1"/>
    <col min="20" max="20" width="16.08984375" bestFit="1" customWidth="1"/>
  </cols>
  <sheetData>
    <row r="1" spans="1:18" x14ac:dyDescent="0.35">
      <c r="A1" t="s">
        <v>1099</v>
      </c>
      <c r="B1" t="s">
        <v>84</v>
      </c>
      <c r="C1" t="s">
        <v>85</v>
      </c>
      <c r="D1" t="s">
        <v>86</v>
      </c>
      <c r="E1" t="s">
        <v>1101</v>
      </c>
      <c r="Q1" t="s">
        <v>1100</v>
      </c>
    </row>
    <row r="2" spans="1:18" x14ac:dyDescent="0.35">
      <c r="A2">
        <v>1945</v>
      </c>
      <c r="B2" s="28">
        <f>B29</f>
        <v>0</v>
      </c>
      <c r="C2" s="28">
        <f t="shared" ref="C2:E2" si="0">C29</f>
        <v>5</v>
      </c>
      <c r="D2" s="28">
        <f t="shared" si="0"/>
        <v>0</v>
      </c>
      <c r="E2" s="28">
        <f t="shared" si="0"/>
        <v>0</v>
      </c>
      <c r="N2" s="22" t="s">
        <v>1098</v>
      </c>
      <c r="O2" s="22" t="s">
        <v>159</v>
      </c>
      <c r="P2" s="22" t="s">
        <v>570</v>
      </c>
      <c r="Q2" s="22" t="s">
        <v>817</v>
      </c>
      <c r="R2" s="22" t="s">
        <v>818</v>
      </c>
    </row>
    <row r="3" spans="1:18" x14ac:dyDescent="0.35">
      <c r="A3">
        <v>1955</v>
      </c>
      <c r="B3" s="28">
        <f>B30+B2</f>
        <v>5</v>
      </c>
      <c r="C3" s="28">
        <f t="shared" ref="C3:E3" si="1">C30+C2</f>
        <v>5</v>
      </c>
      <c r="D3" s="28">
        <f t="shared" si="1"/>
        <v>0</v>
      </c>
      <c r="E3" s="28">
        <f t="shared" si="1"/>
        <v>0</v>
      </c>
      <c r="N3">
        <f>O3</f>
        <v>5</v>
      </c>
      <c r="O3">
        <v>5</v>
      </c>
      <c r="P3">
        <v>1945</v>
      </c>
      <c r="Q3" t="s">
        <v>747</v>
      </c>
    </row>
    <row r="4" spans="1:18" x14ac:dyDescent="0.35">
      <c r="A4">
        <v>1960</v>
      </c>
      <c r="B4" s="28">
        <f t="shared" ref="B4:B13" si="2">B31+B3</f>
        <v>10</v>
      </c>
      <c r="C4" s="28">
        <f t="shared" ref="C4:C13" si="3">C31+C3</f>
        <v>5</v>
      </c>
      <c r="D4" s="28">
        <f t="shared" ref="D4:D13" si="4">D31+D3</f>
        <v>0</v>
      </c>
      <c r="E4" s="28">
        <f t="shared" ref="E4:E13" si="5">E31+E3</f>
        <v>0</v>
      </c>
      <c r="N4">
        <f>O4+N3</f>
        <v>10</v>
      </c>
      <c r="O4">
        <v>5</v>
      </c>
      <c r="P4">
        <v>1955</v>
      </c>
      <c r="Q4" t="s">
        <v>748</v>
      </c>
    </row>
    <row r="5" spans="1:18" x14ac:dyDescent="0.35">
      <c r="A5">
        <v>1965</v>
      </c>
      <c r="B5" s="28">
        <f t="shared" si="2"/>
        <v>10</v>
      </c>
      <c r="C5" s="28">
        <f t="shared" si="3"/>
        <v>10</v>
      </c>
      <c r="D5" s="28">
        <f t="shared" si="4"/>
        <v>10</v>
      </c>
      <c r="E5" s="28">
        <f t="shared" si="5"/>
        <v>20</v>
      </c>
      <c r="N5">
        <f t="shared" ref="N5:N12" si="6">O5+N4</f>
        <v>22.5</v>
      </c>
      <c r="O5">
        <v>12.5</v>
      </c>
      <c r="P5">
        <v>1960</v>
      </c>
      <c r="Q5" t="s">
        <v>746</v>
      </c>
    </row>
    <row r="6" spans="1:18" x14ac:dyDescent="0.35">
      <c r="A6">
        <v>1970</v>
      </c>
      <c r="B6" s="28">
        <f t="shared" si="2"/>
        <v>15</v>
      </c>
      <c r="C6" s="28">
        <f t="shared" si="3"/>
        <v>10</v>
      </c>
      <c r="D6" s="28">
        <f t="shared" si="4"/>
        <v>10</v>
      </c>
      <c r="E6" s="28">
        <f t="shared" si="5"/>
        <v>20</v>
      </c>
      <c r="N6">
        <f t="shared" si="6"/>
        <v>32.5</v>
      </c>
      <c r="O6">
        <v>10</v>
      </c>
      <c r="P6">
        <v>1960</v>
      </c>
      <c r="Q6" t="s">
        <v>822</v>
      </c>
      <c r="R6" t="s">
        <v>823</v>
      </c>
    </row>
    <row r="7" spans="1:18" x14ac:dyDescent="0.35">
      <c r="A7">
        <v>1975</v>
      </c>
      <c r="B7" s="28">
        <f t="shared" si="2"/>
        <v>20</v>
      </c>
      <c r="C7" s="28">
        <f t="shared" si="3"/>
        <v>15</v>
      </c>
      <c r="D7" s="28">
        <f t="shared" si="4"/>
        <v>20</v>
      </c>
      <c r="E7" s="28">
        <f t="shared" si="5"/>
        <v>20</v>
      </c>
      <c r="N7">
        <f t="shared" si="6"/>
        <v>70</v>
      </c>
      <c r="O7">
        <f>5+(3.25*10)</f>
        <v>37.5</v>
      </c>
      <c r="P7">
        <v>1965</v>
      </c>
      <c r="Q7" t="s">
        <v>749</v>
      </c>
      <c r="R7" t="s">
        <v>821</v>
      </c>
    </row>
    <row r="8" spans="1:18" x14ac:dyDescent="0.35">
      <c r="A8">
        <v>1985</v>
      </c>
      <c r="B8" s="28">
        <f t="shared" si="2"/>
        <v>24</v>
      </c>
      <c r="C8" s="28">
        <f t="shared" si="3"/>
        <v>15</v>
      </c>
      <c r="D8" s="28">
        <f t="shared" si="4"/>
        <v>30</v>
      </c>
      <c r="E8" s="28">
        <f t="shared" si="5"/>
        <v>40</v>
      </c>
      <c r="N8">
        <f t="shared" si="6"/>
        <v>110</v>
      </c>
      <c r="O8">
        <f>4*10</f>
        <v>40</v>
      </c>
      <c r="P8">
        <v>1965</v>
      </c>
      <c r="Q8" t="s">
        <v>750</v>
      </c>
    </row>
    <row r="9" spans="1:18" x14ac:dyDescent="0.35">
      <c r="A9">
        <v>1995</v>
      </c>
      <c r="B9" s="28">
        <f t="shared" si="2"/>
        <v>28</v>
      </c>
      <c r="C9" s="28">
        <f t="shared" si="3"/>
        <v>20</v>
      </c>
      <c r="D9" s="28">
        <f t="shared" si="4"/>
        <v>30</v>
      </c>
      <c r="E9" s="28">
        <f t="shared" si="5"/>
        <v>40</v>
      </c>
      <c r="N9">
        <f t="shared" si="6"/>
        <v>200</v>
      </c>
      <c r="O9">
        <f>9*10</f>
        <v>90</v>
      </c>
      <c r="P9">
        <v>1965</v>
      </c>
      <c r="Q9" t="s">
        <v>815</v>
      </c>
    </row>
    <row r="10" spans="1:18" x14ac:dyDescent="0.35">
      <c r="A10">
        <v>2005</v>
      </c>
      <c r="B10" s="28">
        <f t="shared" si="2"/>
        <v>28</v>
      </c>
      <c r="C10" s="28">
        <f t="shared" si="3"/>
        <v>25</v>
      </c>
      <c r="D10" s="28">
        <f t="shared" si="4"/>
        <v>39</v>
      </c>
      <c r="E10" s="28">
        <f t="shared" si="5"/>
        <v>40</v>
      </c>
      <c r="N10">
        <f t="shared" si="6"/>
        <v>400</v>
      </c>
      <c r="O10">
        <v>200</v>
      </c>
      <c r="P10">
        <v>1970</v>
      </c>
      <c r="Q10" t="s">
        <v>824</v>
      </c>
    </row>
    <row r="11" spans="1:18" x14ac:dyDescent="0.35">
      <c r="A11">
        <v>2020</v>
      </c>
      <c r="B11" s="28">
        <f t="shared" si="2"/>
        <v>31</v>
      </c>
      <c r="C11" s="28">
        <f t="shared" si="3"/>
        <v>25</v>
      </c>
      <c r="D11" s="28">
        <f t="shared" si="4"/>
        <v>46</v>
      </c>
      <c r="E11" s="28">
        <f t="shared" si="5"/>
        <v>56</v>
      </c>
      <c r="N11">
        <f t="shared" si="6"/>
        <v>535</v>
      </c>
      <c r="O11">
        <v>135</v>
      </c>
      <c r="P11">
        <v>1970</v>
      </c>
      <c r="Q11" t="s">
        <v>755</v>
      </c>
    </row>
    <row r="12" spans="1:18" x14ac:dyDescent="0.35">
      <c r="A12">
        <v>2040</v>
      </c>
      <c r="B12" s="28">
        <f t="shared" si="2"/>
        <v>33</v>
      </c>
      <c r="C12" s="28">
        <f t="shared" si="3"/>
        <v>30</v>
      </c>
      <c r="D12" s="28">
        <f t="shared" si="4"/>
        <v>51</v>
      </c>
      <c r="E12" s="28">
        <f t="shared" si="5"/>
        <v>56</v>
      </c>
      <c r="N12">
        <f t="shared" si="6"/>
        <v>825</v>
      </c>
      <c r="O12">
        <f>100+190</f>
        <v>290</v>
      </c>
      <c r="P12">
        <v>1970</v>
      </c>
      <c r="Q12" t="s">
        <v>754</v>
      </c>
    </row>
    <row r="13" spans="1:18" x14ac:dyDescent="0.35">
      <c r="A13">
        <v>2060</v>
      </c>
      <c r="B13" s="28">
        <f t="shared" si="2"/>
        <v>35</v>
      </c>
      <c r="C13" s="28">
        <f t="shared" si="3"/>
        <v>35</v>
      </c>
      <c r="D13" s="28">
        <f t="shared" si="4"/>
        <v>54</v>
      </c>
      <c r="E13" s="28">
        <f t="shared" si="5"/>
        <v>68</v>
      </c>
      <c r="P13">
        <v>1970</v>
      </c>
      <c r="Q13" t="s">
        <v>761</v>
      </c>
    </row>
    <row r="14" spans="1:18" x14ac:dyDescent="0.35">
      <c r="P14">
        <v>1970</v>
      </c>
      <c r="Q14" t="s">
        <v>762</v>
      </c>
    </row>
    <row r="15" spans="1:18" x14ac:dyDescent="0.35">
      <c r="A15" t="s">
        <v>94</v>
      </c>
      <c r="B15" t="s">
        <v>84</v>
      </c>
      <c r="C15" t="s">
        <v>85</v>
      </c>
      <c r="D15" t="s">
        <v>86</v>
      </c>
      <c r="O15">
        <v>240</v>
      </c>
      <c r="P15">
        <v>1970</v>
      </c>
      <c r="Q15" t="s">
        <v>756</v>
      </c>
      <c r="R15" t="s">
        <v>751</v>
      </c>
    </row>
    <row r="16" spans="1:18" x14ac:dyDescent="0.35">
      <c r="A16">
        <v>1945</v>
      </c>
      <c r="B16" s="19"/>
      <c r="C16" s="28">
        <v>0.2</v>
      </c>
      <c r="D16" s="19"/>
      <c r="Q16" t="s">
        <v>757</v>
      </c>
      <c r="R16" t="s">
        <v>752</v>
      </c>
    </row>
    <row r="17" spans="1:18" x14ac:dyDescent="0.35">
      <c r="A17">
        <v>1955</v>
      </c>
      <c r="B17" s="28">
        <v>0.1</v>
      </c>
      <c r="C17" s="19"/>
      <c r="D17" s="19"/>
      <c r="Q17" t="s">
        <v>758</v>
      </c>
      <c r="R17" t="s">
        <v>753</v>
      </c>
    </row>
    <row r="18" spans="1:18" x14ac:dyDescent="0.35">
      <c r="A18">
        <v>1960</v>
      </c>
      <c r="B18" s="28">
        <v>0.125</v>
      </c>
      <c r="C18" s="19"/>
      <c r="D18" s="19"/>
      <c r="O18">
        <f>200+195</f>
        <v>395</v>
      </c>
      <c r="P18">
        <v>1975</v>
      </c>
      <c r="Q18" t="s">
        <v>760</v>
      </c>
      <c r="R18" t="s">
        <v>816</v>
      </c>
    </row>
    <row r="19" spans="1:18" x14ac:dyDescent="0.35">
      <c r="A19">
        <v>1965</v>
      </c>
      <c r="B19" s="19"/>
      <c r="C19" s="28">
        <v>0.125</v>
      </c>
      <c r="D19" s="28">
        <v>0.16</v>
      </c>
      <c r="Q19" t="s">
        <v>759</v>
      </c>
      <c r="R19" t="s">
        <v>819</v>
      </c>
    </row>
    <row r="20" spans="1:18" x14ac:dyDescent="0.35">
      <c r="A20">
        <v>1970</v>
      </c>
      <c r="B20" s="28">
        <v>0.15</v>
      </c>
      <c r="C20" s="19"/>
      <c r="D20" s="19"/>
      <c r="Q20" t="s">
        <v>763</v>
      </c>
      <c r="R20" t="s">
        <v>820</v>
      </c>
    </row>
    <row r="21" spans="1:18" x14ac:dyDescent="0.35">
      <c r="A21">
        <v>1975</v>
      </c>
      <c r="B21" s="28">
        <v>0.17499999999999999</v>
      </c>
      <c r="C21" s="28">
        <v>0.1</v>
      </c>
      <c r="D21" s="28">
        <v>0.15</v>
      </c>
      <c r="Q21" t="s">
        <v>764</v>
      </c>
      <c r="R21" t="s">
        <v>830</v>
      </c>
    </row>
    <row r="22" spans="1:18" x14ac:dyDescent="0.35">
      <c r="A22">
        <v>1985</v>
      </c>
      <c r="B22" s="19"/>
      <c r="C22" s="19"/>
      <c r="D22" s="28">
        <v>0.125</v>
      </c>
      <c r="Q22" t="s">
        <v>765</v>
      </c>
    </row>
    <row r="23" spans="1:18" x14ac:dyDescent="0.35">
      <c r="A23">
        <v>1995</v>
      </c>
      <c r="B23" s="28">
        <v>0.2</v>
      </c>
      <c r="C23" s="28">
        <v>0.1</v>
      </c>
      <c r="D23" s="19"/>
      <c r="Q23" t="s">
        <v>766</v>
      </c>
    </row>
    <row r="24" spans="1:18" x14ac:dyDescent="0.35">
      <c r="A24">
        <v>2005</v>
      </c>
      <c r="B24" s="19"/>
      <c r="C24" s="28">
        <v>9.1999999999999998E-2</v>
      </c>
      <c r="D24" s="28">
        <v>0.1</v>
      </c>
      <c r="Q24" t="s">
        <v>776</v>
      </c>
    </row>
    <row r="25" spans="1:18" x14ac:dyDescent="0.35">
      <c r="A25">
        <v>2020</v>
      </c>
      <c r="B25" s="28">
        <v>0.18</v>
      </c>
      <c r="C25" s="19"/>
      <c r="D25" s="28">
        <v>9.1999999999999998E-2</v>
      </c>
      <c r="Q25" t="s">
        <v>777</v>
      </c>
    </row>
    <row r="26" spans="1:18" x14ac:dyDescent="0.35">
      <c r="A26">
        <v>2040</v>
      </c>
      <c r="B26" s="28">
        <v>0.16</v>
      </c>
      <c r="C26" s="28">
        <v>8.5000000000000006E-2</v>
      </c>
      <c r="D26" s="28">
        <v>8.5000000000000006E-2</v>
      </c>
    </row>
    <row r="28" spans="1:18" x14ac:dyDescent="0.35">
      <c r="A28" t="s">
        <v>95</v>
      </c>
      <c r="B28" t="s">
        <v>84</v>
      </c>
      <c r="C28" t="s">
        <v>85</v>
      </c>
      <c r="D28" t="s">
        <v>86</v>
      </c>
      <c r="E28" t="s">
        <v>1101</v>
      </c>
    </row>
    <row r="29" spans="1:18" x14ac:dyDescent="0.35">
      <c r="A29">
        <v>1945</v>
      </c>
      <c r="B29" s="19"/>
      <c r="C29" s="28">
        <v>5</v>
      </c>
      <c r="D29" s="19"/>
      <c r="E29" s="19"/>
    </row>
    <row r="30" spans="1:18" x14ac:dyDescent="0.35">
      <c r="A30">
        <v>1955</v>
      </c>
      <c r="B30" s="28">
        <v>5</v>
      </c>
      <c r="C30" s="19"/>
      <c r="D30" s="19"/>
      <c r="E30" s="19"/>
    </row>
    <row r="31" spans="1:18" x14ac:dyDescent="0.35">
      <c r="A31">
        <v>1960</v>
      </c>
      <c r="B31" s="28">
        <v>5</v>
      </c>
      <c r="C31" s="19"/>
      <c r="D31" s="19"/>
      <c r="E31" s="19"/>
    </row>
    <row r="32" spans="1:18" x14ac:dyDescent="0.35">
      <c r="A32">
        <v>1965</v>
      </c>
      <c r="B32" s="19"/>
      <c r="C32" s="28">
        <v>5</v>
      </c>
      <c r="D32" s="28">
        <v>10</v>
      </c>
      <c r="E32">
        <v>20</v>
      </c>
    </row>
    <row r="33" spans="1:13" x14ac:dyDescent="0.35">
      <c r="A33">
        <v>1970</v>
      </c>
      <c r="B33" s="28">
        <v>5</v>
      </c>
      <c r="C33" s="19"/>
      <c r="D33" s="19"/>
      <c r="E33" s="19"/>
    </row>
    <row r="34" spans="1:13" x14ac:dyDescent="0.35">
      <c r="A34">
        <v>1975</v>
      </c>
      <c r="B34" s="28">
        <v>5</v>
      </c>
      <c r="C34" s="28">
        <v>5</v>
      </c>
      <c r="D34" s="28">
        <v>10</v>
      </c>
      <c r="E34" s="19"/>
    </row>
    <row r="35" spans="1:13" x14ac:dyDescent="0.35">
      <c r="A35">
        <v>1985</v>
      </c>
      <c r="B35" s="19">
        <v>4</v>
      </c>
      <c r="C35" s="19"/>
      <c r="D35" s="28">
        <v>10</v>
      </c>
      <c r="E35">
        <v>20</v>
      </c>
    </row>
    <row r="36" spans="1:13" x14ac:dyDescent="0.35">
      <c r="A36">
        <v>1995</v>
      </c>
      <c r="B36" s="28">
        <v>4</v>
      </c>
      <c r="C36" s="28">
        <v>5</v>
      </c>
      <c r="D36" s="19"/>
      <c r="E36" s="19"/>
    </row>
    <row r="37" spans="1:13" x14ac:dyDescent="0.35">
      <c r="A37">
        <v>2005</v>
      </c>
      <c r="B37" s="19"/>
      <c r="C37" s="28">
        <v>5</v>
      </c>
      <c r="D37" s="28">
        <v>9</v>
      </c>
      <c r="E37" s="19"/>
    </row>
    <row r="38" spans="1:13" x14ac:dyDescent="0.35">
      <c r="A38">
        <v>2020</v>
      </c>
      <c r="B38" s="28">
        <v>3</v>
      </c>
      <c r="C38" s="19"/>
      <c r="D38" s="28">
        <v>7</v>
      </c>
      <c r="E38" s="28">
        <v>16</v>
      </c>
    </row>
    <row r="39" spans="1:13" x14ac:dyDescent="0.35">
      <c r="A39">
        <v>2040</v>
      </c>
      <c r="B39" s="28">
        <v>2</v>
      </c>
      <c r="C39" s="28">
        <v>5</v>
      </c>
      <c r="D39" s="28">
        <v>5</v>
      </c>
      <c r="E39" s="19"/>
    </row>
    <row r="40" spans="1:13" x14ac:dyDescent="0.35">
      <c r="A40">
        <v>2060</v>
      </c>
      <c r="B40" s="28">
        <v>2</v>
      </c>
      <c r="C40">
        <v>5</v>
      </c>
      <c r="D40" s="28">
        <v>3</v>
      </c>
      <c r="E40" s="28">
        <v>12</v>
      </c>
    </row>
    <row r="41" spans="1:13" x14ac:dyDescent="0.35">
      <c r="B41" s="28"/>
      <c r="D41" s="28"/>
      <c r="E41" s="28"/>
    </row>
    <row r="42" spans="1:13" x14ac:dyDescent="0.35">
      <c r="B42" s="28"/>
      <c r="D42" s="28"/>
      <c r="E42" s="28" t="s">
        <v>1106</v>
      </c>
      <c r="F42">
        <f>SUM(F47:F66)</f>
        <v>5325</v>
      </c>
      <c r="G42">
        <f t="shared" ref="G42:I42" si="7">SUM(G47:G66)</f>
        <v>8520</v>
      </c>
      <c r="H42">
        <f t="shared" si="7"/>
        <v>9585</v>
      </c>
      <c r="I42">
        <f t="shared" si="7"/>
        <v>11005</v>
      </c>
      <c r="J42">
        <f>SUM(J47:J56,J66,J62:J65)</f>
        <v>3680</v>
      </c>
      <c r="K42">
        <f t="shared" ref="K42:M42" si="8">SUM(K47:K56,K66,K62:K65)</f>
        <v>9890</v>
      </c>
      <c r="L42">
        <f t="shared" si="8"/>
        <v>14513</v>
      </c>
      <c r="M42">
        <f t="shared" si="8"/>
        <v>17687</v>
      </c>
    </row>
    <row r="43" spans="1:13" x14ac:dyDescent="0.35">
      <c r="B43" s="28"/>
      <c r="D43" s="28"/>
      <c r="E43" s="28" t="s">
        <v>1105</v>
      </c>
      <c r="F43">
        <f>SUM(F47:F57)</f>
        <v>1455</v>
      </c>
      <c r="G43">
        <f t="shared" ref="G43:M43" si="9">SUM(G47:G57)</f>
        <v>2328</v>
      </c>
      <c r="H43">
        <f t="shared" si="9"/>
        <v>2619</v>
      </c>
      <c r="I43">
        <f t="shared" si="9"/>
        <v>3007</v>
      </c>
      <c r="J43">
        <f t="shared" si="9"/>
        <v>2100</v>
      </c>
      <c r="K43">
        <f t="shared" si="9"/>
        <v>5580</v>
      </c>
      <c r="L43">
        <f t="shared" si="9"/>
        <v>8148</v>
      </c>
      <c r="M43">
        <f t="shared" si="9"/>
        <v>9972</v>
      </c>
    </row>
    <row r="44" spans="1:13" x14ac:dyDescent="0.35">
      <c r="B44" s="28"/>
      <c r="D44" s="28"/>
      <c r="E44" s="28" t="s">
        <v>1104</v>
      </c>
      <c r="F44">
        <f>SUM(F47:F95)</f>
        <v>17550</v>
      </c>
      <c r="G44">
        <f t="shared" ref="G44:M44" si="10">SUM(G47:G95)</f>
        <v>28080</v>
      </c>
      <c r="H44">
        <f t="shared" si="10"/>
        <v>31590</v>
      </c>
      <c r="I44">
        <f t="shared" si="10"/>
        <v>36270</v>
      </c>
      <c r="J44">
        <f t="shared" si="10"/>
        <v>15890</v>
      </c>
      <c r="K44">
        <f t="shared" si="10"/>
        <v>45110</v>
      </c>
      <c r="L44">
        <f t="shared" si="10"/>
        <v>67718</v>
      </c>
      <c r="M44">
        <f t="shared" si="10"/>
        <v>80942</v>
      </c>
    </row>
    <row r="45" spans="1:13" x14ac:dyDescent="0.35">
      <c r="F45" s="80" t="s">
        <v>1102</v>
      </c>
      <c r="G45" s="80"/>
      <c r="H45" s="80"/>
      <c r="I45" s="80"/>
      <c r="J45" s="80" t="s">
        <v>1103</v>
      </c>
      <c r="K45" s="80"/>
      <c r="L45" s="80"/>
      <c r="M45" s="80"/>
    </row>
    <row r="46" spans="1:13" x14ac:dyDescent="0.35">
      <c r="A46" s="22" t="s">
        <v>767</v>
      </c>
      <c r="B46" s="22" t="s">
        <v>770</v>
      </c>
      <c r="C46" t="s">
        <v>772</v>
      </c>
      <c r="D46" t="s">
        <v>771</v>
      </c>
      <c r="F46" s="88">
        <v>1970</v>
      </c>
      <c r="G46" s="88">
        <v>1995</v>
      </c>
      <c r="H46" s="88">
        <v>2020</v>
      </c>
      <c r="I46" s="88">
        <v>2060</v>
      </c>
      <c r="J46" s="88">
        <v>1970</v>
      </c>
      <c r="K46" s="88">
        <v>1995</v>
      </c>
      <c r="L46" s="88">
        <v>2020</v>
      </c>
      <c r="M46" s="88">
        <v>2060</v>
      </c>
    </row>
    <row r="47" spans="1:13" x14ac:dyDescent="0.35">
      <c r="A47" t="s">
        <v>395</v>
      </c>
      <c r="B47">
        <v>0</v>
      </c>
      <c r="C47">
        <v>1</v>
      </c>
      <c r="D47">
        <v>1.75</v>
      </c>
      <c r="F47">
        <f>D47*15</f>
        <v>26.25</v>
      </c>
      <c r="G47">
        <f>24*D47</f>
        <v>42</v>
      </c>
      <c r="H47">
        <f>27*D47</f>
        <v>47.25</v>
      </c>
      <c r="I47">
        <f>31*D47</f>
        <v>54.25</v>
      </c>
      <c r="J47">
        <f>(B47*10)+(C47*10)</f>
        <v>10</v>
      </c>
      <c r="K47">
        <f>(B47*30)+(C47*20)</f>
        <v>20</v>
      </c>
      <c r="L47">
        <f>(B47*46)+(C47*25)</f>
        <v>25</v>
      </c>
      <c r="M47">
        <f>(B47*54)+(C47*35)</f>
        <v>35</v>
      </c>
    </row>
    <row r="48" spans="1:13" x14ac:dyDescent="0.35">
      <c r="A48" t="s">
        <v>768</v>
      </c>
      <c r="B48">
        <v>4</v>
      </c>
      <c r="D48">
        <v>3.25</v>
      </c>
      <c r="F48">
        <f t="shared" ref="F48:F95" si="11">D48*15</f>
        <v>48.75</v>
      </c>
      <c r="G48">
        <f t="shared" ref="G48:G95" si="12">24*D48</f>
        <v>78</v>
      </c>
      <c r="H48">
        <f t="shared" ref="H48:H95" si="13">27*D48</f>
        <v>87.75</v>
      </c>
      <c r="I48">
        <f t="shared" ref="I48:I95" si="14">31*D48</f>
        <v>100.75</v>
      </c>
      <c r="J48">
        <f t="shared" ref="J48:J95" si="15">(B48*10)+(C48*10)</f>
        <v>40</v>
      </c>
      <c r="K48">
        <f t="shared" ref="K48:K95" si="16">(B48*30)+(C48*20)</f>
        <v>120</v>
      </c>
      <c r="L48">
        <f t="shared" ref="L48:L95" si="17">(B48*46)+(C48*25)</f>
        <v>184</v>
      </c>
      <c r="M48">
        <f t="shared" ref="M48:M95" si="18">(B48*54)+(C48*35)</f>
        <v>216</v>
      </c>
    </row>
    <row r="49" spans="1:13" x14ac:dyDescent="0.35">
      <c r="A49" t="s">
        <v>769</v>
      </c>
      <c r="D49">
        <v>2</v>
      </c>
      <c r="F49">
        <f t="shared" si="11"/>
        <v>30</v>
      </c>
      <c r="G49">
        <f t="shared" si="12"/>
        <v>48</v>
      </c>
      <c r="H49">
        <f t="shared" si="13"/>
        <v>54</v>
      </c>
      <c r="I49">
        <f t="shared" si="14"/>
        <v>62</v>
      </c>
      <c r="J49">
        <f t="shared" si="15"/>
        <v>0</v>
      </c>
      <c r="K49">
        <f t="shared" si="16"/>
        <v>0</v>
      </c>
      <c r="L49">
        <f t="shared" si="17"/>
        <v>0</v>
      </c>
      <c r="M49">
        <f t="shared" si="18"/>
        <v>0</v>
      </c>
    </row>
    <row r="50" spans="1:13" x14ac:dyDescent="0.35">
      <c r="A50" t="s">
        <v>773</v>
      </c>
      <c r="B50">
        <v>20</v>
      </c>
      <c r="C50">
        <v>19</v>
      </c>
      <c r="D50">
        <v>9</v>
      </c>
      <c r="F50">
        <f t="shared" si="11"/>
        <v>135</v>
      </c>
      <c r="G50">
        <f t="shared" si="12"/>
        <v>216</v>
      </c>
      <c r="H50">
        <f t="shared" si="13"/>
        <v>243</v>
      </c>
      <c r="I50">
        <f t="shared" si="14"/>
        <v>279</v>
      </c>
      <c r="J50">
        <f t="shared" si="15"/>
        <v>390</v>
      </c>
      <c r="K50">
        <f t="shared" si="16"/>
        <v>980</v>
      </c>
      <c r="L50">
        <f t="shared" si="17"/>
        <v>1395</v>
      </c>
      <c r="M50">
        <f t="shared" si="18"/>
        <v>1745</v>
      </c>
    </row>
    <row r="51" spans="1:13" x14ac:dyDescent="0.35">
      <c r="A51" t="s">
        <v>557</v>
      </c>
      <c r="B51">
        <v>10</v>
      </c>
      <c r="C51">
        <v>13</v>
      </c>
      <c r="D51">
        <v>9</v>
      </c>
      <c r="F51">
        <f t="shared" si="11"/>
        <v>135</v>
      </c>
      <c r="G51">
        <f t="shared" si="12"/>
        <v>216</v>
      </c>
      <c r="H51">
        <f t="shared" si="13"/>
        <v>243</v>
      </c>
      <c r="I51">
        <f t="shared" si="14"/>
        <v>279</v>
      </c>
      <c r="J51">
        <f t="shared" si="15"/>
        <v>230</v>
      </c>
      <c r="K51">
        <f t="shared" si="16"/>
        <v>560</v>
      </c>
      <c r="L51">
        <f t="shared" si="17"/>
        <v>785</v>
      </c>
      <c r="M51">
        <f t="shared" si="18"/>
        <v>995</v>
      </c>
    </row>
    <row r="52" spans="1:13" x14ac:dyDescent="0.35">
      <c r="A52" t="s">
        <v>562</v>
      </c>
      <c r="C52">
        <v>39</v>
      </c>
      <c r="D52">
        <v>16</v>
      </c>
      <c r="F52">
        <f t="shared" si="11"/>
        <v>240</v>
      </c>
      <c r="G52">
        <f t="shared" si="12"/>
        <v>384</v>
      </c>
      <c r="H52">
        <f t="shared" si="13"/>
        <v>432</v>
      </c>
      <c r="I52">
        <f t="shared" si="14"/>
        <v>496</v>
      </c>
      <c r="J52">
        <f t="shared" si="15"/>
        <v>390</v>
      </c>
      <c r="K52">
        <f t="shared" si="16"/>
        <v>780</v>
      </c>
      <c r="L52">
        <f t="shared" si="17"/>
        <v>975</v>
      </c>
      <c r="M52">
        <f t="shared" si="18"/>
        <v>1365</v>
      </c>
    </row>
    <row r="53" spans="1:13" x14ac:dyDescent="0.35">
      <c r="A53" t="s">
        <v>774</v>
      </c>
      <c r="B53">
        <v>25</v>
      </c>
      <c r="D53">
        <v>13</v>
      </c>
      <c r="F53">
        <f t="shared" si="11"/>
        <v>195</v>
      </c>
      <c r="G53">
        <f t="shared" si="12"/>
        <v>312</v>
      </c>
      <c r="H53">
        <f t="shared" si="13"/>
        <v>351</v>
      </c>
      <c r="I53">
        <f t="shared" si="14"/>
        <v>403</v>
      </c>
      <c r="J53">
        <f t="shared" si="15"/>
        <v>250</v>
      </c>
      <c r="K53">
        <f t="shared" si="16"/>
        <v>750</v>
      </c>
      <c r="L53">
        <f t="shared" si="17"/>
        <v>1150</v>
      </c>
      <c r="M53">
        <f t="shared" si="18"/>
        <v>1350</v>
      </c>
    </row>
    <row r="54" spans="1:13" x14ac:dyDescent="0.35">
      <c r="A54" t="s">
        <v>775</v>
      </c>
      <c r="B54">
        <v>25</v>
      </c>
      <c r="D54">
        <v>13</v>
      </c>
      <c r="F54">
        <f t="shared" si="11"/>
        <v>195</v>
      </c>
      <c r="G54">
        <f t="shared" si="12"/>
        <v>312</v>
      </c>
      <c r="H54">
        <f t="shared" si="13"/>
        <v>351</v>
      </c>
      <c r="I54">
        <f t="shared" si="14"/>
        <v>403</v>
      </c>
      <c r="J54">
        <f t="shared" si="15"/>
        <v>250</v>
      </c>
      <c r="K54">
        <f t="shared" si="16"/>
        <v>750</v>
      </c>
      <c r="L54">
        <f t="shared" si="17"/>
        <v>1150</v>
      </c>
      <c r="M54">
        <f t="shared" si="18"/>
        <v>1350</v>
      </c>
    </row>
    <row r="55" spans="1:13" x14ac:dyDescent="0.35">
      <c r="A55" t="s">
        <v>797</v>
      </c>
      <c r="B55">
        <v>7</v>
      </c>
      <c r="D55">
        <v>8</v>
      </c>
      <c r="F55">
        <f t="shared" si="11"/>
        <v>120</v>
      </c>
      <c r="G55">
        <f t="shared" si="12"/>
        <v>192</v>
      </c>
      <c r="H55">
        <f t="shared" si="13"/>
        <v>216</v>
      </c>
      <c r="I55">
        <f t="shared" si="14"/>
        <v>248</v>
      </c>
      <c r="J55">
        <f t="shared" si="15"/>
        <v>70</v>
      </c>
      <c r="K55">
        <f t="shared" si="16"/>
        <v>210</v>
      </c>
      <c r="L55">
        <f t="shared" si="17"/>
        <v>322</v>
      </c>
      <c r="M55">
        <f t="shared" si="18"/>
        <v>378</v>
      </c>
    </row>
    <row r="56" spans="1:13" x14ac:dyDescent="0.35">
      <c r="A56" t="s">
        <v>798</v>
      </c>
      <c r="B56">
        <v>7</v>
      </c>
      <c r="D56">
        <v>8</v>
      </c>
      <c r="F56">
        <f t="shared" si="11"/>
        <v>120</v>
      </c>
      <c r="G56">
        <f t="shared" si="12"/>
        <v>192</v>
      </c>
      <c r="H56">
        <f t="shared" si="13"/>
        <v>216</v>
      </c>
      <c r="I56">
        <f t="shared" si="14"/>
        <v>248</v>
      </c>
      <c r="J56">
        <f t="shared" si="15"/>
        <v>70</v>
      </c>
      <c r="K56">
        <f t="shared" si="16"/>
        <v>210</v>
      </c>
      <c r="L56">
        <f t="shared" si="17"/>
        <v>322</v>
      </c>
      <c r="M56">
        <f t="shared" si="18"/>
        <v>378</v>
      </c>
    </row>
    <row r="57" spans="1:13" x14ac:dyDescent="0.35">
      <c r="A57" t="s">
        <v>394</v>
      </c>
      <c r="B57">
        <v>40</v>
      </c>
      <c r="D57">
        <v>14</v>
      </c>
      <c r="F57">
        <f t="shared" si="11"/>
        <v>210</v>
      </c>
      <c r="G57">
        <f t="shared" si="12"/>
        <v>336</v>
      </c>
      <c r="H57">
        <f t="shared" si="13"/>
        <v>378</v>
      </c>
      <c r="I57">
        <f t="shared" si="14"/>
        <v>434</v>
      </c>
      <c r="J57">
        <f t="shared" si="15"/>
        <v>400</v>
      </c>
      <c r="K57">
        <f t="shared" si="16"/>
        <v>1200</v>
      </c>
      <c r="L57">
        <f t="shared" si="17"/>
        <v>1840</v>
      </c>
      <c r="M57">
        <f t="shared" si="18"/>
        <v>2160</v>
      </c>
    </row>
    <row r="58" spans="1:13" x14ac:dyDescent="0.35">
      <c r="A58" t="s">
        <v>778</v>
      </c>
      <c r="C58">
        <v>43</v>
      </c>
      <c r="D58">
        <v>20</v>
      </c>
      <c r="F58">
        <f t="shared" si="11"/>
        <v>300</v>
      </c>
      <c r="G58">
        <f t="shared" si="12"/>
        <v>480</v>
      </c>
      <c r="H58">
        <f t="shared" si="13"/>
        <v>540</v>
      </c>
      <c r="I58">
        <f t="shared" si="14"/>
        <v>620</v>
      </c>
      <c r="J58">
        <f t="shared" si="15"/>
        <v>430</v>
      </c>
      <c r="K58">
        <f t="shared" si="16"/>
        <v>860</v>
      </c>
      <c r="L58">
        <f t="shared" si="17"/>
        <v>1075</v>
      </c>
      <c r="M58">
        <f t="shared" si="18"/>
        <v>1505</v>
      </c>
    </row>
    <row r="59" spans="1:13" x14ac:dyDescent="0.35">
      <c r="A59" t="s">
        <v>779</v>
      </c>
      <c r="C59">
        <v>48</v>
      </c>
      <c r="D59">
        <v>31</v>
      </c>
      <c r="F59">
        <f t="shared" si="11"/>
        <v>465</v>
      </c>
      <c r="G59">
        <f t="shared" si="12"/>
        <v>744</v>
      </c>
      <c r="H59">
        <f t="shared" si="13"/>
        <v>837</v>
      </c>
      <c r="I59">
        <f t="shared" si="14"/>
        <v>961</v>
      </c>
      <c r="J59">
        <f t="shared" si="15"/>
        <v>480</v>
      </c>
      <c r="K59">
        <f t="shared" si="16"/>
        <v>960</v>
      </c>
      <c r="L59">
        <f t="shared" si="17"/>
        <v>1200</v>
      </c>
      <c r="M59">
        <f t="shared" si="18"/>
        <v>1680</v>
      </c>
    </row>
    <row r="60" spans="1:13" x14ac:dyDescent="0.35">
      <c r="A60" t="s">
        <v>242</v>
      </c>
      <c r="C60">
        <v>50</v>
      </c>
      <c r="D60">
        <v>35</v>
      </c>
      <c r="F60">
        <f t="shared" si="11"/>
        <v>525</v>
      </c>
      <c r="G60">
        <f t="shared" si="12"/>
        <v>840</v>
      </c>
      <c r="H60">
        <f t="shared" si="13"/>
        <v>945</v>
      </c>
      <c r="I60">
        <f t="shared" si="14"/>
        <v>1085</v>
      </c>
      <c r="J60">
        <f t="shared" si="15"/>
        <v>500</v>
      </c>
      <c r="K60">
        <f t="shared" si="16"/>
        <v>1000</v>
      </c>
      <c r="L60">
        <f t="shared" si="17"/>
        <v>1250</v>
      </c>
      <c r="M60">
        <f t="shared" si="18"/>
        <v>1750</v>
      </c>
    </row>
    <row r="61" spans="1:13" x14ac:dyDescent="0.35">
      <c r="A61" t="s">
        <v>565</v>
      </c>
      <c r="B61">
        <v>50</v>
      </c>
      <c r="D61">
        <v>55</v>
      </c>
      <c r="F61">
        <f t="shared" si="11"/>
        <v>825</v>
      </c>
      <c r="G61">
        <f t="shared" si="12"/>
        <v>1320</v>
      </c>
      <c r="H61">
        <f t="shared" si="13"/>
        <v>1485</v>
      </c>
      <c r="I61">
        <f t="shared" si="14"/>
        <v>1705</v>
      </c>
      <c r="J61">
        <f t="shared" si="15"/>
        <v>500</v>
      </c>
      <c r="K61">
        <f t="shared" si="16"/>
        <v>1500</v>
      </c>
      <c r="L61">
        <f t="shared" si="17"/>
        <v>2300</v>
      </c>
      <c r="M61">
        <f t="shared" si="18"/>
        <v>2700</v>
      </c>
    </row>
    <row r="62" spans="1:13" x14ac:dyDescent="0.35">
      <c r="A62" t="s">
        <v>780</v>
      </c>
      <c r="B62">
        <v>30</v>
      </c>
      <c r="D62">
        <v>23</v>
      </c>
      <c r="F62">
        <f t="shared" si="11"/>
        <v>345</v>
      </c>
      <c r="G62">
        <f t="shared" si="12"/>
        <v>552</v>
      </c>
      <c r="H62">
        <f t="shared" si="13"/>
        <v>621</v>
      </c>
      <c r="I62">
        <f t="shared" si="14"/>
        <v>713</v>
      </c>
      <c r="J62">
        <f t="shared" si="15"/>
        <v>300</v>
      </c>
      <c r="K62">
        <f t="shared" si="16"/>
        <v>900</v>
      </c>
      <c r="L62">
        <f t="shared" si="17"/>
        <v>1380</v>
      </c>
      <c r="M62">
        <f t="shared" si="18"/>
        <v>1620</v>
      </c>
    </row>
    <row r="63" spans="1:13" x14ac:dyDescent="0.35">
      <c r="A63" t="s">
        <v>781</v>
      </c>
      <c r="B63">
        <v>30</v>
      </c>
      <c r="D63">
        <v>23</v>
      </c>
      <c r="F63">
        <f t="shared" si="11"/>
        <v>345</v>
      </c>
      <c r="G63">
        <f t="shared" si="12"/>
        <v>552</v>
      </c>
      <c r="H63">
        <f t="shared" si="13"/>
        <v>621</v>
      </c>
      <c r="I63">
        <f t="shared" si="14"/>
        <v>713</v>
      </c>
      <c r="J63">
        <f t="shared" si="15"/>
        <v>300</v>
      </c>
      <c r="K63">
        <f t="shared" si="16"/>
        <v>900</v>
      </c>
      <c r="L63">
        <f t="shared" si="17"/>
        <v>1380</v>
      </c>
      <c r="M63">
        <f t="shared" si="18"/>
        <v>1620</v>
      </c>
    </row>
    <row r="64" spans="1:13" x14ac:dyDescent="0.35">
      <c r="A64" t="s">
        <v>782</v>
      </c>
      <c r="B64">
        <v>30</v>
      </c>
      <c r="D64">
        <v>23</v>
      </c>
      <c r="F64">
        <f t="shared" si="11"/>
        <v>345</v>
      </c>
      <c r="G64">
        <f t="shared" si="12"/>
        <v>552</v>
      </c>
      <c r="H64">
        <f t="shared" si="13"/>
        <v>621</v>
      </c>
      <c r="I64">
        <f t="shared" si="14"/>
        <v>713</v>
      </c>
      <c r="J64">
        <f t="shared" si="15"/>
        <v>300</v>
      </c>
      <c r="K64">
        <f t="shared" si="16"/>
        <v>900</v>
      </c>
      <c r="L64">
        <f t="shared" si="17"/>
        <v>1380</v>
      </c>
      <c r="M64">
        <f t="shared" si="18"/>
        <v>1620</v>
      </c>
    </row>
    <row r="65" spans="1:13" x14ac:dyDescent="0.35">
      <c r="A65" t="s">
        <v>783</v>
      </c>
      <c r="B65">
        <v>30</v>
      </c>
      <c r="D65">
        <v>23</v>
      </c>
      <c r="F65">
        <f t="shared" si="11"/>
        <v>345</v>
      </c>
      <c r="G65">
        <f t="shared" si="12"/>
        <v>552</v>
      </c>
      <c r="H65">
        <f t="shared" si="13"/>
        <v>621</v>
      </c>
      <c r="I65">
        <f t="shared" si="14"/>
        <v>713</v>
      </c>
      <c r="J65">
        <f t="shared" si="15"/>
        <v>300</v>
      </c>
      <c r="K65">
        <f t="shared" si="16"/>
        <v>900</v>
      </c>
      <c r="L65">
        <f t="shared" si="17"/>
        <v>1380</v>
      </c>
      <c r="M65">
        <f t="shared" si="18"/>
        <v>1620</v>
      </c>
    </row>
    <row r="66" spans="1:13" x14ac:dyDescent="0.35">
      <c r="A66" t="s">
        <v>784</v>
      </c>
      <c r="B66">
        <v>35</v>
      </c>
      <c r="C66">
        <v>43</v>
      </c>
      <c r="D66">
        <v>25</v>
      </c>
      <c r="F66">
        <f t="shared" si="11"/>
        <v>375</v>
      </c>
      <c r="G66">
        <f t="shared" si="12"/>
        <v>600</v>
      </c>
      <c r="H66">
        <f t="shared" si="13"/>
        <v>675</v>
      </c>
      <c r="I66">
        <f t="shared" si="14"/>
        <v>775</v>
      </c>
      <c r="J66">
        <f t="shared" si="15"/>
        <v>780</v>
      </c>
      <c r="K66">
        <f t="shared" si="16"/>
        <v>1910</v>
      </c>
      <c r="L66">
        <f t="shared" si="17"/>
        <v>2685</v>
      </c>
      <c r="M66">
        <f t="shared" si="18"/>
        <v>3395</v>
      </c>
    </row>
    <row r="67" spans="1:13" x14ac:dyDescent="0.35">
      <c r="A67" t="s">
        <v>785</v>
      </c>
      <c r="B67">
        <v>35</v>
      </c>
      <c r="D67">
        <v>25</v>
      </c>
      <c r="F67">
        <f t="shared" si="11"/>
        <v>375</v>
      </c>
      <c r="G67">
        <f t="shared" si="12"/>
        <v>600</v>
      </c>
      <c r="H67">
        <f t="shared" si="13"/>
        <v>675</v>
      </c>
      <c r="I67">
        <f t="shared" si="14"/>
        <v>775</v>
      </c>
      <c r="J67">
        <f t="shared" si="15"/>
        <v>350</v>
      </c>
      <c r="K67">
        <f t="shared" si="16"/>
        <v>1050</v>
      </c>
      <c r="L67">
        <f t="shared" si="17"/>
        <v>1610</v>
      </c>
      <c r="M67">
        <f t="shared" si="18"/>
        <v>1890</v>
      </c>
    </row>
    <row r="68" spans="1:13" x14ac:dyDescent="0.35">
      <c r="A68" t="s">
        <v>786</v>
      </c>
      <c r="B68">
        <v>35</v>
      </c>
      <c r="D68">
        <v>25</v>
      </c>
      <c r="F68">
        <f t="shared" si="11"/>
        <v>375</v>
      </c>
      <c r="G68">
        <f t="shared" si="12"/>
        <v>600</v>
      </c>
      <c r="H68">
        <f t="shared" si="13"/>
        <v>675</v>
      </c>
      <c r="I68">
        <f t="shared" si="14"/>
        <v>775</v>
      </c>
      <c r="J68">
        <f t="shared" si="15"/>
        <v>350</v>
      </c>
      <c r="K68">
        <f t="shared" si="16"/>
        <v>1050</v>
      </c>
      <c r="L68">
        <f t="shared" si="17"/>
        <v>1610</v>
      </c>
      <c r="M68">
        <f t="shared" si="18"/>
        <v>1890</v>
      </c>
    </row>
    <row r="69" spans="1:13" x14ac:dyDescent="0.35">
      <c r="A69" t="s">
        <v>787</v>
      </c>
      <c r="B69">
        <v>35</v>
      </c>
      <c r="D69">
        <v>25</v>
      </c>
      <c r="F69">
        <f t="shared" si="11"/>
        <v>375</v>
      </c>
      <c r="G69">
        <f t="shared" si="12"/>
        <v>600</v>
      </c>
      <c r="H69">
        <f t="shared" si="13"/>
        <v>675</v>
      </c>
      <c r="I69">
        <f t="shared" si="14"/>
        <v>775</v>
      </c>
      <c r="J69">
        <f t="shared" si="15"/>
        <v>350</v>
      </c>
      <c r="K69">
        <f t="shared" si="16"/>
        <v>1050</v>
      </c>
      <c r="L69">
        <f t="shared" si="17"/>
        <v>1610</v>
      </c>
      <c r="M69">
        <f t="shared" si="18"/>
        <v>1890</v>
      </c>
    </row>
    <row r="70" spans="1:13" x14ac:dyDescent="0.35">
      <c r="A70" t="s">
        <v>788</v>
      </c>
      <c r="B70">
        <v>35</v>
      </c>
      <c r="D70">
        <v>25</v>
      </c>
      <c r="F70">
        <f t="shared" si="11"/>
        <v>375</v>
      </c>
      <c r="G70">
        <f t="shared" si="12"/>
        <v>600</v>
      </c>
      <c r="H70">
        <f t="shared" si="13"/>
        <v>675</v>
      </c>
      <c r="I70">
        <f t="shared" si="14"/>
        <v>775</v>
      </c>
      <c r="J70">
        <f t="shared" si="15"/>
        <v>350</v>
      </c>
      <c r="K70">
        <f t="shared" si="16"/>
        <v>1050</v>
      </c>
      <c r="L70">
        <f t="shared" si="17"/>
        <v>1610</v>
      </c>
      <c r="M70">
        <f t="shared" si="18"/>
        <v>1890</v>
      </c>
    </row>
    <row r="71" spans="1:13" x14ac:dyDescent="0.35">
      <c r="A71" t="s">
        <v>789</v>
      </c>
      <c r="B71">
        <v>35</v>
      </c>
      <c r="D71">
        <v>25</v>
      </c>
      <c r="F71">
        <f t="shared" si="11"/>
        <v>375</v>
      </c>
      <c r="G71">
        <f t="shared" si="12"/>
        <v>600</v>
      </c>
      <c r="H71">
        <f t="shared" si="13"/>
        <v>675</v>
      </c>
      <c r="I71">
        <f t="shared" si="14"/>
        <v>775</v>
      </c>
      <c r="J71">
        <f t="shared" si="15"/>
        <v>350</v>
      </c>
      <c r="K71">
        <f t="shared" si="16"/>
        <v>1050</v>
      </c>
      <c r="L71">
        <f t="shared" si="17"/>
        <v>1610</v>
      </c>
      <c r="M71">
        <f t="shared" si="18"/>
        <v>1890</v>
      </c>
    </row>
    <row r="72" spans="1:13" x14ac:dyDescent="0.35">
      <c r="A72" t="s">
        <v>790</v>
      </c>
      <c r="B72">
        <v>35</v>
      </c>
      <c r="D72">
        <v>25</v>
      </c>
      <c r="F72">
        <f t="shared" si="11"/>
        <v>375</v>
      </c>
      <c r="G72">
        <f t="shared" si="12"/>
        <v>600</v>
      </c>
      <c r="H72">
        <f t="shared" si="13"/>
        <v>675</v>
      </c>
      <c r="I72">
        <f t="shared" si="14"/>
        <v>775</v>
      </c>
      <c r="J72">
        <f t="shared" si="15"/>
        <v>350</v>
      </c>
      <c r="K72">
        <f t="shared" si="16"/>
        <v>1050</v>
      </c>
      <c r="L72">
        <f t="shared" si="17"/>
        <v>1610</v>
      </c>
      <c r="M72">
        <f t="shared" si="18"/>
        <v>1890</v>
      </c>
    </row>
    <row r="73" spans="1:13" x14ac:dyDescent="0.35">
      <c r="A73" t="s">
        <v>791</v>
      </c>
      <c r="B73">
        <v>35</v>
      </c>
      <c r="D73">
        <v>25</v>
      </c>
      <c r="F73">
        <f t="shared" si="11"/>
        <v>375</v>
      </c>
      <c r="G73">
        <f t="shared" si="12"/>
        <v>600</v>
      </c>
      <c r="H73">
        <f t="shared" si="13"/>
        <v>675</v>
      </c>
      <c r="I73">
        <f t="shared" si="14"/>
        <v>775</v>
      </c>
      <c r="J73">
        <f t="shared" si="15"/>
        <v>350</v>
      </c>
      <c r="K73">
        <f t="shared" si="16"/>
        <v>1050</v>
      </c>
      <c r="L73">
        <f t="shared" si="17"/>
        <v>1610</v>
      </c>
      <c r="M73">
        <f t="shared" si="18"/>
        <v>1890</v>
      </c>
    </row>
    <row r="74" spans="1:13" x14ac:dyDescent="0.35">
      <c r="A74" t="s">
        <v>792</v>
      </c>
      <c r="B74">
        <v>35</v>
      </c>
      <c r="D74">
        <v>25</v>
      </c>
      <c r="F74">
        <f t="shared" si="11"/>
        <v>375</v>
      </c>
      <c r="G74">
        <f t="shared" si="12"/>
        <v>600</v>
      </c>
      <c r="H74">
        <f t="shared" si="13"/>
        <v>675</v>
      </c>
      <c r="I74">
        <f t="shared" si="14"/>
        <v>775</v>
      </c>
      <c r="J74">
        <f t="shared" si="15"/>
        <v>350</v>
      </c>
      <c r="K74">
        <f t="shared" si="16"/>
        <v>1050</v>
      </c>
      <c r="L74">
        <f t="shared" si="17"/>
        <v>1610</v>
      </c>
      <c r="M74">
        <f t="shared" si="18"/>
        <v>1890</v>
      </c>
    </row>
    <row r="75" spans="1:13" x14ac:dyDescent="0.35">
      <c r="A75" t="s">
        <v>793</v>
      </c>
      <c r="B75">
        <v>35</v>
      </c>
      <c r="D75">
        <v>25</v>
      </c>
      <c r="F75">
        <f t="shared" si="11"/>
        <v>375</v>
      </c>
      <c r="G75">
        <f t="shared" si="12"/>
        <v>600</v>
      </c>
      <c r="H75">
        <f t="shared" si="13"/>
        <v>675</v>
      </c>
      <c r="I75">
        <f t="shared" si="14"/>
        <v>775</v>
      </c>
      <c r="J75">
        <f t="shared" si="15"/>
        <v>350</v>
      </c>
      <c r="K75">
        <f t="shared" si="16"/>
        <v>1050</v>
      </c>
      <c r="L75">
        <f t="shared" si="17"/>
        <v>1610</v>
      </c>
      <c r="M75">
        <f t="shared" si="18"/>
        <v>1890</v>
      </c>
    </row>
    <row r="76" spans="1:13" x14ac:dyDescent="0.35">
      <c r="A76" t="s">
        <v>794</v>
      </c>
      <c r="B76">
        <v>35</v>
      </c>
      <c r="D76">
        <v>25</v>
      </c>
      <c r="F76">
        <f t="shared" si="11"/>
        <v>375</v>
      </c>
      <c r="G76">
        <f t="shared" si="12"/>
        <v>600</v>
      </c>
      <c r="H76">
        <f t="shared" si="13"/>
        <v>675</v>
      </c>
      <c r="I76">
        <f t="shared" si="14"/>
        <v>775</v>
      </c>
      <c r="J76">
        <f t="shared" si="15"/>
        <v>350</v>
      </c>
      <c r="K76">
        <f t="shared" si="16"/>
        <v>1050</v>
      </c>
      <c r="L76">
        <f t="shared" si="17"/>
        <v>1610</v>
      </c>
      <c r="M76">
        <f t="shared" si="18"/>
        <v>1890</v>
      </c>
    </row>
    <row r="77" spans="1:13" x14ac:dyDescent="0.35">
      <c r="A77" t="s">
        <v>795</v>
      </c>
      <c r="B77">
        <v>35</v>
      </c>
      <c r="D77">
        <v>25</v>
      </c>
      <c r="F77">
        <f t="shared" si="11"/>
        <v>375</v>
      </c>
      <c r="G77">
        <f t="shared" si="12"/>
        <v>600</v>
      </c>
      <c r="H77">
        <f t="shared" si="13"/>
        <v>675</v>
      </c>
      <c r="I77">
        <f t="shared" si="14"/>
        <v>775</v>
      </c>
      <c r="J77">
        <f t="shared" si="15"/>
        <v>350</v>
      </c>
      <c r="K77">
        <f t="shared" si="16"/>
        <v>1050</v>
      </c>
      <c r="L77">
        <f t="shared" si="17"/>
        <v>1610</v>
      </c>
      <c r="M77">
        <f t="shared" si="18"/>
        <v>1890</v>
      </c>
    </row>
    <row r="78" spans="1:13" x14ac:dyDescent="0.35">
      <c r="A78" t="s">
        <v>796</v>
      </c>
      <c r="B78">
        <v>40</v>
      </c>
      <c r="D78">
        <v>41</v>
      </c>
      <c r="F78">
        <f t="shared" si="11"/>
        <v>615</v>
      </c>
      <c r="G78">
        <f t="shared" si="12"/>
        <v>984</v>
      </c>
      <c r="H78">
        <f t="shared" si="13"/>
        <v>1107</v>
      </c>
      <c r="I78">
        <f t="shared" si="14"/>
        <v>1271</v>
      </c>
      <c r="J78">
        <f t="shared" si="15"/>
        <v>400</v>
      </c>
      <c r="K78">
        <f t="shared" si="16"/>
        <v>1200</v>
      </c>
      <c r="L78">
        <f t="shared" si="17"/>
        <v>1840</v>
      </c>
      <c r="M78">
        <f t="shared" si="18"/>
        <v>2160</v>
      </c>
    </row>
    <row r="79" spans="1:13" x14ac:dyDescent="0.35">
      <c r="A79" t="s">
        <v>609</v>
      </c>
      <c r="B79">
        <v>50</v>
      </c>
      <c r="D79">
        <v>55</v>
      </c>
      <c r="F79">
        <f t="shared" si="11"/>
        <v>825</v>
      </c>
      <c r="G79">
        <f t="shared" si="12"/>
        <v>1320</v>
      </c>
      <c r="H79">
        <f t="shared" si="13"/>
        <v>1485</v>
      </c>
      <c r="I79">
        <f t="shared" si="14"/>
        <v>1705</v>
      </c>
      <c r="J79">
        <f t="shared" si="15"/>
        <v>500</v>
      </c>
      <c r="K79">
        <f t="shared" si="16"/>
        <v>1500</v>
      </c>
      <c r="L79">
        <f t="shared" si="17"/>
        <v>2300</v>
      </c>
      <c r="M79">
        <f t="shared" si="18"/>
        <v>2700</v>
      </c>
    </row>
    <row r="80" spans="1:13" x14ac:dyDescent="0.35">
      <c r="A80" t="s">
        <v>799</v>
      </c>
      <c r="B80">
        <v>25</v>
      </c>
      <c r="D80">
        <v>21</v>
      </c>
      <c r="F80">
        <f t="shared" si="11"/>
        <v>315</v>
      </c>
      <c r="G80">
        <f t="shared" si="12"/>
        <v>504</v>
      </c>
      <c r="H80">
        <f t="shared" si="13"/>
        <v>567</v>
      </c>
      <c r="I80">
        <f t="shared" si="14"/>
        <v>651</v>
      </c>
      <c r="J80">
        <f t="shared" si="15"/>
        <v>250</v>
      </c>
      <c r="K80">
        <f t="shared" si="16"/>
        <v>750</v>
      </c>
      <c r="L80">
        <f t="shared" si="17"/>
        <v>1150</v>
      </c>
      <c r="M80">
        <f t="shared" si="18"/>
        <v>1350</v>
      </c>
    </row>
    <row r="81" spans="1:13" x14ac:dyDescent="0.35">
      <c r="A81" t="s">
        <v>800</v>
      </c>
      <c r="B81">
        <v>25</v>
      </c>
      <c r="D81">
        <v>21</v>
      </c>
      <c r="F81">
        <f t="shared" si="11"/>
        <v>315</v>
      </c>
      <c r="G81">
        <f t="shared" si="12"/>
        <v>504</v>
      </c>
      <c r="H81">
        <f t="shared" si="13"/>
        <v>567</v>
      </c>
      <c r="I81">
        <f t="shared" si="14"/>
        <v>651</v>
      </c>
      <c r="J81">
        <f t="shared" si="15"/>
        <v>250</v>
      </c>
      <c r="K81">
        <f t="shared" si="16"/>
        <v>750</v>
      </c>
      <c r="L81">
        <f t="shared" si="17"/>
        <v>1150</v>
      </c>
      <c r="M81">
        <f t="shared" si="18"/>
        <v>1350</v>
      </c>
    </row>
    <row r="82" spans="1:13" x14ac:dyDescent="0.35">
      <c r="A82" t="s">
        <v>801</v>
      </c>
      <c r="B82">
        <v>25</v>
      </c>
      <c r="D82">
        <v>21</v>
      </c>
      <c r="F82">
        <f t="shared" si="11"/>
        <v>315</v>
      </c>
      <c r="G82">
        <f t="shared" si="12"/>
        <v>504</v>
      </c>
      <c r="H82">
        <f t="shared" si="13"/>
        <v>567</v>
      </c>
      <c r="I82">
        <f t="shared" si="14"/>
        <v>651</v>
      </c>
      <c r="J82">
        <f t="shared" si="15"/>
        <v>250</v>
      </c>
      <c r="K82">
        <f t="shared" si="16"/>
        <v>750</v>
      </c>
      <c r="L82">
        <f t="shared" si="17"/>
        <v>1150</v>
      </c>
      <c r="M82">
        <f t="shared" si="18"/>
        <v>1350</v>
      </c>
    </row>
    <row r="83" spans="1:13" x14ac:dyDescent="0.35">
      <c r="A83" t="s">
        <v>802</v>
      </c>
      <c r="B83">
        <v>30</v>
      </c>
      <c r="D83">
        <v>22</v>
      </c>
      <c r="F83">
        <f t="shared" si="11"/>
        <v>330</v>
      </c>
      <c r="G83">
        <f t="shared" si="12"/>
        <v>528</v>
      </c>
      <c r="H83">
        <f t="shared" si="13"/>
        <v>594</v>
      </c>
      <c r="I83">
        <f t="shared" si="14"/>
        <v>682</v>
      </c>
      <c r="J83">
        <f t="shared" si="15"/>
        <v>300</v>
      </c>
      <c r="K83">
        <f t="shared" si="16"/>
        <v>900</v>
      </c>
      <c r="L83">
        <f t="shared" si="17"/>
        <v>1380</v>
      </c>
      <c r="M83">
        <f t="shared" si="18"/>
        <v>1620</v>
      </c>
    </row>
    <row r="84" spans="1:13" x14ac:dyDescent="0.35">
      <c r="A84" t="s">
        <v>803</v>
      </c>
      <c r="B84">
        <v>30</v>
      </c>
      <c r="D84">
        <v>22</v>
      </c>
      <c r="F84">
        <f t="shared" si="11"/>
        <v>330</v>
      </c>
      <c r="G84">
        <f t="shared" si="12"/>
        <v>528</v>
      </c>
      <c r="H84">
        <f t="shared" si="13"/>
        <v>594</v>
      </c>
      <c r="I84">
        <f t="shared" si="14"/>
        <v>682</v>
      </c>
      <c r="J84">
        <f t="shared" si="15"/>
        <v>300</v>
      </c>
      <c r="K84">
        <f t="shared" si="16"/>
        <v>900</v>
      </c>
      <c r="L84">
        <f t="shared" si="17"/>
        <v>1380</v>
      </c>
      <c r="M84">
        <f t="shared" si="18"/>
        <v>1620</v>
      </c>
    </row>
    <row r="85" spans="1:13" x14ac:dyDescent="0.35">
      <c r="A85" t="s">
        <v>804</v>
      </c>
      <c r="B85">
        <v>30</v>
      </c>
      <c r="D85">
        <v>22</v>
      </c>
      <c r="F85">
        <f t="shared" si="11"/>
        <v>330</v>
      </c>
      <c r="G85">
        <f t="shared" si="12"/>
        <v>528</v>
      </c>
      <c r="H85">
        <f t="shared" si="13"/>
        <v>594</v>
      </c>
      <c r="I85">
        <f t="shared" si="14"/>
        <v>682</v>
      </c>
      <c r="J85">
        <f t="shared" si="15"/>
        <v>300</v>
      </c>
      <c r="K85">
        <f t="shared" si="16"/>
        <v>900</v>
      </c>
      <c r="L85">
        <f t="shared" si="17"/>
        <v>1380</v>
      </c>
      <c r="M85">
        <f t="shared" si="18"/>
        <v>1620</v>
      </c>
    </row>
    <row r="86" spans="1:13" x14ac:dyDescent="0.35">
      <c r="A86" t="s">
        <v>805</v>
      </c>
      <c r="B86">
        <v>30</v>
      </c>
      <c r="D86">
        <v>22</v>
      </c>
      <c r="F86">
        <f t="shared" si="11"/>
        <v>330</v>
      </c>
      <c r="G86">
        <f t="shared" si="12"/>
        <v>528</v>
      </c>
      <c r="H86">
        <f t="shared" si="13"/>
        <v>594</v>
      </c>
      <c r="I86">
        <f t="shared" si="14"/>
        <v>682</v>
      </c>
      <c r="J86">
        <f t="shared" si="15"/>
        <v>300</v>
      </c>
      <c r="K86">
        <f t="shared" si="16"/>
        <v>900</v>
      </c>
      <c r="L86">
        <f t="shared" si="17"/>
        <v>1380</v>
      </c>
      <c r="M86">
        <f t="shared" si="18"/>
        <v>1620</v>
      </c>
    </row>
    <row r="87" spans="1:13" x14ac:dyDescent="0.35">
      <c r="A87" t="s">
        <v>806</v>
      </c>
      <c r="B87">
        <v>30</v>
      </c>
      <c r="D87">
        <v>22</v>
      </c>
      <c r="F87">
        <f t="shared" si="11"/>
        <v>330</v>
      </c>
      <c r="G87">
        <f t="shared" si="12"/>
        <v>528</v>
      </c>
      <c r="H87">
        <f t="shared" si="13"/>
        <v>594</v>
      </c>
      <c r="I87">
        <f t="shared" si="14"/>
        <v>682</v>
      </c>
      <c r="J87">
        <f t="shared" si="15"/>
        <v>300</v>
      </c>
      <c r="K87">
        <f t="shared" si="16"/>
        <v>900</v>
      </c>
      <c r="L87">
        <f t="shared" si="17"/>
        <v>1380</v>
      </c>
      <c r="M87">
        <f t="shared" si="18"/>
        <v>1620</v>
      </c>
    </row>
    <row r="88" spans="1:13" x14ac:dyDescent="0.35">
      <c r="A88" t="s">
        <v>807</v>
      </c>
      <c r="B88">
        <v>30</v>
      </c>
      <c r="D88">
        <v>22</v>
      </c>
      <c r="F88">
        <f t="shared" si="11"/>
        <v>330</v>
      </c>
      <c r="G88">
        <f t="shared" si="12"/>
        <v>528</v>
      </c>
      <c r="H88">
        <f t="shared" si="13"/>
        <v>594</v>
      </c>
      <c r="I88">
        <f t="shared" si="14"/>
        <v>682</v>
      </c>
      <c r="J88">
        <f t="shared" si="15"/>
        <v>300</v>
      </c>
      <c r="K88">
        <f t="shared" si="16"/>
        <v>900</v>
      </c>
      <c r="L88">
        <f t="shared" si="17"/>
        <v>1380</v>
      </c>
      <c r="M88">
        <f t="shared" si="18"/>
        <v>1620</v>
      </c>
    </row>
    <row r="89" spans="1:13" x14ac:dyDescent="0.35">
      <c r="A89" t="s">
        <v>808</v>
      </c>
      <c r="B89">
        <v>30</v>
      </c>
      <c r="D89">
        <v>22</v>
      </c>
      <c r="F89">
        <f t="shared" si="11"/>
        <v>330</v>
      </c>
      <c r="G89">
        <f t="shared" si="12"/>
        <v>528</v>
      </c>
      <c r="H89">
        <f t="shared" si="13"/>
        <v>594</v>
      </c>
      <c r="I89">
        <f t="shared" si="14"/>
        <v>682</v>
      </c>
      <c r="J89">
        <f t="shared" si="15"/>
        <v>300</v>
      </c>
      <c r="K89">
        <f t="shared" si="16"/>
        <v>900</v>
      </c>
      <c r="L89">
        <f t="shared" si="17"/>
        <v>1380</v>
      </c>
      <c r="M89">
        <f t="shared" si="18"/>
        <v>1620</v>
      </c>
    </row>
    <row r="90" spans="1:13" x14ac:dyDescent="0.35">
      <c r="A90" t="s">
        <v>809</v>
      </c>
      <c r="B90">
        <v>30</v>
      </c>
      <c r="D90">
        <v>22</v>
      </c>
      <c r="F90">
        <f t="shared" si="11"/>
        <v>330</v>
      </c>
      <c r="G90">
        <f t="shared" si="12"/>
        <v>528</v>
      </c>
      <c r="H90">
        <f t="shared" si="13"/>
        <v>594</v>
      </c>
      <c r="I90">
        <f t="shared" si="14"/>
        <v>682</v>
      </c>
      <c r="J90">
        <f t="shared" si="15"/>
        <v>300</v>
      </c>
      <c r="K90">
        <f t="shared" si="16"/>
        <v>900</v>
      </c>
      <c r="L90">
        <f t="shared" si="17"/>
        <v>1380</v>
      </c>
      <c r="M90">
        <f t="shared" si="18"/>
        <v>1620</v>
      </c>
    </row>
    <row r="91" spans="1:13" x14ac:dyDescent="0.35">
      <c r="A91" t="s">
        <v>810</v>
      </c>
      <c r="B91">
        <v>40</v>
      </c>
      <c r="D91">
        <v>41</v>
      </c>
      <c r="F91">
        <f t="shared" si="11"/>
        <v>615</v>
      </c>
      <c r="G91">
        <f t="shared" si="12"/>
        <v>984</v>
      </c>
      <c r="H91">
        <f t="shared" si="13"/>
        <v>1107</v>
      </c>
      <c r="I91">
        <f t="shared" si="14"/>
        <v>1271</v>
      </c>
      <c r="J91">
        <f t="shared" si="15"/>
        <v>400</v>
      </c>
      <c r="K91">
        <f t="shared" si="16"/>
        <v>1200</v>
      </c>
      <c r="L91">
        <f t="shared" si="17"/>
        <v>1840</v>
      </c>
      <c r="M91">
        <f t="shared" si="18"/>
        <v>2160</v>
      </c>
    </row>
    <row r="92" spans="1:13" x14ac:dyDescent="0.35">
      <c r="A92" t="s">
        <v>811</v>
      </c>
      <c r="B92">
        <v>40</v>
      </c>
      <c r="D92">
        <v>41</v>
      </c>
      <c r="F92">
        <f t="shared" si="11"/>
        <v>615</v>
      </c>
      <c r="G92">
        <f t="shared" si="12"/>
        <v>984</v>
      </c>
      <c r="H92">
        <f t="shared" si="13"/>
        <v>1107</v>
      </c>
      <c r="I92">
        <f t="shared" si="14"/>
        <v>1271</v>
      </c>
      <c r="J92">
        <f t="shared" si="15"/>
        <v>400</v>
      </c>
      <c r="K92">
        <f t="shared" si="16"/>
        <v>1200</v>
      </c>
      <c r="L92">
        <f t="shared" si="17"/>
        <v>1840</v>
      </c>
      <c r="M92">
        <f t="shared" si="18"/>
        <v>2160</v>
      </c>
    </row>
    <row r="93" spans="1:13" x14ac:dyDescent="0.35">
      <c r="A93" t="s">
        <v>812</v>
      </c>
      <c r="B93">
        <v>40</v>
      </c>
      <c r="D93">
        <v>41</v>
      </c>
      <c r="F93">
        <f t="shared" si="11"/>
        <v>615</v>
      </c>
      <c r="G93">
        <f t="shared" si="12"/>
        <v>984</v>
      </c>
      <c r="H93">
        <f t="shared" si="13"/>
        <v>1107</v>
      </c>
      <c r="I93">
        <f t="shared" si="14"/>
        <v>1271</v>
      </c>
      <c r="J93">
        <f t="shared" si="15"/>
        <v>400</v>
      </c>
      <c r="K93">
        <f t="shared" si="16"/>
        <v>1200</v>
      </c>
      <c r="L93">
        <f t="shared" si="17"/>
        <v>1840</v>
      </c>
      <c r="M93">
        <f t="shared" si="18"/>
        <v>2160</v>
      </c>
    </row>
    <row r="94" spans="1:13" x14ac:dyDescent="0.35">
      <c r="A94" t="s">
        <v>813</v>
      </c>
      <c r="B94">
        <v>40</v>
      </c>
      <c r="D94">
        <v>41</v>
      </c>
      <c r="F94">
        <f t="shared" si="11"/>
        <v>615</v>
      </c>
      <c r="G94">
        <f t="shared" si="12"/>
        <v>984</v>
      </c>
      <c r="H94">
        <f t="shared" si="13"/>
        <v>1107</v>
      </c>
      <c r="I94">
        <f t="shared" si="14"/>
        <v>1271</v>
      </c>
      <c r="J94">
        <f t="shared" si="15"/>
        <v>400</v>
      </c>
      <c r="K94">
        <f t="shared" si="16"/>
        <v>1200</v>
      </c>
      <c r="L94">
        <f t="shared" si="17"/>
        <v>1840</v>
      </c>
      <c r="M94">
        <f t="shared" si="18"/>
        <v>2160</v>
      </c>
    </row>
    <row r="95" spans="1:13" x14ac:dyDescent="0.35">
      <c r="A95" t="s">
        <v>814</v>
      </c>
      <c r="B95">
        <v>40</v>
      </c>
      <c r="D95">
        <v>41</v>
      </c>
      <c r="F95">
        <f t="shared" si="11"/>
        <v>615</v>
      </c>
      <c r="G95">
        <f t="shared" si="12"/>
        <v>984</v>
      </c>
      <c r="H95">
        <f t="shared" si="13"/>
        <v>1107</v>
      </c>
      <c r="I95">
        <f t="shared" si="14"/>
        <v>1271</v>
      </c>
      <c r="J95">
        <f t="shared" si="15"/>
        <v>400</v>
      </c>
      <c r="K95">
        <f t="shared" si="16"/>
        <v>1200</v>
      </c>
      <c r="L95">
        <f t="shared" si="17"/>
        <v>1840</v>
      </c>
      <c r="M95">
        <f t="shared" si="18"/>
        <v>2160</v>
      </c>
    </row>
  </sheetData>
  <mergeCells count="2">
    <mergeCell ref="F45:I45"/>
    <mergeCell ref="J45:M4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2DEE-F954-426F-9F37-D75089F309E9}">
  <dimension ref="A1:N41"/>
  <sheetViews>
    <sheetView workbookViewId="0">
      <pane ySplit="2" topLeftCell="A9" activePane="bottomLeft" state="frozen"/>
      <selection pane="bottomLeft" activeCell="M22" sqref="M22"/>
    </sheetView>
  </sheetViews>
  <sheetFormatPr defaultRowHeight="14.5" x14ac:dyDescent="0.35"/>
  <cols>
    <col min="3" max="3" width="17.453125" bestFit="1" customWidth="1"/>
    <col min="4" max="4" width="17.26953125" bestFit="1" customWidth="1"/>
    <col min="5" max="5" width="18.36328125" bestFit="1" customWidth="1"/>
    <col min="6" max="6" width="14.81640625" bestFit="1" customWidth="1"/>
    <col min="7" max="7" width="19.08984375" bestFit="1" customWidth="1"/>
    <col min="8" max="8" width="20" bestFit="1" customWidth="1"/>
    <col min="9" max="9" width="25.36328125" bestFit="1" customWidth="1"/>
    <col min="10" max="10" width="23.26953125" bestFit="1" customWidth="1"/>
    <col min="11" max="11" width="29.1796875" bestFit="1" customWidth="1"/>
    <col min="12" max="12" width="31.36328125" bestFit="1" customWidth="1"/>
    <col min="13" max="13" width="26" bestFit="1" customWidth="1"/>
    <col min="14" max="14" width="16.453125" bestFit="1" customWidth="1"/>
  </cols>
  <sheetData>
    <row r="1" spans="1:14" s="39" customFormat="1" ht="18.5" x14ac:dyDescent="0.45">
      <c r="A1" s="39" t="s">
        <v>176</v>
      </c>
      <c r="C1" s="39">
        <v>1955</v>
      </c>
      <c r="D1" s="39">
        <v>1960</v>
      </c>
      <c r="E1" s="39">
        <v>1965</v>
      </c>
      <c r="F1" s="39">
        <v>1970</v>
      </c>
      <c r="G1" s="39">
        <v>1975</v>
      </c>
      <c r="H1" s="39">
        <v>1980</v>
      </c>
      <c r="I1" s="39">
        <v>1985</v>
      </c>
      <c r="J1" s="39">
        <v>1995</v>
      </c>
      <c r="K1" s="39">
        <v>2005</v>
      </c>
      <c r="L1" s="39">
        <v>2020</v>
      </c>
      <c r="M1" s="39">
        <v>2040</v>
      </c>
      <c r="N1" s="39">
        <v>2060</v>
      </c>
    </row>
    <row r="2" spans="1:14" x14ac:dyDescent="0.35">
      <c r="C2">
        <v>-2308</v>
      </c>
      <c r="D2">
        <v>-2188</v>
      </c>
      <c r="E2">
        <v>-2068</v>
      </c>
      <c r="F2">
        <v>-1948</v>
      </c>
      <c r="G2">
        <v>-1828</v>
      </c>
      <c r="H2">
        <v>-1708</v>
      </c>
      <c r="I2">
        <v>-1588</v>
      </c>
      <c r="J2">
        <v>-1468</v>
      </c>
      <c r="K2">
        <v>-1348</v>
      </c>
      <c r="L2">
        <v>-1228</v>
      </c>
      <c r="M2">
        <v>-1108</v>
      </c>
      <c r="N2">
        <v>-988</v>
      </c>
    </row>
    <row r="4" spans="1:14" x14ac:dyDescent="0.35">
      <c r="A4" s="57" t="s">
        <v>139</v>
      </c>
      <c r="B4">
        <v>1665</v>
      </c>
      <c r="C4" t="s">
        <v>88</v>
      </c>
      <c r="D4" t="s">
        <v>75</v>
      </c>
      <c r="E4" t="s">
        <v>76</v>
      </c>
      <c r="F4" t="s">
        <v>77</v>
      </c>
      <c r="G4" s="38" t="s">
        <v>938</v>
      </c>
      <c r="H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</row>
    <row r="5" spans="1:14" x14ac:dyDescent="0.35">
      <c r="A5" s="57" t="s">
        <v>518</v>
      </c>
      <c r="F5" s="37"/>
    </row>
    <row r="6" spans="1:14" x14ac:dyDescent="0.35">
      <c r="F6" s="37"/>
      <c r="G6" t="s">
        <v>253</v>
      </c>
      <c r="I6" t="s">
        <v>254</v>
      </c>
      <c r="J6" t="s">
        <v>255</v>
      </c>
      <c r="K6" t="s">
        <v>256</v>
      </c>
      <c r="L6" t="s">
        <v>257</v>
      </c>
      <c r="M6" t="s">
        <v>258</v>
      </c>
      <c r="N6" t="s">
        <v>259</v>
      </c>
    </row>
    <row r="7" spans="1:14" x14ac:dyDescent="0.35">
      <c r="A7" s="56" t="s">
        <v>140</v>
      </c>
      <c r="B7">
        <f>B4-120</f>
        <v>1545</v>
      </c>
      <c r="F7" s="37"/>
      <c r="G7" t="s">
        <v>141</v>
      </c>
      <c r="H7" s="38"/>
      <c r="I7" t="s">
        <v>143</v>
      </c>
      <c r="J7" s="38" t="s">
        <v>360</v>
      </c>
      <c r="K7" t="s">
        <v>196</v>
      </c>
      <c r="L7" t="s">
        <v>377</v>
      </c>
      <c r="M7" t="s">
        <v>145</v>
      </c>
      <c r="N7" t="s">
        <v>195</v>
      </c>
    </row>
    <row r="8" spans="1:14" x14ac:dyDescent="0.35">
      <c r="A8" s="56" t="s">
        <v>519</v>
      </c>
      <c r="G8" s="37"/>
    </row>
    <row r="9" spans="1:14" x14ac:dyDescent="0.35">
      <c r="G9" s="37"/>
    </row>
    <row r="10" spans="1:14" x14ac:dyDescent="0.35">
      <c r="A10" s="57" t="s">
        <v>157</v>
      </c>
      <c r="B10">
        <f>B7-120</f>
        <v>1425</v>
      </c>
      <c r="F10" t="s">
        <v>142</v>
      </c>
      <c r="G10" s="37"/>
      <c r="H10" t="s">
        <v>147</v>
      </c>
      <c r="J10" t="s">
        <v>522</v>
      </c>
      <c r="L10" t="s">
        <v>194</v>
      </c>
      <c r="M10" s="38" t="s">
        <v>502</v>
      </c>
      <c r="N10" s="38" t="s">
        <v>503</v>
      </c>
    </row>
    <row r="11" spans="1:14" x14ac:dyDescent="0.35">
      <c r="A11" s="57" t="s">
        <v>520</v>
      </c>
    </row>
    <row r="13" spans="1:14" x14ac:dyDescent="0.35">
      <c r="A13" s="56" t="s">
        <v>148</v>
      </c>
      <c r="B13">
        <f>B10-120</f>
        <v>1305</v>
      </c>
      <c r="E13" s="37"/>
      <c r="F13" t="s">
        <v>151</v>
      </c>
      <c r="H13" t="s">
        <v>152</v>
      </c>
      <c r="J13" t="s">
        <v>153</v>
      </c>
      <c r="L13" t="s">
        <v>154</v>
      </c>
      <c r="M13" t="s">
        <v>155</v>
      </c>
      <c r="N13" t="s">
        <v>156</v>
      </c>
    </row>
    <row r="14" spans="1:14" x14ac:dyDescent="0.35">
      <c r="A14" s="56" t="s">
        <v>519</v>
      </c>
      <c r="E14" s="37"/>
    </row>
    <row r="15" spans="1:14" x14ac:dyDescent="0.35">
      <c r="E15" s="37"/>
      <c r="K15" t="s">
        <v>138</v>
      </c>
    </row>
    <row r="16" spans="1:14" x14ac:dyDescent="0.35">
      <c r="A16" s="55" t="s">
        <v>180</v>
      </c>
      <c r="B16">
        <f>B13-120</f>
        <v>1185</v>
      </c>
      <c r="D16" t="s">
        <v>150</v>
      </c>
      <c r="E16" t="s">
        <v>149</v>
      </c>
      <c r="F16" t="s">
        <v>188</v>
      </c>
      <c r="G16" t="s">
        <v>189</v>
      </c>
      <c r="H16" t="s">
        <v>190</v>
      </c>
      <c r="I16" t="s">
        <v>191</v>
      </c>
      <c r="J16" t="s">
        <v>192</v>
      </c>
      <c r="K16" s="11" t="s">
        <v>193</v>
      </c>
      <c r="L16" t="s">
        <v>197</v>
      </c>
    </row>
    <row r="17" spans="1:14" x14ac:dyDescent="0.35">
      <c r="A17" s="55" t="s">
        <v>521</v>
      </c>
    </row>
    <row r="19" spans="1:14" x14ac:dyDescent="0.35">
      <c r="A19" s="57" t="s">
        <v>168</v>
      </c>
      <c r="B19">
        <f>B16-120</f>
        <v>1065</v>
      </c>
      <c r="J19" s="37"/>
      <c r="K19" t="s">
        <v>169</v>
      </c>
      <c r="L19" t="s">
        <v>204</v>
      </c>
      <c r="M19" t="s">
        <v>705</v>
      </c>
      <c r="N19" t="s">
        <v>704</v>
      </c>
    </row>
    <row r="20" spans="1:14" x14ac:dyDescent="0.35">
      <c r="A20" s="57" t="s">
        <v>518</v>
      </c>
      <c r="J20" s="37"/>
    </row>
    <row r="21" spans="1:14" x14ac:dyDescent="0.35">
      <c r="J21" s="37"/>
    </row>
    <row r="22" spans="1:14" x14ac:dyDescent="0.35">
      <c r="A22" s="56" t="s">
        <v>165</v>
      </c>
      <c r="B22">
        <f>B19-120</f>
        <v>945</v>
      </c>
      <c r="G22" s="37"/>
      <c r="H22" t="s">
        <v>166</v>
      </c>
      <c r="J22" t="s">
        <v>167</v>
      </c>
      <c r="K22" t="s">
        <v>203</v>
      </c>
      <c r="L22" t="s">
        <v>202</v>
      </c>
      <c r="M22" s="38" t="s">
        <v>378</v>
      </c>
      <c r="N22" t="s">
        <v>379</v>
      </c>
    </row>
    <row r="23" spans="1:14" x14ac:dyDescent="0.35">
      <c r="A23" s="56" t="s">
        <v>519</v>
      </c>
      <c r="G23" s="37"/>
    </row>
    <row r="24" spans="1:14" x14ac:dyDescent="0.35">
      <c r="G24" s="37"/>
      <c r="L24" t="s">
        <v>138</v>
      </c>
    </row>
    <row r="25" spans="1:14" x14ac:dyDescent="0.35">
      <c r="A25" s="56" t="s">
        <v>158</v>
      </c>
      <c r="B25">
        <f>B22-120</f>
        <v>825</v>
      </c>
      <c r="C25" t="s">
        <v>88</v>
      </c>
      <c r="E25" t="s">
        <v>90</v>
      </c>
      <c r="F25" t="s">
        <v>158</v>
      </c>
      <c r="G25" t="s">
        <v>198</v>
      </c>
      <c r="H25" t="s">
        <v>199</v>
      </c>
      <c r="I25" t="s">
        <v>200</v>
      </c>
      <c r="J25" t="s">
        <v>201</v>
      </c>
      <c r="K25" t="s">
        <v>435</v>
      </c>
      <c r="L25" s="11" t="s">
        <v>436</v>
      </c>
      <c r="M25" s="38" t="s">
        <v>170</v>
      </c>
      <c r="N25" s="38" t="s">
        <v>170</v>
      </c>
    </row>
    <row r="26" spans="1:14" x14ac:dyDescent="0.35">
      <c r="A26" s="56" t="s">
        <v>519</v>
      </c>
      <c r="D26" s="37"/>
      <c r="E26" s="37"/>
      <c r="F26" s="37"/>
    </row>
    <row r="27" spans="1:14" x14ac:dyDescent="0.35">
      <c r="D27" s="37"/>
      <c r="E27" s="37"/>
      <c r="F27" s="37"/>
    </row>
    <row r="28" spans="1:14" x14ac:dyDescent="0.35">
      <c r="A28" s="56" t="s">
        <v>160</v>
      </c>
      <c r="B28">
        <f>B25-120</f>
        <v>705</v>
      </c>
      <c r="D28" s="37"/>
      <c r="E28" s="37"/>
      <c r="F28" s="37"/>
      <c r="G28" t="s">
        <v>161</v>
      </c>
      <c r="I28" t="s">
        <v>162</v>
      </c>
      <c r="K28" t="s">
        <v>163</v>
      </c>
      <c r="M28" s="38" t="s">
        <v>482</v>
      </c>
      <c r="N28" s="38" t="s">
        <v>483</v>
      </c>
    </row>
    <row r="29" spans="1:14" x14ac:dyDescent="0.35">
      <c r="A29" s="56" t="s">
        <v>519</v>
      </c>
      <c r="D29" s="37"/>
      <c r="E29" s="37"/>
    </row>
    <row r="30" spans="1:14" x14ac:dyDescent="0.35">
      <c r="D30" s="37"/>
      <c r="E30" s="37"/>
    </row>
    <row r="31" spans="1:14" x14ac:dyDescent="0.35">
      <c r="A31" s="56" t="s">
        <v>159</v>
      </c>
      <c r="B31">
        <f>B28-120</f>
        <v>585</v>
      </c>
      <c r="C31" s="38" t="s">
        <v>88</v>
      </c>
      <c r="D31" s="38" t="s">
        <v>89</v>
      </c>
      <c r="E31" s="37"/>
      <c r="F31" t="s">
        <v>91</v>
      </c>
      <c r="G31" t="s">
        <v>92</v>
      </c>
      <c r="I31" t="s">
        <v>205</v>
      </c>
      <c r="J31" t="s">
        <v>164</v>
      </c>
      <c r="K31" t="s">
        <v>93</v>
      </c>
      <c r="L31" t="s">
        <v>206</v>
      </c>
      <c r="M31" s="38" t="s">
        <v>207</v>
      </c>
    </row>
    <row r="32" spans="1:14" x14ac:dyDescent="0.35">
      <c r="A32" s="56" t="s">
        <v>519</v>
      </c>
      <c r="D32" s="37"/>
      <c r="E32" s="37"/>
    </row>
    <row r="33" spans="1:13" x14ac:dyDescent="0.35">
      <c r="D33" s="37"/>
      <c r="E33" s="37"/>
    </row>
    <row r="34" spans="1:13" x14ac:dyDescent="0.35">
      <c r="A34" s="56" t="s">
        <v>171</v>
      </c>
      <c r="B34">
        <f>B31-120</f>
        <v>465</v>
      </c>
      <c r="D34" s="37"/>
      <c r="E34" s="37"/>
      <c r="F34" t="s">
        <v>173</v>
      </c>
      <c r="G34" t="s">
        <v>174</v>
      </c>
      <c r="H34" t="s">
        <v>177</v>
      </c>
      <c r="I34" t="s">
        <v>178</v>
      </c>
      <c r="J34" t="s">
        <v>392</v>
      </c>
      <c r="K34" t="s">
        <v>179</v>
      </c>
      <c r="L34" s="38" t="s">
        <v>447</v>
      </c>
      <c r="M34" s="38" t="s">
        <v>446</v>
      </c>
    </row>
    <row r="35" spans="1:13" x14ac:dyDescent="0.35">
      <c r="A35" s="56" t="s">
        <v>519</v>
      </c>
      <c r="D35" s="37"/>
      <c r="G35" s="28"/>
    </row>
    <row r="36" spans="1:13" x14ac:dyDescent="0.35">
      <c r="D36" s="37"/>
      <c r="G36" s="28"/>
    </row>
    <row r="37" spans="1:13" x14ac:dyDescent="0.35">
      <c r="A37" s="55" t="s">
        <v>175</v>
      </c>
      <c r="B37">
        <f>B34-120</f>
        <v>345</v>
      </c>
      <c r="D37" s="37"/>
      <c r="F37" t="s">
        <v>184</v>
      </c>
      <c r="G37" t="s">
        <v>185</v>
      </c>
      <c r="H37" t="s">
        <v>186</v>
      </c>
      <c r="J37" s="38" t="s">
        <v>578</v>
      </c>
      <c r="L37" s="38" t="s">
        <v>579</v>
      </c>
    </row>
    <row r="38" spans="1:13" x14ac:dyDescent="0.35">
      <c r="A38" s="55" t="s">
        <v>521</v>
      </c>
      <c r="D38" s="37"/>
    </row>
    <row r="39" spans="1:13" x14ac:dyDescent="0.35">
      <c r="D39" s="37"/>
    </row>
    <row r="40" spans="1:13" x14ac:dyDescent="0.35">
      <c r="A40" s="55" t="s">
        <v>172</v>
      </c>
      <c r="B40">
        <f>B37-120</f>
        <v>225</v>
      </c>
      <c r="C40" t="s">
        <v>88</v>
      </c>
      <c r="D40" s="37" t="s">
        <v>187</v>
      </c>
      <c r="E40" t="s">
        <v>181</v>
      </c>
      <c r="F40" t="s">
        <v>182</v>
      </c>
      <c r="H40" s="7" t="s">
        <v>183</v>
      </c>
      <c r="J40" s="38" t="s">
        <v>208</v>
      </c>
      <c r="K40" s="38" t="s">
        <v>209</v>
      </c>
      <c r="L40" t="s">
        <v>170</v>
      </c>
    </row>
    <row r="41" spans="1:13" x14ac:dyDescent="0.35">
      <c r="A41" s="55" t="s">
        <v>521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BBDE-1C99-4AD8-B22F-AF85F27DC7EB}">
  <dimension ref="A1:S109"/>
  <sheetViews>
    <sheetView topLeftCell="A68" zoomScaleNormal="100" workbookViewId="0">
      <selection activeCell="B15" sqref="B15"/>
    </sheetView>
  </sheetViews>
  <sheetFormatPr defaultRowHeight="14.5" x14ac:dyDescent="0.35"/>
  <cols>
    <col min="2" max="3" width="8.7265625" customWidth="1"/>
    <col min="4" max="5" width="9.36328125" customWidth="1"/>
    <col min="6" max="7" width="11" customWidth="1"/>
    <col min="8" max="8" width="8.7265625" customWidth="1"/>
    <col min="9" max="9" width="9.453125" customWidth="1"/>
    <col min="10" max="10" width="9.36328125" customWidth="1"/>
    <col min="11" max="11" width="10.1796875" bestFit="1" customWidth="1"/>
    <col min="12" max="12" width="10.54296875" bestFit="1" customWidth="1"/>
    <col min="15" max="15" width="9.36328125" bestFit="1" customWidth="1"/>
  </cols>
  <sheetData>
    <row r="1" spans="1:18" hidden="1" x14ac:dyDescent="0.35">
      <c r="A1" t="s">
        <v>849</v>
      </c>
      <c r="B1" t="s">
        <v>96</v>
      </c>
      <c r="C1" t="s">
        <v>97</v>
      </c>
      <c r="D1" t="s">
        <v>98</v>
      </c>
      <c r="E1" t="s">
        <v>848</v>
      </c>
    </row>
    <row r="2" spans="1:18" hidden="1" x14ac:dyDescent="0.35">
      <c r="A2">
        <v>1945</v>
      </c>
      <c r="B2">
        <v>25</v>
      </c>
      <c r="C2" s="19"/>
      <c r="D2" s="19"/>
      <c r="E2" s="19"/>
      <c r="F2" s="19"/>
      <c r="G2" s="19"/>
    </row>
    <row r="3" spans="1:18" hidden="1" x14ac:dyDescent="0.35">
      <c r="A3">
        <v>1955</v>
      </c>
      <c r="B3">
        <v>60</v>
      </c>
      <c r="C3">
        <v>40</v>
      </c>
      <c r="D3" s="19"/>
      <c r="E3" s="19"/>
      <c r="F3" s="19"/>
      <c r="G3" s="19"/>
    </row>
    <row r="4" spans="1:18" hidden="1" x14ac:dyDescent="0.35">
      <c r="A4">
        <v>1960</v>
      </c>
      <c r="B4">
        <v>125</v>
      </c>
      <c r="C4">
        <v>100</v>
      </c>
      <c r="D4">
        <v>3</v>
      </c>
      <c r="E4">
        <v>2</v>
      </c>
    </row>
    <row r="5" spans="1:18" hidden="1" x14ac:dyDescent="0.35">
      <c r="A5">
        <v>1965</v>
      </c>
      <c r="B5">
        <v>250</v>
      </c>
      <c r="C5">
        <v>150</v>
      </c>
      <c r="D5">
        <v>3.5</v>
      </c>
      <c r="E5">
        <v>2.4</v>
      </c>
    </row>
    <row r="6" spans="1:18" hidden="1" x14ac:dyDescent="0.35">
      <c r="A6">
        <v>1970</v>
      </c>
      <c r="B6">
        <v>600</v>
      </c>
      <c r="C6">
        <v>300</v>
      </c>
      <c r="D6">
        <v>4</v>
      </c>
      <c r="E6">
        <f t="shared" ref="E6:E7" si="0">D6*0.7</f>
        <v>2.8</v>
      </c>
    </row>
    <row r="7" spans="1:18" hidden="1" x14ac:dyDescent="0.35">
      <c r="A7">
        <v>1980</v>
      </c>
      <c r="B7">
        <v>1500</v>
      </c>
      <c r="C7">
        <v>600</v>
      </c>
      <c r="D7">
        <v>5</v>
      </c>
      <c r="E7">
        <f t="shared" si="0"/>
        <v>3.5</v>
      </c>
    </row>
    <row r="8" spans="1:18" hidden="1" x14ac:dyDescent="0.35">
      <c r="A8">
        <v>1995</v>
      </c>
      <c r="B8">
        <v>3000</v>
      </c>
      <c r="C8">
        <v>1200</v>
      </c>
      <c r="D8">
        <v>6.5</v>
      </c>
      <c r="E8">
        <v>4.5</v>
      </c>
    </row>
    <row r="9" spans="1:18" hidden="1" x14ac:dyDescent="0.35">
      <c r="A9">
        <v>2005</v>
      </c>
      <c r="B9">
        <v>7500</v>
      </c>
      <c r="C9">
        <v>2250</v>
      </c>
      <c r="D9">
        <v>8</v>
      </c>
      <c r="E9">
        <v>5.5</v>
      </c>
    </row>
    <row r="10" spans="1:18" hidden="1" x14ac:dyDescent="0.35">
      <c r="A10">
        <v>2020</v>
      </c>
      <c r="B10">
        <v>15000</v>
      </c>
      <c r="C10">
        <v>4500</v>
      </c>
      <c r="D10">
        <v>12</v>
      </c>
      <c r="E10">
        <v>8.5</v>
      </c>
    </row>
    <row r="11" spans="1:18" hidden="1" x14ac:dyDescent="0.35">
      <c r="A11">
        <v>2040</v>
      </c>
      <c r="B11">
        <v>22500</v>
      </c>
      <c r="C11">
        <v>7500</v>
      </c>
      <c r="D11">
        <v>18</v>
      </c>
      <c r="E11">
        <v>12.5</v>
      </c>
    </row>
    <row r="12" spans="1:18" hidden="1" x14ac:dyDescent="0.35"/>
    <row r="13" spans="1:18" x14ac:dyDescent="0.35">
      <c r="B13">
        <v>1.25</v>
      </c>
      <c r="C13">
        <v>1.25</v>
      </c>
      <c r="D13">
        <v>0.625</v>
      </c>
      <c r="E13">
        <v>0.625</v>
      </c>
      <c r="F13">
        <v>0.875</v>
      </c>
      <c r="G13">
        <v>0.625</v>
      </c>
      <c r="H13">
        <v>2.5</v>
      </c>
      <c r="I13">
        <v>3.75</v>
      </c>
      <c r="J13">
        <v>0.625</v>
      </c>
    </row>
    <row r="14" spans="1:18" x14ac:dyDescent="0.35">
      <c r="A14" t="s">
        <v>850</v>
      </c>
      <c r="B14" t="s">
        <v>96</v>
      </c>
      <c r="C14" t="s">
        <v>97</v>
      </c>
      <c r="D14" t="s">
        <v>98</v>
      </c>
      <c r="E14" t="s">
        <v>848</v>
      </c>
      <c r="F14" t="s">
        <v>863</v>
      </c>
      <c r="G14" t="s">
        <v>866</v>
      </c>
      <c r="H14" t="s">
        <v>851</v>
      </c>
      <c r="I14" t="s">
        <v>852</v>
      </c>
      <c r="J14" t="s">
        <v>853</v>
      </c>
      <c r="L14" t="s">
        <v>854</v>
      </c>
      <c r="M14" t="s">
        <v>855</v>
      </c>
      <c r="N14" t="s">
        <v>856</v>
      </c>
      <c r="O14" t="s">
        <v>857</v>
      </c>
      <c r="Q14" t="s">
        <v>906</v>
      </c>
      <c r="R14" t="s">
        <v>907</v>
      </c>
    </row>
    <row r="15" spans="1:18" x14ac:dyDescent="0.35">
      <c r="A15">
        <v>1945</v>
      </c>
      <c r="B15">
        <v>12.5</v>
      </c>
      <c r="C15" s="19"/>
      <c r="D15" s="19"/>
      <c r="E15" s="19"/>
      <c r="F15" s="19"/>
      <c r="G15" s="19"/>
      <c r="H15" s="19"/>
      <c r="I15" s="19"/>
      <c r="J15" s="19"/>
      <c r="L15" s="19"/>
      <c r="P15" t="s">
        <v>905</v>
      </c>
      <c r="Q15">
        <f>B15*8</f>
        <v>100</v>
      </c>
      <c r="R15">
        <f>Q15/2</f>
        <v>50</v>
      </c>
    </row>
    <row r="16" spans="1:18" x14ac:dyDescent="0.35">
      <c r="A16">
        <v>1955</v>
      </c>
      <c r="B16">
        <v>30</v>
      </c>
      <c r="C16">
        <v>10</v>
      </c>
      <c r="D16" s="19"/>
      <c r="E16" s="19"/>
      <c r="F16" s="19"/>
      <c r="G16" s="19"/>
      <c r="H16">
        <f>B16*3.5</f>
        <v>105</v>
      </c>
      <c r="I16" s="19"/>
      <c r="J16">
        <v>0.04</v>
      </c>
      <c r="L16" s="19"/>
      <c r="P16" t="s">
        <v>3</v>
      </c>
      <c r="Q16">
        <f>8*B27</f>
        <v>4</v>
      </c>
      <c r="R16">
        <f t="shared" ref="R16:R18" si="1">Q16/2</f>
        <v>2</v>
      </c>
    </row>
    <row r="17" spans="1:19" x14ac:dyDescent="0.35">
      <c r="A17">
        <v>1960</v>
      </c>
      <c r="B17">
        <v>60</v>
      </c>
      <c r="C17">
        <v>20</v>
      </c>
      <c r="D17">
        <v>0.45</v>
      </c>
      <c r="E17">
        <v>0.45</v>
      </c>
      <c r="H17">
        <f t="shared" ref="H17:H21" si="2">B17*3.5</f>
        <v>210</v>
      </c>
      <c r="I17">
        <f>H17*3.5</f>
        <v>735</v>
      </c>
      <c r="J17">
        <v>3.5000000000000003E-2</v>
      </c>
      <c r="L17">
        <v>0.2</v>
      </c>
      <c r="M17">
        <f>D17-D29-L17</f>
        <v>0.10000000000000003</v>
      </c>
      <c r="N17">
        <f>E17-E29-L17</f>
        <v>2.4999999999999994E-2</v>
      </c>
      <c r="O17">
        <f>N17+E17-E29</f>
        <v>0.24999999999999997</v>
      </c>
      <c r="P17" t="s">
        <v>442</v>
      </c>
      <c r="Q17">
        <f>8*B51</f>
        <v>18000</v>
      </c>
      <c r="R17">
        <f t="shared" si="1"/>
        <v>9000</v>
      </c>
    </row>
    <row r="18" spans="1:19" x14ac:dyDescent="0.35">
      <c r="A18">
        <v>1965</v>
      </c>
      <c r="B18">
        <v>100</v>
      </c>
      <c r="C18">
        <v>30</v>
      </c>
      <c r="D18">
        <v>0.45500000000000002</v>
      </c>
      <c r="E18" s="19">
        <v>0.51</v>
      </c>
      <c r="F18" s="19"/>
      <c r="G18" s="19"/>
      <c r="H18">
        <f t="shared" si="2"/>
        <v>350</v>
      </c>
      <c r="I18">
        <f t="shared" ref="I18:I21" si="3">H18*3.5</f>
        <v>1225</v>
      </c>
      <c r="J18">
        <v>0.03</v>
      </c>
      <c r="L18">
        <v>0.28499999999999998</v>
      </c>
      <c r="M18">
        <f>D18-D30-L18</f>
        <v>4.0000000000000036E-2</v>
      </c>
      <c r="N18">
        <f>E18-E30-L18</f>
        <v>1.2500000000000011E-2</v>
      </c>
      <c r="O18">
        <f>N18+E18-E30</f>
        <v>0.30999999999999994</v>
      </c>
      <c r="P18" t="s">
        <v>443</v>
      </c>
      <c r="Q18">
        <f>8*B63*1000</f>
        <v>100</v>
      </c>
      <c r="R18">
        <f t="shared" si="1"/>
        <v>50</v>
      </c>
    </row>
    <row r="19" spans="1:19" x14ac:dyDescent="0.35">
      <c r="A19">
        <v>1970</v>
      </c>
      <c r="B19">
        <v>240</v>
      </c>
      <c r="C19">
        <v>54</v>
      </c>
      <c r="D19">
        <v>0.48</v>
      </c>
      <c r="E19">
        <v>0.56000000000000005</v>
      </c>
      <c r="H19">
        <f t="shared" si="2"/>
        <v>840</v>
      </c>
      <c r="I19">
        <f t="shared" si="3"/>
        <v>2940</v>
      </c>
      <c r="J19">
        <v>2.5000000000000001E-2</v>
      </c>
      <c r="L19">
        <v>0.32500000000000001</v>
      </c>
      <c r="M19">
        <f t="shared" ref="M19:M24" si="4">D19-D31-L19</f>
        <v>3.4999999999999976E-2</v>
      </c>
      <c r="N19">
        <f t="shared" ref="N19:N24" si="5">E19-E31-L19</f>
        <v>3.4999999999999976E-2</v>
      </c>
    </row>
    <row r="20" spans="1:19" x14ac:dyDescent="0.35">
      <c r="A20">
        <v>1980</v>
      </c>
      <c r="B20" s="7">
        <v>300</v>
      </c>
      <c r="C20">
        <v>60</v>
      </c>
      <c r="D20">
        <v>0.55000000000000004</v>
      </c>
      <c r="E20">
        <v>0.61250000000000004</v>
      </c>
      <c r="F20">
        <f t="shared" ref="F20:F21" si="6">C20/3</f>
        <v>20</v>
      </c>
      <c r="H20">
        <f t="shared" si="2"/>
        <v>1050</v>
      </c>
      <c r="I20">
        <f t="shared" si="3"/>
        <v>3675</v>
      </c>
      <c r="L20">
        <v>0.25</v>
      </c>
      <c r="M20">
        <f t="shared" si="4"/>
        <v>0.19000000000000006</v>
      </c>
      <c r="N20">
        <f t="shared" si="5"/>
        <v>0.1875</v>
      </c>
      <c r="S20" t="s">
        <v>908</v>
      </c>
    </row>
    <row r="21" spans="1:19" x14ac:dyDescent="0.35">
      <c r="A21">
        <v>1995</v>
      </c>
      <c r="B21">
        <v>540</v>
      </c>
      <c r="C21">
        <v>108</v>
      </c>
      <c r="D21">
        <v>0.65</v>
      </c>
      <c r="E21">
        <v>0.67500000000000004</v>
      </c>
      <c r="F21">
        <f t="shared" si="6"/>
        <v>36</v>
      </c>
      <c r="G21">
        <f>F21/3</f>
        <v>12</v>
      </c>
      <c r="H21">
        <f t="shared" si="2"/>
        <v>1890</v>
      </c>
      <c r="I21">
        <f t="shared" si="3"/>
        <v>6615</v>
      </c>
      <c r="L21">
        <v>0.22500000000000001</v>
      </c>
      <c r="M21">
        <f t="shared" si="4"/>
        <v>0.32500000000000007</v>
      </c>
      <c r="N21">
        <f t="shared" si="5"/>
        <v>0.30000000000000004</v>
      </c>
      <c r="Q21">
        <v>1.25</v>
      </c>
      <c r="R21">
        <v>2.5</v>
      </c>
      <c r="S21">
        <v>3.75</v>
      </c>
    </row>
    <row r="22" spans="1:19" x14ac:dyDescent="0.35">
      <c r="A22">
        <v>2005</v>
      </c>
      <c r="B22">
        <v>1200</v>
      </c>
      <c r="C22">
        <v>162</v>
      </c>
      <c r="D22">
        <v>0.76</v>
      </c>
      <c r="E22">
        <v>0.6875</v>
      </c>
      <c r="F22">
        <f>C22/3</f>
        <v>54</v>
      </c>
      <c r="G22">
        <f>F22/3</f>
        <v>18</v>
      </c>
      <c r="H22">
        <f t="shared" ref="H22:H24" si="7">B22*2.5</f>
        <v>3000</v>
      </c>
      <c r="I22">
        <f t="shared" ref="I22:I24" si="8">H22*2</f>
        <v>6000</v>
      </c>
      <c r="L22">
        <v>0.2</v>
      </c>
      <c r="M22">
        <f t="shared" si="4"/>
        <v>0.46500000000000002</v>
      </c>
      <c r="N22">
        <f t="shared" si="5"/>
        <v>0.36249999999999999</v>
      </c>
      <c r="P22" t="s">
        <v>94</v>
      </c>
      <c r="R22">
        <v>2.5760000000000001</v>
      </c>
      <c r="S22">
        <v>8.6940000000000008</v>
      </c>
    </row>
    <row r="23" spans="1:19" x14ac:dyDescent="0.35">
      <c r="A23">
        <v>2020</v>
      </c>
      <c r="B23">
        <v>2100</v>
      </c>
      <c r="C23">
        <v>270</v>
      </c>
      <c r="D23">
        <v>1.08</v>
      </c>
      <c r="E23">
        <v>0.85</v>
      </c>
      <c r="F23">
        <f t="shared" ref="F23:F24" si="9">C23/3</f>
        <v>90</v>
      </c>
      <c r="G23">
        <f t="shared" ref="G23:G24" si="10">F23/3</f>
        <v>30</v>
      </c>
      <c r="H23">
        <f t="shared" si="7"/>
        <v>5250</v>
      </c>
      <c r="I23">
        <f t="shared" si="8"/>
        <v>10500</v>
      </c>
      <c r="J23">
        <v>2.5000000000000001E-2</v>
      </c>
      <c r="L23">
        <v>0.2</v>
      </c>
      <c r="M23">
        <f t="shared" si="4"/>
        <v>0.79</v>
      </c>
      <c r="N23">
        <f t="shared" si="5"/>
        <v>0.55000000000000004</v>
      </c>
      <c r="P23" t="s">
        <v>580</v>
      </c>
      <c r="S23">
        <v>141.1</v>
      </c>
    </row>
    <row r="24" spans="1:19" x14ac:dyDescent="0.35">
      <c r="A24">
        <v>2040</v>
      </c>
      <c r="B24">
        <v>2700</v>
      </c>
      <c r="C24">
        <v>375</v>
      </c>
      <c r="D24">
        <v>1.62</v>
      </c>
      <c r="E24">
        <v>1</v>
      </c>
      <c r="F24">
        <f t="shared" si="9"/>
        <v>125</v>
      </c>
      <c r="G24" s="41">
        <f t="shared" si="10"/>
        <v>41.666666666666664</v>
      </c>
      <c r="H24">
        <f t="shared" si="7"/>
        <v>6750</v>
      </c>
      <c r="I24">
        <f t="shared" si="8"/>
        <v>13500</v>
      </c>
      <c r="L24">
        <v>0.2</v>
      </c>
      <c r="M24">
        <f t="shared" si="4"/>
        <v>1.33</v>
      </c>
      <c r="N24">
        <f t="shared" si="5"/>
        <v>0.72</v>
      </c>
      <c r="S24" t="s">
        <v>909</v>
      </c>
    </row>
    <row r="25" spans="1:19" x14ac:dyDescent="0.35">
      <c r="R25">
        <v>1.8220000000000001</v>
      </c>
      <c r="S25">
        <v>5.0190000000000001</v>
      </c>
    </row>
    <row r="26" spans="1:19" x14ac:dyDescent="0.35">
      <c r="A26" t="s">
        <v>3</v>
      </c>
      <c r="B26" t="s">
        <v>96</v>
      </c>
      <c r="C26" t="s">
        <v>97</v>
      </c>
      <c r="D26" t="s">
        <v>98</v>
      </c>
      <c r="E26" t="s">
        <v>848</v>
      </c>
      <c r="H26" t="s">
        <v>851</v>
      </c>
      <c r="I26" t="s">
        <v>852</v>
      </c>
      <c r="J26" t="s">
        <v>853</v>
      </c>
      <c r="R26">
        <v>127.3</v>
      </c>
      <c r="S26">
        <v>141.1</v>
      </c>
    </row>
    <row r="27" spans="1:19" x14ac:dyDescent="0.35">
      <c r="A27">
        <v>1945</v>
      </c>
      <c r="B27">
        <f t="shared" ref="B27:B36" si="11">B15/B2</f>
        <v>0.5</v>
      </c>
      <c r="C27" s="19"/>
      <c r="D27" s="19"/>
      <c r="E27" s="19"/>
      <c r="F27" s="19"/>
      <c r="G27" s="19"/>
      <c r="H27" s="19"/>
      <c r="I27" s="19"/>
      <c r="J27" s="19"/>
    </row>
    <row r="28" spans="1:19" x14ac:dyDescent="0.35">
      <c r="A28">
        <v>1955</v>
      </c>
      <c r="B28">
        <f t="shared" si="11"/>
        <v>0.5</v>
      </c>
      <c r="C28">
        <f t="shared" ref="C28:C36" si="12">C16/C3</f>
        <v>0.25</v>
      </c>
      <c r="D28" s="19"/>
      <c r="E28" s="19"/>
      <c r="F28" s="19"/>
      <c r="G28" s="19"/>
      <c r="H28">
        <f t="shared" ref="H28:H36" si="13">H16/B3</f>
        <v>1.75</v>
      </c>
      <c r="I28" s="19"/>
      <c r="J28">
        <v>0.04</v>
      </c>
      <c r="L28" t="s">
        <v>862</v>
      </c>
      <c r="M28">
        <v>1</v>
      </c>
    </row>
    <row r="29" spans="1:19" x14ac:dyDescent="0.35">
      <c r="A29">
        <v>1960</v>
      </c>
      <c r="B29">
        <f t="shared" si="11"/>
        <v>0.48</v>
      </c>
      <c r="C29">
        <f t="shared" si="12"/>
        <v>0.2</v>
      </c>
      <c r="D29">
        <f>D17/D4</f>
        <v>0.15</v>
      </c>
      <c r="E29">
        <f>E17/E4</f>
        <v>0.22500000000000001</v>
      </c>
      <c r="H29">
        <f t="shared" si="13"/>
        <v>1.68</v>
      </c>
      <c r="I29">
        <f t="shared" ref="I29:I36" si="14">I17/B4</f>
        <v>5.88</v>
      </c>
      <c r="J29">
        <v>3.5000000000000003E-2</v>
      </c>
      <c r="L29" t="s">
        <v>137</v>
      </c>
      <c r="M29">
        <f>(M28*15*60)</f>
        <v>900</v>
      </c>
    </row>
    <row r="30" spans="1:19" x14ac:dyDescent="0.35">
      <c r="A30">
        <v>1965</v>
      </c>
      <c r="B30">
        <f t="shared" si="11"/>
        <v>0.4</v>
      </c>
      <c r="C30">
        <f t="shared" si="12"/>
        <v>0.2</v>
      </c>
      <c r="D30">
        <f t="shared" ref="D30:E36" si="15">D18/D5</f>
        <v>0.13</v>
      </c>
      <c r="E30" s="19">
        <f t="shared" si="15"/>
        <v>0.21250000000000002</v>
      </c>
      <c r="F30" s="19"/>
      <c r="G30" s="19"/>
      <c r="H30">
        <f t="shared" si="13"/>
        <v>1.4</v>
      </c>
      <c r="I30">
        <f t="shared" si="14"/>
        <v>4.9000000000000004</v>
      </c>
      <c r="J30">
        <v>0.03</v>
      </c>
    </row>
    <row r="31" spans="1:19" x14ac:dyDescent="0.35">
      <c r="A31">
        <v>1970</v>
      </c>
      <c r="B31">
        <f t="shared" si="11"/>
        <v>0.4</v>
      </c>
      <c r="C31">
        <f t="shared" si="12"/>
        <v>0.18</v>
      </c>
      <c r="D31">
        <f t="shared" si="15"/>
        <v>0.12</v>
      </c>
      <c r="E31">
        <f t="shared" si="15"/>
        <v>0.20000000000000004</v>
      </c>
      <c r="H31">
        <f t="shared" si="13"/>
        <v>1.4</v>
      </c>
      <c r="I31">
        <f t="shared" si="14"/>
        <v>4.9000000000000004</v>
      </c>
      <c r="J31">
        <v>2.5000000000000001E-2</v>
      </c>
    </row>
    <row r="32" spans="1:19" x14ac:dyDescent="0.35">
      <c r="A32">
        <v>1980</v>
      </c>
      <c r="B32">
        <f t="shared" si="11"/>
        <v>0.2</v>
      </c>
      <c r="C32">
        <f t="shared" si="12"/>
        <v>0.1</v>
      </c>
      <c r="D32">
        <f t="shared" si="15"/>
        <v>0.11000000000000001</v>
      </c>
      <c r="E32">
        <f t="shared" si="15"/>
        <v>0.17500000000000002</v>
      </c>
      <c r="F32">
        <f t="shared" ref="F32:F33" si="16">C32/2</f>
        <v>0.05</v>
      </c>
      <c r="H32">
        <f t="shared" si="13"/>
        <v>0.7</v>
      </c>
      <c r="I32">
        <f t="shared" si="14"/>
        <v>2.4500000000000002</v>
      </c>
    </row>
    <row r="33" spans="1:11" x14ac:dyDescent="0.35">
      <c r="A33">
        <v>1995</v>
      </c>
      <c r="B33">
        <f t="shared" si="11"/>
        <v>0.18</v>
      </c>
      <c r="C33">
        <f t="shared" si="12"/>
        <v>0.09</v>
      </c>
      <c r="D33">
        <f t="shared" si="15"/>
        <v>0.1</v>
      </c>
      <c r="E33">
        <f t="shared" si="15"/>
        <v>0.15000000000000002</v>
      </c>
      <c r="F33">
        <f t="shared" si="16"/>
        <v>4.4999999999999998E-2</v>
      </c>
      <c r="G33">
        <f>F33*2/3</f>
        <v>0.03</v>
      </c>
      <c r="H33">
        <f t="shared" si="13"/>
        <v>0.63</v>
      </c>
      <c r="I33">
        <f t="shared" si="14"/>
        <v>2.2050000000000001</v>
      </c>
    </row>
    <row r="34" spans="1:11" x14ac:dyDescent="0.35">
      <c r="A34">
        <v>2005</v>
      </c>
      <c r="B34">
        <f t="shared" si="11"/>
        <v>0.16</v>
      </c>
      <c r="C34">
        <f t="shared" si="12"/>
        <v>7.1999999999999995E-2</v>
      </c>
      <c r="D34">
        <f t="shared" si="15"/>
        <v>9.5000000000000001E-2</v>
      </c>
      <c r="E34">
        <f t="shared" si="15"/>
        <v>0.125</v>
      </c>
      <c r="F34">
        <f>C34/2</f>
        <v>3.5999999999999997E-2</v>
      </c>
      <c r="G34">
        <f>F34*2/3</f>
        <v>2.3999999999999997E-2</v>
      </c>
      <c r="H34">
        <f t="shared" si="13"/>
        <v>0.4</v>
      </c>
      <c r="I34">
        <f t="shared" si="14"/>
        <v>0.8</v>
      </c>
    </row>
    <row r="35" spans="1:11" x14ac:dyDescent="0.35">
      <c r="A35">
        <v>2020</v>
      </c>
      <c r="B35">
        <f t="shared" si="11"/>
        <v>0.14000000000000001</v>
      </c>
      <c r="C35">
        <f t="shared" si="12"/>
        <v>0.06</v>
      </c>
      <c r="D35">
        <f t="shared" si="15"/>
        <v>9.0000000000000011E-2</v>
      </c>
      <c r="E35">
        <f t="shared" si="15"/>
        <v>9.9999999999999992E-2</v>
      </c>
      <c r="F35">
        <f t="shared" ref="F35:F36" si="17">C35/2</f>
        <v>0.03</v>
      </c>
      <c r="G35">
        <f t="shared" ref="G35:G36" si="18">F35*2/3</f>
        <v>0.02</v>
      </c>
      <c r="H35">
        <f t="shared" si="13"/>
        <v>0.35</v>
      </c>
      <c r="I35">
        <f t="shared" si="14"/>
        <v>0.7</v>
      </c>
    </row>
    <row r="36" spans="1:11" x14ac:dyDescent="0.35">
      <c r="A36">
        <v>2040</v>
      </c>
      <c r="B36">
        <f t="shared" si="11"/>
        <v>0.12</v>
      </c>
      <c r="C36">
        <f t="shared" si="12"/>
        <v>0.05</v>
      </c>
      <c r="D36">
        <f t="shared" si="15"/>
        <v>9.0000000000000011E-2</v>
      </c>
      <c r="E36">
        <f t="shared" si="15"/>
        <v>0.08</v>
      </c>
      <c r="F36">
        <f t="shared" si="17"/>
        <v>2.5000000000000001E-2</v>
      </c>
      <c r="G36" s="41">
        <f t="shared" si="18"/>
        <v>1.6666666666666666E-2</v>
      </c>
      <c r="H36">
        <f t="shared" si="13"/>
        <v>0.3</v>
      </c>
      <c r="I36">
        <f t="shared" si="14"/>
        <v>0.6</v>
      </c>
    </row>
    <row r="38" spans="1:11" hidden="1" x14ac:dyDescent="0.35">
      <c r="A38" t="s">
        <v>443</v>
      </c>
      <c r="B38" t="s">
        <v>96</v>
      </c>
      <c r="C38" t="s">
        <v>97</v>
      </c>
      <c r="D38" t="s">
        <v>98</v>
      </c>
      <c r="E38" t="s">
        <v>848</v>
      </c>
      <c r="H38" t="s">
        <v>851</v>
      </c>
      <c r="I38" t="s">
        <v>852</v>
      </c>
      <c r="J38" t="s">
        <v>859</v>
      </c>
      <c r="K38" t="s">
        <v>860</v>
      </c>
    </row>
    <row r="39" spans="1:11" hidden="1" x14ac:dyDescent="0.35">
      <c r="A39">
        <v>1945</v>
      </c>
      <c r="B39">
        <f>(0.18*B27)/0.0072</f>
        <v>12.5</v>
      </c>
      <c r="C39" s="19"/>
      <c r="D39" s="19"/>
      <c r="E39" s="19"/>
      <c r="F39" s="19"/>
      <c r="H39" s="19"/>
      <c r="I39" s="19"/>
      <c r="J39" s="19"/>
      <c r="K39" s="19"/>
    </row>
    <row r="40" spans="1:11" hidden="1" x14ac:dyDescent="0.35">
      <c r="A40">
        <v>1955</v>
      </c>
      <c r="B40">
        <f>(0.18*B28)/0.0072</f>
        <v>12.5</v>
      </c>
      <c r="C40">
        <f>(0.3*C28)/0.024</f>
        <v>3.125</v>
      </c>
      <c r="D40" s="19"/>
      <c r="E40" s="19"/>
      <c r="F40" s="19"/>
      <c r="H40">
        <f>(0.18*H28)/0.0072</f>
        <v>43.75</v>
      </c>
      <c r="I40" s="19"/>
      <c r="J40" s="19"/>
      <c r="K40" s="19"/>
    </row>
    <row r="41" spans="1:11" hidden="1" x14ac:dyDescent="0.35">
      <c r="A41">
        <v>1960</v>
      </c>
      <c r="B41">
        <f t="shared" ref="B41:B43" si="19">(0.18*B29)/0.0072</f>
        <v>11.999999999999998</v>
      </c>
      <c r="C41">
        <f t="shared" ref="C41:C43" si="20">(0.3*C29)/0.024</f>
        <v>2.5</v>
      </c>
      <c r="D41" s="41">
        <f>(0.55*D29)/0.108</f>
        <v>0.76388888888888895</v>
      </c>
      <c r="E41" s="41">
        <f>(0.7*E29)/0.432</f>
        <v>0.36458333333333331</v>
      </c>
      <c r="F41" s="41"/>
      <c r="H41">
        <f t="shared" ref="H41:I43" si="21">(0.18*H29)/0.0072</f>
        <v>42</v>
      </c>
      <c r="I41">
        <f t="shared" si="21"/>
        <v>147</v>
      </c>
      <c r="J41" s="41">
        <f>(0.55*D29)/0.8</f>
        <v>0.10312499999999999</v>
      </c>
      <c r="K41" s="68">
        <f>(0.7*E29)/13.3333333</f>
        <v>1.1812500029531251E-2</v>
      </c>
    </row>
    <row r="42" spans="1:11" hidden="1" x14ac:dyDescent="0.35">
      <c r="A42">
        <v>1965</v>
      </c>
      <c r="B42">
        <f t="shared" si="19"/>
        <v>10</v>
      </c>
      <c r="C42">
        <f t="shared" si="20"/>
        <v>2.5</v>
      </c>
      <c r="D42" s="41">
        <f t="shared" ref="D42:D48" si="22">(0.55*D30)/0.108</f>
        <v>0.66203703703703709</v>
      </c>
      <c r="E42" s="41">
        <f t="shared" ref="E42:E48" si="23">(0.7*E30)/0.432</f>
        <v>0.34432870370370366</v>
      </c>
      <c r="F42" s="41"/>
      <c r="H42">
        <f t="shared" si="21"/>
        <v>35</v>
      </c>
      <c r="I42">
        <f t="shared" ref="I42" si="24">(0.18*I30)/0.0072</f>
        <v>122.5</v>
      </c>
      <c r="J42" s="41">
        <f t="shared" ref="J42:J48" si="25">(0.55*D30)/0.8</f>
        <v>8.937500000000001E-2</v>
      </c>
      <c r="K42" s="68">
        <f t="shared" ref="K42:K48" si="26">(0.7*E30)/13.3333333</f>
        <v>1.1156250027890625E-2</v>
      </c>
    </row>
    <row r="43" spans="1:11" hidden="1" x14ac:dyDescent="0.35">
      <c r="A43">
        <v>1970</v>
      </c>
      <c r="B43">
        <f t="shared" si="19"/>
        <v>10</v>
      </c>
      <c r="C43">
        <f t="shared" si="20"/>
        <v>2.25</v>
      </c>
      <c r="D43" s="41">
        <f t="shared" si="22"/>
        <v>0.61111111111111116</v>
      </c>
      <c r="E43" s="41">
        <f t="shared" si="23"/>
        <v>0.32407407407407413</v>
      </c>
      <c r="F43" s="41"/>
      <c r="H43">
        <f t="shared" si="21"/>
        <v>35</v>
      </c>
      <c r="I43">
        <f t="shared" ref="I43" si="27">(0.18*I31)/0.0072</f>
        <v>122.5</v>
      </c>
      <c r="J43" s="41">
        <f t="shared" si="25"/>
        <v>8.2500000000000004E-2</v>
      </c>
      <c r="K43" s="68">
        <f t="shared" si="26"/>
        <v>1.0500000026250001E-2</v>
      </c>
    </row>
    <row r="44" spans="1:11" hidden="1" x14ac:dyDescent="0.35">
      <c r="A44">
        <v>1980</v>
      </c>
      <c r="B44">
        <f>(0.27*B32)/0.0072</f>
        <v>7.5000000000000009</v>
      </c>
      <c r="C44">
        <f t="shared" ref="C44:C48" si="28">(0.42*C32)/0.024</f>
        <v>1.75</v>
      </c>
      <c r="D44" s="41">
        <f t="shared" si="22"/>
        <v>0.56018518518518534</v>
      </c>
      <c r="E44" s="41">
        <f t="shared" si="23"/>
        <v>0.28356481481481483</v>
      </c>
      <c r="F44" s="41"/>
      <c r="H44">
        <f>(0.27*H32)/0.0072</f>
        <v>26.25</v>
      </c>
      <c r="I44">
        <f>(0.27*I32)/0.0072</f>
        <v>91.875000000000014</v>
      </c>
      <c r="J44" s="41">
        <f t="shared" si="25"/>
        <v>7.5625000000000012E-2</v>
      </c>
      <c r="K44" s="68">
        <f t="shared" si="26"/>
        <v>9.1875000229687497E-3</v>
      </c>
    </row>
    <row r="45" spans="1:11" hidden="1" x14ac:dyDescent="0.35">
      <c r="A45">
        <v>1995</v>
      </c>
      <c r="B45">
        <f t="shared" ref="B45:B48" si="29">(0.27*B33)/0.0072</f>
        <v>6.7500000000000009</v>
      </c>
      <c r="C45">
        <f t="shared" si="28"/>
        <v>1.575</v>
      </c>
      <c r="D45" s="41">
        <f t="shared" si="22"/>
        <v>0.5092592592592593</v>
      </c>
      <c r="E45" s="41">
        <f t="shared" si="23"/>
        <v>0.24305555555555558</v>
      </c>
      <c r="F45" s="41"/>
      <c r="H45">
        <f t="shared" ref="H45:I48" si="30">(0.27*H33)/0.0072</f>
        <v>23.625</v>
      </c>
      <c r="I45">
        <f t="shared" si="30"/>
        <v>82.687500000000014</v>
      </c>
      <c r="J45" s="41">
        <f t="shared" si="25"/>
        <v>6.8750000000000006E-2</v>
      </c>
      <c r="K45" s="68">
        <f t="shared" si="26"/>
        <v>7.8750000196875017E-3</v>
      </c>
    </row>
    <row r="46" spans="1:11" hidden="1" x14ac:dyDescent="0.35">
      <c r="A46">
        <v>2005</v>
      </c>
      <c r="B46">
        <f t="shared" si="29"/>
        <v>6.0000000000000009</v>
      </c>
      <c r="C46">
        <f t="shared" si="28"/>
        <v>1.2599999999999998</v>
      </c>
      <c r="D46" s="41">
        <f t="shared" si="22"/>
        <v>0.48379629629629634</v>
      </c>
      <c r="E46" s="41">
        <f t="shared" si="23"/>
        <v>0.20254629629629628</v>
      </c>
      <c r="F46" s="41"/>
      <c r="H46">
        <f t="shared" si="30"/>
        <v>15.000000000000002</v>
      </c>
      <c r="I46">
        <f t="shared" si="30"/>
        <v>30.000000000000004</v>
      </c>
      <c r="J46" s="41">
        <f t="shared" si="25"/>
        <v>6.5312499999999996E-2</v>
      </c>
      <c r="K46" s="68">
        <f t="shared" si="26"/>
        <v>6.5625000164062502E-3</v>
      </c>
    </row>
    <row r="47" spans="1:11" hidden="1" x14ac:dyDescent="0.35">
      <c r="A47">
        <v>2020</v>
      </c>
      <c r="B47">
        <f t="shared" si="29"/>
        <v>5.2500000000000009</v>
      </c>
      <c r="C47">
        <f t="shared" si="28"/>
        <v>1.0499999999999998</v>
      </c>
      <c r="D47" s="41">
        <f t="shared" si="22"/>
        <v>0.45833333333333343</v>
      </c>
      <c r="E47" s="41">
        <f t="shared" si="23"/>
        <v>0.16203703703703703</v>
      </c>
      <c r="F47" s="41"/>
      <c r="H47">
        <f t="shared" si="30"/>
        <v>13.125</v>
      </c>
      <c r="I47">
        <f t="shared" si="30"/>
        <v>26.25</v>
      </c>
      <c r="J47" s="41">
        <f t="shared" si="25"/>
        <v>6.1875000000000006E-2</v>
      </c>
      <c r="K47" s="68">
        <f t="shared" si="26"/>
        <v>5.2500000131249997E-3</v>
      </c>
    </row>
    <row r="48" spans="1:11" hidden="1" x14ac:dyDescent="0.35">
      <c r="A48">
        <v>2040</v>
      </c>
      <c r="B48">
        <f t="shared" si="29"/>
        <v>4.5</v>
      </c>
      <c r="C48">
        <f t="shared" si="28"/>
        <v>0.875</v>
      </c>
      <c r="D48" s="41">
        <f t="shared" si="22"/>
        <v>0.45833333333333343</v>
      </c>
      <c r="E48" s="41">
        <f t="shared" si="23"/>
        <v>0.12962962962962962</v>
      </c>
      <c r="F48" s="41"/>
      <c r="H48">
        <f t="shared" si="30"/>
        <v>11.25</v>
      </c>
      <c r="I48">
        <f t="shared" si="30"/>
        <v>22.5</v>
      </c>
      <c r="J48" s="41">
        <f t="shared" si="25"/>
        <v>6.1875000000000006E-2</v>
      </c>
      <c r="K48" s="68">
        <f t="shared" si="26"/>
        <v>4.2000000104999999E-3</v>
      </c>
    </row>
    <row r="49" spans="1:15" hidden="1" x14ac:dyDescent="0.35"/>
    <row r="50" spans="1:15" x14ac:dyDescent="0.35">
      <c r="A50" t="s">
        <v>442</v>
      </c>
      <c r="B50" t="s">
        <v>96</v>
      </c>
      <c r="C50" t="s">
        <v>97</v>
      </c>
      <c r="D50" t="s">
        <v>98</v>
      </c>
      <c r="E50" t="s">
        <v>848</v>
      </c>
      <c r="H50" t="s">
        <v>851</v>
      </c>
      <c r="I50" t="s">
        <v>852</v>
      </c>
    </row>
    <row r="51" spans="1:15" x14ac:dyDescent="0.35">
      <c r="A51">
        <v>1945</v>
      </c>
      <c r="B51">
        <f>B39*180</f>
        <v>2250</v>
      </c>
      <c r="C51" s="19"/>
      <c r="D51" s="19"/>
      <c r="E51" s="19"/>
      <c r="F51" s="19"/>
      <c r="G51" s="19"/>
      <c r="H51" s="19"/>
      <c r="I51" s="19"/>
      <c r="J51" s="19"/>
      <c r="K51" s="19"/>
    </row>
    <row r="52" spans="1:15" x14ac:dyDescent="0.35">
      <c r="A52">
        <v>1955</v>
      </c>
      <c r="B52">
        <f t="shared" ref="B52:B60" si="31">B40*180</f>
        <v>2250</v>
      </c>
      <c r="C52">
        <f>C40*600</f>
        <v>1875</v>
      </c>
      <c r="D52" s="19"/>
      <c r="E52" s="19"/>
      <c r="F52" s="19"/>
      <c r="G52" s="19"/>
      <c r="H52">
        <f>H40*180</f>
        <v>7875</v>
      </c>
      <c r="I52" s="19"/>
      <c r="J52" s="19"/>
      <c r="K52" s="19"/>
    </row>
    <row r="53" spans="1:15" x14ac:dyDescent="0.35">
      <c r="A53">
        <v>1960</v>
      </c>
      <c r="B53">
        <f t="shared" si="31"/>
        <v>2159.9999999999995</v>
      </c>
      <c r="C53">
        <f t="shared" ref="C53:C60" si="32">C41*600</f>
        <v>1500</v>
      </c>
      <c r="D53">
        <f>D41*45*60</f>
        <v>2062.5</v>
      </c>
      <c r="E53">
        <f>E41*180*60</f>
        <v>3937.5</v>
      </c>
      <c r="H53">
        <f t="shared" ref="H53:I60" si="33">H41*180</f>
        <v>7560</v>
      </c>
      <c r="I53">
        <f t="shared" si="33"/>
        <v>26460</v>
      </c>
    </row>
    <row r="54" spans="1:15" x14ac:dyDescent="0.35">
      <c r="A54">
        <v>1965</v>
      </c>
      <c r="B54">
        <f t="shared" si="31"/>
        <v>1800</v>
      </c>
      <c r="C54">
        <f t="shared" si="32"/>
        <v>1500</v>
      </c>
      <c r="D54">
        <f t="shared" ref="D54:D60" si="34">D42*45*60</f>
        <v>1787.5</v>
      </c>
      <c r="E54" s="19">
        <f t="shared" ref="E54:E60" si="35">E42*180*60</f>
        <v>3718.7499999999995</v>
      </c>
      <c r="F54" s="19"/>
      <c r="G54" s="19"/>
      <c r="H54">
        <f t="shared" si="33"/>
        <v>6300</v>
      </c>
      <c r="I54">
        <f t="shared" ref="I54" si="36">I42*180</f>
        <v>22050</v>
      </c>
    </row>
    <row r="55" spans="1:15" x14ac:dyDescent="0.35">
      <c r="A55">
        <v>1970</v>
      </c>
      <c r="B55">
        <f t="shared" si="31"/>
        <v>1800</v>
      </c>
      <c r="C55">
        <f t="shared" si="32"/>
        <v>1350</v>
      </c>
      <c r="D55">
        <f t="shared" si="34"/>
        <v>1650.0000000000002</v>
      </c>
      <c r="E55">
        <f t="shared" si="35"/>
        <v>3500.0000000000005</v>
      </c>
      <c r="H55">
        <f t="shared" si="33"/>
        <v>6300</v>
      </c>
      <c r="I55">
        <f t="shared" ref="I55" si="37">I43*180</f>
        <v>22050</v>
      </c>
    </row>
    <row r="56" spans="1:15" x14ac:dyDescent="0.35">
      <c r="A56">
        <v>1980</v>
      </c>
      <c r="B56">
        <f t="shared" si="31"/>
        <v>1350.0000000000002</v>
      </c>
      <c r="C56">
        <f t="shared" si="32"/>
        <v>1050</v>
      </c>
      <c r="D56">
        <f t="shared" si="34"/>
        <v>1512.5000000000005</v>
      </c>
      <c r="E56">
        <f t="shared" si="35"/>
        <v>3062.5000000000005</v>
      </c>
      <c r="F56">
        <f t="shared" ref="F56:F57" si="38">C56/2</f>
        <v>525</v>
      </c>
      <c r="H56">
        <f t="shared" si="33"/>
        <v>4725</v>
      </c>
      <c r="I56">
        <f t="shared" ref="I56" si="39">I44*180</f>
        <v>16537.500000000004</v>
      </c>
    </row>
    <row r="57" spans="1:15" x14ac:dyDescent="0.35">
      <c r="A57">
        <v>1995</v>
      </c>
      <c r="B57">
        <f t="shared" si="31"/>
        <v>1215.0000000000002</v>
      </c>
      <c r="C57">
        <f t="shared" si="32"/>
        <v>945</v>
      </c>
      <c r="D57">
        <f t="shared" si="34"/>
        <v>1375</v>
      </c>
      <c r="E57">
        <f t="shared" si="35"/>
        <v>2625.0000000000005</v>
      </c>
      <c r="F57">
        <f t="shared" si="38"/>
        <v>472.5</v>
      </c>
      <c r="G57">
        <f>F57*2/3</f>
        <v>315</v>
      </c>
      <c r="H57">
        <f t="shared" si="33"/>
        <v>4252.5</v>
      </c>
      <c r="I57">
        <f t="shared" ref="I57" si="40">I45*180</f>
        <v>14883.750000000002</v>
      </c>
    </row>
    <row r="58" spans="1:15" x14ac:dyDescent="0.35">
      <c r="A58">
        <v>2005</v>
      </c>
      <c r="B58">
        <f t="shared" si="31"/>
        <v>1080.0000000000002</v>
      </c>
      <c r="C58">
        <f t="shared" si="32"/>
        <v>755.99999999999989</v>
      </c>
      <c r="D58">
        <f t="shared" si="34"/>
        <v>1306.2500000000002</v>
      </c>
      <c r="E58">
        <f t="shared" si="35"/>
        <v>2187.4999999999995</v>
      </c>
      <c r="F58">
        <f>C58/2</f>
        <v>377.99999999999994</v>
      </c>
      <c r="G58">
        <f>F58*2/3</f>
        <v>251.99999999999997</v>
      </c>
      <c r="H58">
        <f t="shared" si="33"/>
        <v>2700.0000000000005</v>
      </c>
      <c r="I58">
        <f t="shared" ref="I58" si="41">I46*180</f>
        <v>5400.0000000000009</v>
      </c>
    </row>
    <row r="59" spans="1:15" x14ac:dyDescent="0.35">
      <c r="A59">
        <v>2020</v>
      </c>
      <c r="B59">
        <f t="shared" si="31"/>
        <v>945.00000000000011</v>
      </c>
      <c r="C59">
        <f t="shared" si="32"/>
        <v>629.99999999999989</v>
      </c>
      <c r="D59">
        <f t="shared" si="34"/>
        <v>1237.5000000000002</v>
      </c>
      <c r="E59">
        <f t="shared" si="35"/>
        <v>1750</v>
      </c>
      <c r="F59">
        <f t="shared" ref="F59:F60" si="42">C59/2</f>
        <v>314.99999999999994</v>
      </c>
      <c r="G59">
        <f t="shared" ref="G59:G60" si="43">F59*2/3</f>
        <v>209.99999999999997</v>
      </c>
      <c r="H59">
        <f t="shared" si="33"/>
        <v>2362.5</v>
      </c>
      <c r="I59">
        <f t="shared" ref="I59" si="44">I47*180</f>
        <v>4725</v>
      </c>
    </row>
    <row r="60" spans="1:15" x14ac:dyDescent="0.35">
      <c r="A60">
        <v>2040</v>
      </c>
      <c r="B60">
        <f t="shared" si="31"/>
        <v>810</v>
      </c>
      <c r="C60">
        <f t="shared" si="32"/>
        <v>525</v>
      </c>
      <c r="D60">
        <f t="shared" si="34"/>
        <v>1237.5000000000002</v>
      </c>
      <c r="E60">
        <f t="shared" si="35"/>
        <v>1400</v>
      </c>
      <c r="F60">
        <f t="shared" si="42"/>
        <v>262.5</v>
      </c>
      <c r="G60">
        <f t="shared" si="43"/>
        <v>175</v>
      </c>
      <c r="H60">
        <f t="shared" si="33"/>
        <v>2025</v>
      </c>
      <c r="I60">
        <f t="shared" ref="I60" si="45">I48*180</f>
        <v>4050</v>
      </c>
    </row>
    <row r="62" spans="1:15" x14ac:dyDescent="0.35">
      <c r="A62" t="s">
        <v>861</v>
      </c>
      <c r="B62" t="s">
        <v>96</v>
      </c>
      <c r="C62" t="s">
        <v>97</v>
      </c>
      <c r="D62" t="s">
        <v>98</v>
      </c>
      <c r="E62" t="s">
        <v>848</v>
      </c>
      <c r="H62" t="s">
        <v>851</v>
      </c>
      <c r="I62" t="s">
        <v>852</v>
      </c>
      <c r="J62" t="s">
        <v>859</v>
      </c>
      <c r="K62" t="s">
        <v>860</v>
      </c>
      <c r="L62" t="s">
        <v>864</v>
      </c>
      <c r="M62" t="s">
        <v>865</v>
      </c>
      <c r="N62" t="s">
        <v>867</v>
      </c>
      <c r="O62" t="s">
        <v>868</v>
      </c>
    </row>
    <row r="63" spans="1:15" x14ac:dyDescent="0.35">
      <c r="A63">
        <v>1945</v>
      </c>
      <c r="B63">
        <f>B39/1000</f>
        <v>1.2500000000000001E-2</v>
      </c>
      <c r="C63" s="19"/>
      <c r="D63" s="19"/>
      <c r="E63" s="19"/>
      <c r="F63" s="19"/>
      <c r="G63" s="19"/>
      <c r="H63" s="19"/>
      <c r="I63" s="19"/>
      <c r="J63" s="19"/>
      <c r="K63" s="19"/>
    </row>
    <row r="64" spans="1:15" x14ac:dyDescent="0.35">
      <c r="A64">
        <v>1955</v>
      </c>
      <c r="B64">
        <f t="shared" ref="B64:C72" si="46">B40/1000</f>
        <v>1.2500000000000001E-2</v>
      </c>
      <c r="C64">
        <f t="shared" si="46"/>
        <v>3.1250000000000002E-3</v>
      </c>
      <c r="D64" s="19"/>
      <c r="E64" s="19"/>
      <c r="F64" s="19"/>
      <c r="G64" s="19"/>
      <c r="H64">
        <f t="shared" ref="C64:K65" si="47">H40/1000</f>
        <v>4.3749999999999997E-2</v>
      </c>
      <c r="I64" s="19"/>
      <c r="J64" s="19"/>
      <c r="K64" s="19"/>
    </row>
    <row r="65" spans="1:15" x14ac:dyDescent="0.35">
      <c r="A65">
        <v>1960</v>
      </c>
      <c r="B65">
        <f t="shared" si="46"/>
        <v>1.1999999999999999E-2</v>
      </c>
      <c r="C65">
        <f t="shared" si="47"/>
        <v>2.5000000000000001E-3</v>
      </c>
      <c r="D65">
        <f t="shared" si="47"/>
        <v>7.6388888888888893E-4</v>
      </c>
      <c r="E65">
        <f t="shared" si="47"/>
        <v>3.645833333333333E-4</v>
      </c>
      <c r="H65">
        <f t="shared" si="47"/>
        <v>4.2000000000000003E-2</v>
      </c>
      <c r="I65">
        <f t="shared" si="47"/>
        <v>0.14699999999999999</v>
      </c>
      <c r="J65">
        <f t="shared" si="47"/>
        <v>1.03125E-4</v>
      </c>
      <c r="K65" s="67">
        <f t="shared" si="47"/>
        <v>1.1812500029531251E-5</v>
      </c>
    </row>
    <row r="66" spans="1:15" x14ac:dyDescent="0.35">
      <c r="A66">
        <v>1965</v>
      </c>
      <c r="B66">
        <f t="shared" si="46"/>
        <v>0.01</v>
      </c>
      <c r="C66">
        <f t="shared" ref="C66:K66" si="48">C42/1000</f>
        <v>2.5000000000000001E-3</v>
      </c>
      <c r="D66">
        <f t="shared" si="48"/>
        <v>6.6203703703703704E-4</v>
      </c>
      <c r="E66" s="19">
        <f t="shared" si="48"/>
        <v>3.4432870370370368E-4</v>
      </c>
      <c r="F66" s="19"/>
      <c r="G66" s="19"/>
      <c r="H66">
        <f t="shared" si="48"/>
        <v>3.5000000000000003E-2</v>
      </c>
      <c r="I66">
        <f t="shared" si="48"/>
        <v>0.1225</v>
      </c>
      <c r="J66">
        <f t="shared" si="48"/>
        <v>8.9375000000000004E-5</v>
      </c>
      <c r="K66" s="69">
        <f t="shared" si="48"/>
        <v>1.1156250027890625E-5</v>
      </c>
    </row>
    <row r="67" spans="1:15" x14ac:dyDescent="0.35">
      <c r="A67">
        <v>1970</v>
      </c>
      <c r="B67">
        <f t="shared" si="46"/>
        <v>0.01</v>
      </c>
      <c r="C67">
        <f t="shared" ref="C67:K67" si="49">C43/1000</f>
        <v>2.2499999999999998E-3</v>
      </c>
      <c r="D67">
        <f t="shared" si="49"/>
        <v>6.1111111111111121E-4</v>
      </c>
      <c r="E67">
        <f t="shared" si="49"/>
        <v>3.2407407407407412E-4</v>
      </c>
      <c r="H67">
        <f t="shared" si="49"/>
        <v>3.5000000000000003E-2</v>
      </c>
      <c r="I67">
        <f t="shared" si="49"/>
        <v>0.1225</v>
      </c>
      <c r="J67">
        <f t="shared" si="49"/>
        <v>8.25E-5</v>
      </c>
      <c r="K67" s="67">
        <f t="shared" si="49"/>
        <v>1.0500000026250001E-5</v>
      </c>
    </row>
    <row r="68" spans="1:15" x14ac:dyDescent="0.35">
      <c r="A68">
        <v>1980</v>
      </c>
      <c r="B68">
        <f t="shared" si="46"/>
        <v>7.5000000000000006E-3</v>
      </c>
      <c r="C68">
        <f t="shared" ref="C68:K68" si="50">C44/1000</f>
        <v>1.75E-3</v>
      </c>
      <c r="D68">
        <f t="shared" si="50"/>
        <v>5.6018518518518537E-4</v>
      </c>
      <c r="E68">
        <f t="shared" si="50"/>
        <v>2.8356481481481483E-4</v>
      </c>
      <c r="F68">
        <f t="shared" ref="F68:F69" si="51">C68/2</f>
        <v>8.7500000000000002E-4</v>
      </c>
      <c r="H68">
        <f t="shared" si="50"/>
        <v>2.6249999999999999E-2</v>
      </c>
      <c r="I68">
        <f t="shared" si="50"/>
        <v>9.1875000000000012E-2</v>
      </c>
      <c r="J68">
        <f t="shared" si="50"/>
        <v>7.5625000000000009E-5</v>
      </c>
      <c r="K68" s="67">
        <f t="shared" si="50"/>
        <v>9.1875000229687499E-6</v>
      </c>
    </row>
    <row r="69" spans="1:15" x14ac:dyDescent="0.35">
      <c r="A69">
        <v>1995</v>
      </c>
      <c r="B69">
        <f t="shared" si="46"/>
        <v>6.7500000000000008E-3</v>
      </c>
      <c r="C69">
        <f t="shared" ref="C69:K69" si="52">C45/1000</f>
        <v>1.575E-3</v>
      </c>
      <c r="D69">
        <f t="shared" si="52"/>
        <v>5.0925925925925932E-4</v>
      </c>
      <c r="E69">
        <f t="shared" si="52"/>
        <v>2.4305555555555558E-4</v>
      </c>
      <c r="F69">
        <f t="shared" si="51"/>
        <v>7.8750000000000001E-4</v>
      </c>
      <c r="G69">
        <f>F69*2/3</f>
        <v>5.2499999999999997E-4</v>
      </c>
      <c r="H69">
        <f t="shared" si="52"/>
        <v>2.3625E-2</v>
      </c>
      <c r="I69">
        <f t="shared" si="52"/>
        <v>8.2687500000000011E-2</v>
      </c>
      <c r="J69">
        <f t="shared" si="52"/>
        <v>6.8750000000000004E-5</v>
      </c>
      <c r="K69" s="67">
        <f t="shared" si="52"/>
        <v>7.8750000196875021E-6</v>
      </c>
      <c r="N69">
        <f>F69/5</f>
        <v>1.5750000000000001E-4</v>
      </c>
    </row>
    <row r="70" spans="1:15" x14ac:dyDescent="0.35">
      <c r="A70">
        <v>2005</v>
      </c>
      <c r="B70">
        <f t="shared" si="46"/>
        <v>6.000000000000001E-3</v>
      </c>
      <c r="C70">
        <f t="shared" ref="C70:K70" si="53">C46/1000</f>
        <v>1.2599999999999998E-3</v>
      </c>
      <c r="D70">
        <f t="shared" si="53"/>
        <v>4.8379629629629635E-4</v>
      </c>
      <c r="E70">
        <f t="shared" si="53"/>
        <v>2.0254629629629629E-4</v>
      </c>
      <c r="F70">
        <f>C70/2</f>
        <v>6.2999999999999992E-4</v>
      </c>
      <c r="G70">
        <f>F70*2/3</f>
        <v>4.1999999999999996E-4</v>
      </c>
      <c r="H70">
        <f t="shared" si="53"/>
        <v>1.5000000000000001E-2</v>
      </c>
      <c r="I70">
        <f t="shared" si="53"/>
        <v>3.0000000000000002E-2</v>
      </c>
      <c r="J70" s="67">
        <f t="shared" si="53"/>
        <v>6.5312499999999995E-5</v>
      </c>
      <c r="K70" s="67">
        <f t="shared" si="53"/>
        <v>6.56250001640625E-6</v>
      </c>
      <c r="L70">
        <f>J70/D70</f>
        <v>0.13499999999999998</v>
      </c>
      <c r="M70">
        <f>K70/E70</f>
        <v>3.2400000081000004E-2</v>
      </c>
      <c r="N70">
        <f t="shared" ref="N70:N72" si="54">F70/5</f>
        <v>1.2599999999999997E-4</v>
      </c>
      <c r="O70">
        <f t="shared" ref="O70:O72" si="55">G70/5</f>
        <v>8.3999999999999995E-5</v>
      </c>
    </row>
    <row r="71" spans="1:15" x14ac:dyDescent="0.35">
      <c r="A71">
        <v>2020</v>
      </c>
      <c r="B71">
        <f t="shared" si="46"/>
        <v>5.2500000000000012E-3</v>
      </c>
      <c r="C71">
        <f t="shared" ref="C71:K71" si="56">C47/1000</f>
        <v>1.0499999999999997E-3</v>
      </c>
      <c r="D71">
        <f t="shared" si="56"/>
        <v>4.5833333333333343E-4</v>
      </c>
      <c r="E71">
        <f t="shared" si="56"/>
        <v>1.6203703703703703E-4</v>
      </c>
      <c r="F71">
        <f t="shared" ref="F71:F72" si="57">C71/2</f>
        <v>5.2499999999999986E-4</v>
      </c>
      <c r="G71">
        <f t="shared" ref="G71:G72" si="58">F71*2/3</f>
        <v>3.4999999999999989E-4</v>
      </c>
      <c r="H71">
        <f t="shared" si="56"/>
        <v>1.3125E-2</v>
      </c>
      <c r="I71">
        <f t="shared" si="56"/>
        <v>2.6249999999999999E-2</v>
      </c>
      <c r="J71" s="67">
        <f t="shared" si="56"/>
        <v>6.1875E-5</v>
      </c>
      <c r="K71" s="67">
        <f t="shared" si="56"/>
        <v>5.2500000131249997E-6</v>
      </c>
      <c r="L71">
        <f t="shared" ref="L71:L72" si="59">J71/D71</f>
        <v>0.13499999999999998</v>
      </c>
      <c r="M71">
        <f>K71/E71</f>
        <v>3.2400000080999997E-2</v>
      </c>
      <c r="N71">
        <f t="shared" si="54"/>
        <v>1.0499999999999998E-4</v>
      </c>
      <c r="O71">
        <f t="shared" si="55"/>
        <v>6.999999999999998E-5</v>
      </c>
    </row>
    <row r="72" spans="1:15" x14ac:dyDescent="0.35">
      <c r="A72">
        <v>2040</v>
      </c>
      <c r="B72">
        <f t="shared" si="46"/>
        <v>4.4999999999999997E-3</v>
      </c>
      <c r="C72">
        <f t="shared" ref="C72:K72" si="60">C48/1000</f>
        <v>8.7500000000000002E-4</v>
      </c>
      <c r="D72">
        <f t="shared" si="60"/>
        <v>4.5833333333333343E-4</v>
      </c>
      <c r="E72">
        <f t="shared" si="60"/>
        <v>1.2962962962962963E-4</v>
      </c>
      <c r="F72">
        <f t="shared" si="57"/>
        <v>4.3750000000000001E-4</v>
      </c>
      <c r="G72" s="67">
        <f t="shared" si="58"/>
        <v>2.9166666666666669E-4</v>
      </c>
      <c r="H72">
        <f t="shared" si="60"/>
        <v>1.125E-2</v>
      </c>
      <c r="I72">
        <f t="shared" si="60"/>
        <v>2.2499999999999999E-2</v>
      </c>
      <c r="J72" s="67">
        <f t="shared" si="60"/>
        <v>6.1875E-5</v>
      </c>
      <c r="K72" s="67">
        <f t="shared" si="60"/>
        <v>4.2000000104999996E-6</v>
      </c>
      <c r="L72">
        <f t="shared" si="59"/>
        <v>0.13499999999999998</v>
      </c>
      <c r="M72">
        <f>K72/E72</f>
        <v>3.2400000080999997E-2</v>
      </c>
      <c r="N72">
        <f t="shared" si="54"/>
        <v>8.7499999999999999E-5</v>
      </c>
      <c r="O72" s="67">
        <f t="shared" si="55"/>
        <v>5.833333333333334E-5</v>
      </c>
    </row>
    <row r="74" spans="1:15" hidden="1" x14ac:dyDescent="0.35">
      <c r="A74" t="s">
        <v>858</v>
      </c>
      <c r="B74" t="s">
        <v>96</v>
      </c>
      <c r="C74" t="s">
        <v>97</v>
      </c>
      <c r="D74" t="s">
        <v>98</v>
      </c>
      <c r="E74" t="s">
        <v>848</v>
      </c>
      <c r="H74" t="s">
        <v>851</v>
      </c>
      <c r="I74" t="s">
        <v>852</v>
      </c>
    </row>
    <row r="75" spans="1:15" hidden="1" x14ac:dyDescent="0.35">
      <c r="A75">
        <v>1945</v>
      </c>
      <c r="B75">
        <f t="shared" ref="B75:B84" si="61">(B51/25000)/B27</f>
        <v>0.18</v>
      </c>
      <c r="C75" s="19"/>
      <c r="D75" s="19"/>
      <c r="E75" s="19"/>
      <c r="F75" s="19"/>
      <c r="G75" s="19"/>
      <c r="H75" s="19"/>
      <c r="I75" s="19"/>
    </row>
    <row r="76" spans="1:15" hidden="1" x14ac:dyDescent="0.35">
      <c r="A76">
        <v>1955</v>
      </c>
      <c r="B76">
        <f t="shared" si="61"/>
        <v>0.18</v>
      </c>
      <c r="C76">
        <f t="shared" ref="C76:C84" si="62">(C52/25000)/C28</f>
        <v>0.3</v>
      </c>
      <c r="D76" s="19"/>
      <c r="E76" s="19"/>
      <c r="F76" s="19"/>
      <c r="G76" s="19"/>
      <c r="H76">
        <f t="shared" ref="H76:H84" si="63">(H52/25000)/H28</f>
        <v>0.18</v>
      </c>
      <c r="I76" s="19"/>
    </row>
    <row r="77" spans="1:15" hidden="1" x14ac:dyDescent="0.35">
      <c r="A77">
        <v>1960</v>
      </c>
      <c r="B77">
        <f t="shared" si="61"/>
        <v>0.17999999999999997</v>
      </c>
      <c r="C77">
        <f t="shared" si="62"/>
        <v>0.3</v>
      </c>
      <c r="D77">
        <f t="shared" ref="D77:E84" si="64">(D53/25000)/D29</f>
        <v>0.55000000000000004</v>
      </c>
      <c r="E77">
        <f t="shared" si="64"/>
        <v>0.7</v>
      </c>
      <c r="H77">
        <f t="shared" si="63"/>
        <v>0.18000000000000002</v>
      </c>
      <c r="I77">
        <f t="shared" ref="I77:I84" si="65">(I53/25000)/I29</f>
        <v>0.18</v>
      </c>
    </row>
    <row r="78" spans="1:15" hidden="1" x14ac:dyDescent="0.35">
      <c r="A78">
        <v>1965</v>
      </c>
      <c r="B78">
        <f t="shared" si="61"/>
        <v>0.17999999999999997</v>
      </c>
      <c r="C78">
        <f t="shared" si="62"/>
        <v>0.3</v>
      </c>
      <c r="D78">
        <f t="shared" si="64"/>
        <v>0.54999999999999993</v>
      </c>
      <c r="E78">
        <f t="shared" si="64"/>
        <v>0.69999999999999984</v>
      </c>
      <c r="H78">
        <f t="shared" si="63"/>
        <v>0.18000000000000002</v>
      </c>
      <c r="I78">
        <f t="shared" si="65"/>
        <v>0.18</v>
      </c>
    </row>
    <row r="79" spans="1:15" hidden="1" x14ac:dyDescent="0.35">
      <c r="A79">
        <v>1970</v>
      </c>
      <c r="B79">
        <f t="shared" si="61"/>
        <v>0.17999999999999997</v>
      </c>
      <c r="C79">
        <f t="shared" si="62"/>
        <v>0.3</v>
      </c>
      <c r="D79">
        <f t="shared" si="64"/>
        <v>0.55000000000000004</v>
      </c>
      <c r="E79">
        <f t="shared" si="64"/>
        <v>0.7</v>
      </c>
      <c r="H79">
        <f t="shared" si="63"/>
        <v>0.18000000000000002</v>
      </c>
      <c r="I79">
        <f t="shared" si="65"/>
        <v>0.18</v>
      </c>
    </row>
    <row r="80" spans="1:15" hidden="1" x14ac:dyDescent="0.35">
      <c r="A80">
        <v>1980</v>
      </c>
      <c r="B80">
        <f t="shared" si="61"/>
        <v>0.27</v>
      </c>
      <c r="C80">
        <f t="shared" si="62"/>
        <v>0.42</v>
      </c>
      <c r="D80">
        <f t="shared" si="64"/>
        <v>0.55000000000000016</v>
      </c>
      <c r="E80">
        <f t="shared" si="64"/>
        <v>0.7</v>
      </c>
      <c r="H80">
        <f t="shared" si="63"/>
        <v>0.27</v>
      </c>
      <c r="I80">
        <f t="shared" si="65"/>
        <v>0.27000000000000007</v>
      </c>
    </row>
    <row r="81" spans="1:11" hidden="1" x14ac:dyDescent="0.35">
      <c r="A81">
        <v>1995</v>
      </c>
      <c r="B81">
        <f t="shared" si="61"/>
        <v>0.27000000000000007</v>
      </c>
      <c r="C81">
        <f t="shared" si="62"/>
        <v>0.42000000000000004</v>
      </c>
      <c r="D81">
        <f t="shared" si="64"/>
        <v>0.54999999999999993</v>
      </c>
      <c r="E81">
        <f t="shared" si="64"/>
        <v>0.70000000000000007</v>
      </c>
      <c r="H81">
        <f t="shared" si="63"/>
        <v>0.27</v>
      </c>
      <c r="I81">
        <f t="shared" si="65"/>
        <v>0.27</v>
      </c>
    </row>
    <row r="82" spans="1:11" hidden="1" x14ac:dyDescent="0.35">
      <c r="A82">
        <v>2005</v>
      </c>
      <c r="B82">
        <f t="shared" si="61"/>
        <v>0.27000000000000007</v>
      </c>
      <c r="C82">
        <f t="shared" si="62"/>
        <v>0.42</v>
      </c>
      <c r="D82">
        <f t="shared" si="64"/>
        <v>0.55000000000000016</v>
      </c>
      <c r="E82">
        <f t="shared" si="64"/>
        <v>0.69999999999999984</v>
      </c>
      <c r="H82">
        <f t="shared" si="63"/>
        <v>0.27</v>
      </c>
      <c r="I82">
        <f t="shared" si="65"/>
        <v>0.27</v>
      </c>
    </row>
    <row r="83" spans="1:11" hidden="1" x14ac:dyDescent="0.35">
      <c r="A83">
        <v>2020</v>
      </c>
      <c r="B83">
        <f t="shared" si="61"/>
        <v>0.27</v>
      </c>
      <c r="C83">
        <f t="shared" si="62"/>
        <v>0.42</v>
      </c>
      <c r="D83">
        <f t="shared" si="64"/>
        <v>0.55000000000000004</v>
      </c>
      <c r="E83">
        <f t="shared" si="64"/>
        <v>0.70000000000000018</v>
      </c>
      <c r="H83">
        <f t="shared" si="63"/>
        <v>0.27</v>
      </c>
      <c r="I83">
        <f t="shared" si="65"/>
        <v>0.27</v>
      </c>
    </row>
    <row r="84" spans="1:11" hidden="1" x14ac:dyDescent="0.35">
      <c r="A84">
        <v>2040</v>
      </c>
      <c r="B84">
        <f t="shared" si="61"/>
        <v>0.27</v>
      </c>
      <c r="C84">
        <f t="shared" si="62"/>
        <v>0.42</v>
      </c>
      <c r="D84">
        <f t="shared" si="64"/>
        <v>0.55000000000000004</v>
      </c>
      <c r="E84">
        <f t="shared" si="64"/>
        <v>0.7</v>
      </c>
      <c r="H84">
        <f t="shared" si="63"/>
        <v>0.27</v>
      </c>
      <c r="I84">
        <f t="shared" si="65"/>
        <v>0.27</v>
      </c>
    </row>
    <row r="86" spans="1:11" x14ac:dyDescent="0.35">
      <c r="A86" t="s">
        <v>172</v>
      </c>
    </row>
    <row r="87" spans="1:11" x14ac:dyDescent="0.35">
      <c r="A87" t="s">
        <v>73</v>
      </c>
      <c r="F87" t="s">
        <v>570</v>
      </c>
      <c r="G87" t="s">
        <v>94</v>
      </c>
      <c r="K87" t="s">
        <v>873</v>
      </c>
    </row>
    <row r="88" spans="1:11" x14ac:dyDescent="0.35">
      <c r="A88" t="s">
        <v>869</v>
      </c>
      <c r="F88">
        <v>1960</v>
      </c>
      <c r="G88">
        <v>0.8</v>
      </c>
    </row>
    <row r="89" spans="1:11" x14ac:dyDescent="0.35">
      <c r="A89" t="s">
        <v>869</v>
      </c>
      <c r="F89">
        <v>1970</v>
      </c>
      <c r="G89">
        <v>0.75</v>
      </c>
    </row>
    <row r="90" spans="1:11" x14ac:dyDescent="0.35">
      <c r="A90" t="s">
        <v>869</v>
      </c>
      <c r="F90">
        <v>2005</v>
      </c>
      <c r="G90">
        <v>0.7</v>
      </c>
    </row>
    <row r="91" spans="1:11" x14ac:dyDescent="0.35">
      <c r="A91" t="s">
        <v>870</v>
      </c>
      <c r="F91">
        <v>1965</v>
      </c>
      <c r="G91">
        <v>0.6</v>
      </c>
    </row>
    <row r="92" spans="1:11" x14ac:dyDescent="0.35">
      <c r="A92" t="s">
        <v>870</v>
      </c>
      <c r="F92">
        <v>1995</v>
      </c>
      <c r="G92">
        <v>0.56000000000000005</v>
      </c>
    </row>
    <row r="93" spans="1:11" x14ac:dyDescent="0.35">
      <c r="A93" t="s">
        <v>871</v>
      </c>
      <c r="F93">
        <v>1965</v>
      </c>
      <c r="G93">
        <v>2</v>
      </c>
    </row>
    <row r="94" spans="1:11" x14ac:dyDescent="0.35">
      <c r="A94" t="s">
        <v>871</v>
      </c>
      <c r="F94">
        <v>1980</v>
      </c>
      <c r="G94">
        <v>1.875</v>
      </c>
    </row>
    <row r="95" spans="1:11" x14ac:dyDescent="0.35">
      <c r="A95" t="s">
        <v>871</v>
      </c>
      <c r="F95">
        <v>2020</v>
      </c>
      <c r="G95">
        <v>1.7749999999999999</v>
      </c>
    </row>
    <row r="96" spans="1:11" x14ac:dyDescent="0.35">
      <c r="A96" t="s">
        <v>872</v>
      </c>
      <c r="F96">
        <v>1970</v>
      </c>
      <c r="G96">
        <v>1.2</v>
      </c>
    </row>
    <row r="97" spans="1:7" x14ac:dyDescent="0.35">
      <c r="A97" t="s">
        <v>872</v>
      </c>
      <c r="F97">
        <v>2005</v>
      </c>
      <c r="G97">
        <v>1.2</v>
      </c>
    </row>
    <row r="99" spans="1:7" x14ac:dyDescent="0.35">
      <c r="A99" t="s">
        <v>874</v>
      </c>
      <c r="F99" t="s">
        <v>875</v>
      </c>
    </row>
    <row r="100" spans="1:7" x14ac:dyDescent="0.35">
      <c r="A100">
        <v>1945</v>
      </c>
      <c r="F100">
        <v>0</v>
      </c>
    </row>
    <row r="101" spans="1:7" x14ac:dyDescent="0.35">
      <c r="A101">
        <v>1955</v>
      </c>
      <c r="F101">
        <v>1</v>
      </c>
    </row>
    <row r="102" spans="1:7" x14ac:dyDescent="0.35">
      <c r="A102">
        <v>1960</v>
      </c>
      <c r="F102">
        <v>1</v>
      </c>
    </row>
    <row r="103" spans="1:7" x14ac:dyDescent="0.35">
      <c r="A103">
        <v>1965</v>
      </c>
      <c r="F103">
        <v>2</v>
      </c>
    </row>
    <row r="104" spans="1:7" x14ac:dyDescent="0.35">
      <c r="A104">
        <v>1970</v>
      </c>
      <c r="F104">
        <v>2</v>
      </c>
    </row>
    <row r="105" spans="1:7" x14ac:dyDescent="0.35">
      <c r="A105">
        <v>1980</v>
      </c>
      <c r="F105">
        <v>2</v>
      </c>
    </row>
    <row r="106" spans="1:7" x14ac:dyDescent="0.35">
      <c r="A106">
        <v>1995</v>
      </c>
      <c r="F106">
        <v>3</v>
      </c>
    </row>
    <row r="107" spans="1:7" x14ac:dyDescent="0.35">
      <c r="A107">
        <v>2005</v>
      </c>
      <c r="F107">
        <v>3</v>
      </c>
    </row>
    <row r="108" spans="1:7" x14ac:dyDescent="0.35">
      <c r="A108">
        <v>2020</v>
      </c>
      <c r="F108">
        <v>3</v>
      </c>
    </row>
    <row r="109" spans="1:7" x14ac:dyDescent="0.35">
      <c r="A109">
        <v>2040</v>
      </c>
      <c r="F109">
        <v>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E43F-8F5C-4D4C-BD1E-E90A868DF915}">
  <dimension ref="A1:Y33"/>
  <sheetViews>
    <sheetView workbookViewId="0">
      <selection activeCell="R28" sqref="R28"/>
    </sheetView>
  </sheetViews>
  <sheetFormatPr defaultRowHeight="14.5" x14ac:dyDescent="0.35"/>
  <cols>
    <col min="7" max="7" width="9.7265625" bestFit="1" customWidth="1"/>
    <col min="16" max="16" width="33.81640625" bestFit="1" customWidth="1"/>
  </cols>
  <sheetData>
    <row r="1" spans="1:25" x14ac:dyDescent="0.35">
      <c r="B1" t="s">
        <v>876</v>
      </c>
    </row>
    <row r="2" spans="1:25" x14ac:dyDescent="0.35">
      <c r="A2" t="s">
        <v>914</v>
      </c>
      <c r="B2">
        <v>1.25</v>
      </c>
      <c r="C2">
        <v>1.25</v>
      </c>
      <c r="D2">
        <v>1.25</v>
      </c>
      <c r="E2">
        <v>1.25</v>
      </c>
      <c r="F2">
        <v>0.625</v>
      </c>
      <c r="G2" t="s">
        <v>915</v>
      </c>
      <c r="H2">
        <v>0.45</v>
      </c>
      <c r="I2">
        <v>1.25</v>
      </c>
      <c r="J2">
        <v>1.25</v>
      </c>
    </row>
    <row r="3" spans="1:25" x14ac:dyDescent="0.35">
      <c r="A3" t="s">
        <v>912</v>
      </c>
      <c r="B3">
        <v>2.5</v>
      </c>
      <c r="C3">
        <v>2.5</v>
      </c>
      <c r="D3">
        <v>2.5</v>
      </c>
      <c r="E3">
        <v>2.5</v>
      </c>
      <c r="F3">
        <v>2</v>
      </c>
      <c r="I3">
        <v>2</v>
      </c>
      <c r="J3">
        <v>2</v>
      </c>
    </row>
    <row r="4" spans="1:25" x14ac:dyDescent="0.35">
      <c r="A4" t="s">
        <v>110</v>
      </c>
      <c r="B4" t="s">
        <v>913</v>
      </c>
      <c r="C4" t="s">
        <v>910</v>
      </c>
      <c r="D4" t="s">
        <v>97</v>
      </c>
      <c r="E4" t="s">
        <v>96</v>
      </c>
      <c r="F4" t="s">
        <v>901</v>
      </c>
      <c r="G4" t="s">
        <v>484</v>
      </c>
      <c r="H4" t="s">
        <v>902</v>
      </c>
      <c r="I4" t="s">
        <v>903</v>
      </c>
      <c r="J4" t="s">
        <v>904</v>
      </c>
    </row>
    <row r="5" spans="1:25" x14ac:dyDescent="0.35">
      <c r="A5" t="s">
        <v>877</v>
      </c>
      <c r="C5" s="19"/>
      <c r="D5" s="19"/>
      <c r="E5" s="19"/>
      <c r="F5" s="19"/>
      <c r="G5" s="19"/>
      <c r="S5" t="s">
        <v>928</v>
      </c>
      <c r="T5">
        <f>Q11*4</f>
        <v>1116.8800000000001</v>
      </c>
    </row>
    <row r="6" spans="1:25" x14ac:dyDescent="0.35">
      <c r="A6" t="s">
        <v>878</v>
      </c>
      <c r="C6" s="19"/>
      <c r="D6" s="19"/>
      <c r="E6" s="19"/>
      <c r="F6" s="19"/>
      <c r="G6" s="19"/>
    </row>
    <row r="7" spans="1:25" x14ac:dyDescent="0.35">
      <c r="A7" t="s">
        <v>879</v>
      </c>
      <c r="C7" s="19"/>
      <c r="D7" s="19"/>
      <c r="E7" s="19"/>
      <c r="F7" s="19"/>
      <c r="G7" s="19"/>
      <c r="P7" t="s">
        <v>917</v>
      </c>
      <c r="Q7" t="s">
        <v>256</v>
      </c>
      <c r="R7" t="s">
        <v>921</v>
      </c>
      <c r="S7" t="s">
        <v>922</v>
      </c>
      <c r="T7" t="s">
        <v>925</v>
      </c>
      <c r="U7" t="s">
        <v>926</v>
      </c>
      <c r="V7" t="s">
        <v>256</v>
      </c>
      <c r="W7" t="s">
        <v>920</v>
      </c>
      <c r="X7" t="s">
        <v>255</v>
      </c>
      <c r="Y7" t="s">
        <v>255</v>
      </c>
    </row>
    <row r="8" spans="1:25" x14ac:dyDescent="0.35">
      <c r="A8" t="s">
        <v>911</v>
      </c>
      <c r="D8" s="19"/>
      <c r="E8" s="19"/>
      <c r="G8" s="19"/>
      <c r="P8" t="s">
        <v>919</v>
      </c>
      <c r="Q8">
        <v>0.625</v>
      </c>
      <c r="R8">
        <v>1.25</v>
      </c>
      <c r="T8">
        <v>1.25</v>
      </c>
      <c r="V8">
        <v>1.25</v>
      </c>
      <c r="W8">
        <f>V8/Q8</f>
        <v>2</v>
      </c>
      <c r="X8">
        <v>1.25</v>
      </c>
      <c r="Y8">
        <v>0.625</v>
      </c>
    </row>
    <row r="9" spans="1:25" x14ac:dyDescent="0.35">
      <c r="A9" t="s">
        <v>880</v>
      </c>
      <c r="D9" s="19"/>
      <c r="E9" s="19"/>
      <c r="F9" s="19"/>
      <c r="G9" s="19"/>
      <c r="P9" t="s">
        <v>918</v>
      </c>
      <c r="Q9">
        <v>39.6</v>
      </c>
      <c r="S9">
        <f>Q9*2^2.5</f>
        <v>224.01142827989827</v>
      </c>
      <c r="T9">
        <v>158.5</v>
      </c>
      <c r="U9">
        <f>T9/Q9</f>
        <v>4.0025252525252526</v>
      </c>
      <c r="V9">
        <v>158.5</v>
      </c>
      <c r="W9">
        <f>V9/Q9</f>
        <v>4.0025252525252526</v>
      </c>
      <c r="X9">
        <v>87.3</v>
      </c>
      <c r="Y9">
        <v>21.8</v>
      </c>
    </row>
    <row r="10" spans="1:25" x14ac:dyDescent="0.35">
      <c r="A10" t="s">
        <v>485</v>
      </c>
      <c r="E10" s="19"/>
      <c r="P10" t="s">
        <v>5</v>
      </c>
      <c r="Q10">
        <v>14.45</v>
      </c>
      <c r="S10">
        <f t="shared" ref="S10" si="0">Q10*2^2.5</f>
        <v>81.741543905164889</v>
      </c>
      <c r="T10">
        <v>12.346</v>
      </c>
      <c r="U10">
        <f t="shared" ref="U10:U11" si="1">T10/Q10</f>
        <v>0.85439446366782013</v>
      </c>
      <c r="V10">
        <v>6.19</v>
      </c>
      <c r="W10">
        <f>V10/Q10</f>
        <v>0.4283737024221454</v>
      </c>
      <c r="X10">
        <v>3.3519999999999999</v>
      </c>
      <c r="Y10">
        <v>7.65</v>
      </c>
    </row>
    <row r="11" spans="1:25" x14ac:dyDescent="0.35">
      <c r="A11" t="s">
        <v>881</v>
      </c>
      <c r="E11" s="19"/>
      <c r="F11" s="19"/>
      <c r="G11" s="19"/>
      <c r="P11" t="s">
        <v>3</v>
      </c>
      <c r="Q11">
        <v>279.22000000000003</v>
      </c>
      <c r="R11">
        <v>1014</v>
      </c>
      <c r="S11">
        <f>Q11*2^2.022</f>
        <v>1134.0420907390485</v>
      </c>
      <c r="T11">
        <v>1.1339999999999999</v>
      </c>
      <c r="U11">
        <f t="shared" si="1"/>
        <v>4.0613136594799789E-3</v>
      </c>
      <c r="V11">
        <v>2607</v>
      </c>
      <c r="W11">
        <f>V11/Q11</f>
        <v>9.3367237303918049</v>
      </c>
      <c r="X11">
        <v>2653</v>
      </c>
      <c r="Y11">
        <v>290.61</v>
      </c>
    </row>
    <row r="12" spans="1:25" x14ac:dyDescent="0.35">
      <c r="A12" t="s">
        <v>882</v>
      </c>
    </row>
    <row r="13" spans="1:25" x14ac:dyDescent="0.35">
      <c r="A13" t="s">
        <v>883</v>
      </c>
    </row>
    <row r="14" spans="1:25" x14ac:dyDescent="0.35">
      <c r="A14" t="s">
        <v>884</v>
      </c>
      <c r="F14" s="19"/>
      <c r="G14" s="19"/>
      <c r="P14">
        <f>Q11*2^2.5</f>
        <v>1579.5068435432627</v>
      </c>
    </row>
    <row r="15" spans="1:25" x14ac:dyDescent="0.35">
      <c r="A15" t="s">
        <v>487</v>
      </c>
    </row>
    <row r="16" spans="1:25" x14ac:dyDescent="0.35">
      <c r="A16" t="s">
        <v>885</v>
      </c>
      <c r="F16" s="19"/>
      <c r="G16" s="19"/>
    </row>
    <row r="17" spans="1:19" x14ac:dyDescent="0.35">
      <c r="A17" t="s">
        <v>886</v>
      </c>
      <c r="G17" s="19"/>
      <c r="S17" t="s">
        <v>923</v>
      </c>
    </row>
    <row r="18" spans="1:19" x14ac:dyDescent="0.35">
      <c r="A18" t="s">
        <v>887</v>
      </c>
      <c r="F18" s="19"/>
      <c r="G18" s="19"/>
      <c r="Q18">
        <v>2.5</v>
      </c>
      <c r="R18">
        <v>3.2229999999999999</v>
      </c>
      <c r="S18">
        <f t="shared" ref="S18:S25" si="2">R18-Q18</f>
        <v>0.72299999999999986</v>
      </c>
    </row>
    <row r="19" spans="1:19" x14ac:dyDescent="0.35">
      <c r="A19" t="s">
        <v>888</v>
      </c>
      <c r="Q19">
        <v>2</v>
      </c>
      <c r="R19">
        <v>2.895</v>
      </c>
      <c r="S19">
        <f t="shared" si="2"/>
        <v>0.89500000000000002</v>
      </c>
    </row>
    <row r="20" spans="1:19" x14ac:dyDescent="0.35">
      <c r="A20" t="s">
        <v>889</v>
      </c>
      <c r="F20" s="19"/>
      <c r="G20" s="19"/>
      <c r="Q20">
        <v>1.5</v>
      </c>
      <c r="R20">
        <v>2.6078000000000001</v>
      </c>
      <c r="S20">
        <f t="shared" si="2"/>
        <v>1.1078000000000001</v>
      </c>
    </row>
    <row r="21" spans="1:19" x14ac:dyDescent="0.35">
      <c r="A21" t="s">
        <v>890</v>
      </c>
      <c r="F21" s="19"/>
      <c r="G21" s="19"/>
      <c r="Q21">
        <v>0.67349999999999999</v>
      </c>
      <c r="R21">
        <v>2.2269999999999999</v>
      </c>
      <c r="S21">
        <f t="shared" si="2"/>
        <v>1.5534999999999999</v>
      </c>
    </row>
    <row r="22" spans="1:19" x14ac:dyDescent="0.35">
      <c r="A22" t="s">
        <v>488</v>
      </c>
      <c r="Q22">
        <v>0.57560999999999996</v>
      </c>
      <c r="R22">
        <v>2.19</v>
      </c>
      <c r="S22">
        <f t="shared" si="2"/>
        <v>1.61439</v>
      </c>
    </row>
    <row r="23" spans="1:19" x14ac:dyDescent="0.35">
      <c r="A23" t="s">
        <v>891</v>
      </c>
      <c r="F23" s="19"/>
      <c r="G23" s="19"/>
      <c r="Q23">
        <v>0.52280000000000004</v>
      </c>
      <c r="R23">
        <v>2.1705000000000001</v>
      </c>
      <c r="S23">
        <f t="shared" si="2"/>
        <v>1.6476999999999999</v>
      </c>
    </row>
    <row r="24" spans="1:19" x14ac:dyDescent="0.35">
      <c r="A24" t="s">
        <v>892</v>
      </c>
      <c r="F24" s="19"/>
      <c r="G24" s="19"/>
      <c r="Q24">
        <v>0.5</v>
      </c>
      <c r="R24">
        <v>2.161</v>
      </c>
      <c r="S24">
        <f t="shared" si="2"/>
        <v>1.661</v>
      </c>
    </row>
    <row r="25" spans="1:19" x14ac:dyDescent="0.35">
      <c r="A25" t="s">
        <v>893</v>
      </c>
      <c r="F25" s="19"/>
      <c r="G25" s="19"/>
      <c r="Q25">
        <v>7.3499999999999996E-2</v>
      </c>
      <c r="R25">
        <v>2.0219999999999998</v>
      </c>
      <c r="S25">
        <f t="shared" si="2"/>
        <v>1.9484999999999999</v>
      </c>
    </row>
    <row r="26" spans="1:19" x14ac:dyDescent="0.35">
      <c r="A26" t="s">
        <v>490</v>
      </c>
      <c r="F26" s="19"/>
    </row>
    <row r="27" spans="1:19" x14ac:dyDescent="0.35">
      <c r="A27" t="s">
        <v>894</v>
      </c>
      <c r="F27" s="19"/>
      <c r="G27" s="19"/>
      <c r="Q27" t="s">
        <v>927</v>
      </c>
      <c r="R27" t="s">
        <v>924</v>
      </c>
    </row>
    <row r="28" spans="1:19" x14ac:dyDescent="0.35">
      <c r="A28" t="s">
        <v>895</v>
      </c>
      <c r="F28" s="19"/>
      <c r="G28" s="19"/>
      <c r="Q28">
        <v>7.3467230443974491E-2</v>
      </c>
      <c r="R28">
        <f>0.3377*(Q28)+1.9957</f>
        <v>2.0205098837209303</v>
      </c>
    </row>
    <row r="29" spans="1:19" x14ac:dyDescent="0.35">
      <c r="A29" t="s">
        <v>896</v>
      </c>
      <c r="F29" s="19"/>
    </row>
    <row r="30" spans="1:19" x14ac:dyDescent="0.35">
      <c r="A30" t="s">
        <v>897</v>
      </c>
      <c r="F30" s="19"/>
      <c r="G30" s="19"/>
    </row>
    <row r="31" spans="1:19" x14ac:dyDescent="0.35">
      <c r="A31" t="s">
        <v>898</v>
      </c>
      <c r="F31" s="19"/>
      <c r="G31" s="19"/>
    </row>
    <row r="32" spans="1:19" x14ac:dyDescent="0.35">
      <c r="A32" t="s">
        <v>899</v>
      </c>
      <c r="F32" s="19"/>
      <c r="G32" s="19"/>
    </row>
    <row r="33" spans="1:7" x14ac:dyDescent="0.35">
      <c r="A33" t="s">
        <v>900</v>
      </c>
      <c r="F33" s="19"/>
      <c r="G33" s="1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FFCB-45D0-40BF-8DF0-D75251B0EC28}">
  <dimension ref="A1:O124"/>
  <sheetViews>
    <sheetView workbookViewId="0">
      <selection activeCell="O7" sqref="O7"/>
    </sheetView>
  </sheetViews>
  <sheetFormatPr defaultRowHeight="14.5" x14ac:dyDescent="0.35"/>
  <cols>
    <col min="1" max="1" width="19.08984375" bestFit="1" customWidth="1"/>
    <col min="2" max="2" width="15.26953125" bestFit="1" customWidth="1"/>
    <col min="3" max="3" width="15.81640625" bestFit="1" customWidth="1"/>
    <col min="4" max="4" width="19.08984375" bestFit="1" customWidth="1"/>
    <col min="5" max="5" width="23" bestFit="1" customWidth="1"/>
    <col min="6" max="6" width="12.6328125" bestFit="1" customWidth="1"/>
    <col min="7" max="7" width="11" bestFit="1" customWidth="1"/>
    <col min="9" max="9" width="15.08984375" bestFit="1" customWidth="1"/>
    <col min="10" max="11" width="15.26953125" bestFit="1" customWidth="1"/>
  </cols>
  <sheetData>
    <row r="1" spans="1:15" x14ac:dyDescent="0.35">
      <c r="A1" s="28" t="s">
        <v>133</v>
      </c>
      <c r="B1" t="s">
        <v>96</v>
      </c>
      <c r="C1" t="s">
        <v>97</v>
      </c>
      <c r="D1" t="s">
        <v>98</v>
      </c>
      <c r="E1" t="s">
        <v>99</v>
      </c>
      <c r="F1" t="s">
        <v>441</v>
      </c>
    </row>
    <row r="2" spans="1:15" x14ac:dyDescent="0.35">
      <c r="A2">
        <v>1945</v>
      </c>
      <c r="B2" t="s">
        <v>129</v>
      </c>
      <c r="C2" s="19" t="s">
        <v>121</v>
      </c>
      <c r="D2" s="19"/>
      <c r="E2" s="19"/>
      <c r="I2" t="s">
        <v>380</v>
      </c>
      <c r="J2" t="s">
        <v>381</v>
      </c>
      <c r="K2" t="s">
        <v>382</v>
      </c>
    </row>
    <row r="3" spans="1:15" x14ac:dyDescent="0.35">
      <c r="A3">
        <v>1955</v>
      </c>
      <c r="B3" t="s">
        <v>129</v>
      </c>
      <c r="C3" t="s">
        <v>121</v>
      </c>
      <c r="D3" s="19"/>
      <c r="E3" s="19"/>
      <c r="F3" t="s">
        <v>101</v>
      </c>
      <c r="H3">
        <v>1945</v>
      </c>
      <c r="I3">
        <v>25</v>
      </c>
      <c r="M3" t="s">
        <v>950</v>
      </c>
      <c r="N3">
        <v>0.4</v>
      </c>
      <c r="O3">
        <v>0.2</v>
      </c>
    </row>
    <row r="4" spans="1:15" x14ac:dyDescent="0.35">
      <c r="A4">
        <v>1960</v>
      </c>
      <c r="B4" t="s">
        <v>129</v>
      </c>
      <c r="C4" t="s">
        <v>121</v>
      </c>
      <c r="D4" t="s">
        <v>101</v>
      </c>
      <c r="E4" s="19"/>
      <c r="H4">
        <v>1955</v>
      </c>
      <c r="I4">
        <v>55</v>
      </c>
      <c r="J4">
        <v>40</v>
      </c>
      <c r="N4">
        <f t="shared" ref="N4:N12" si="0">$N$3*I4</f>
        <v>22</v>
      </c>
      <c r="O4">
        <f>$O$3*J4</f>
        <v>8</v>
      </c>
    </row>
    <row r="5" spans="1:15" x14ac:dyDescent="0.35">
      <c r="A5">
        <v>1965</v>
      </c>
      <c r="B5" t="s">
        <v>129</v>
      </c>
      <c r="C5" t="s">
        <v>121</v>
      </c>
      <c r="D5" t="s">
        <v>104</v>
      </c>
      <c r="E5" t="s">
        <v>108</v>
      </c>
      <c r="H5">
        <v>1960</v>
      </c>
      <c r="I5">
        <v>125</v>
      </c>
      <c r="J5">
        <v>100</v>
      </c>
      <c r="K5">
        <v>3</v>
      </c>
      <c r="N5">
        <f t="shared" si="0"/>
        <v>50</v>
      </c>
      <c r="O5">
        <f t="shared" ref="O5:O12" si="1">$O$3*J5</f>
        <v>20</v>
      </c>
    </row>
    <row r="6" spans="1:15" x14ac:dyDescent="0.35">
      <c r="A6">
        <v>1970</v>
      </c>
      <c r="B6" t="s">
        <v>129</v>
      </c>
      <c r="C6" t="s">
        <v>115</v>
      </c>
      <c r="D6" t="s">
        <v>104</v>
      </c>
      <c r="E6" t="s">
        <v>108</v>
      </c>
      <c r="F6" t="s">
        <v>106</v>
      </c>
      <c r="H6">
        <v>1965</v>
      </c>
      <c r="I6">
        <v>250</v>
      </c>
      <c r="J6">
        <v>145</v>
      </c>
      <c r="K6">
        <v>4</v>
      </c>
      <c r="N6">
        <f t="shared" si="0"/>
        <v>100</v>
      </c>
      <c r="O6">
        <f t="shared" si="1"/>
        <v>29</v>
      </c>
    </row>
    <row r="7" spans="1:15" x14ac:dyDescent="0.35">
      <c r="A7">
        <v>1980</v>
      </c>
      <c r="B7" t="s">
        <v>130</v>
      </c>
      <c r="C7" t="s">
        <v>115</v>
      </c>
      <c r="D7" t="s">
        <v>104</v>
      </c>
      <c r="E7" t="s">
        <v>108</v>
      </c>
      <c r="H7">
        <v>1970</v>
      </c>
      <c r="I7">
        <v>600</v>
      </c>
      <c r="J7">
        <v>290</v>
      </c>
      <c r="K7">
        <v>6</v>
      </c>
      <c r="M7" t="s">
        <v>951</v>
      </c>
      <c r="N7">
        <f t="shared" si="0"/>
        <v>240</v>
      </c>
      <c r="O7">
        <f t="shared" si="1"/>
        <v>58</v>
      </c>
    </row>
    <row r="8" spans="1:15" x14ac:dyDescent="0.35">
      <c r="A8">
        <v>1995</v>
      </c>
      <c r="B8" t="s">
        <v>130</v>
      </c>
      <c r="C8" t="s">
        <v>115</v>
      </c>
      <c r="D8" t="s">
        <v>104</v>
      </c>
      <c r="E8" t="s">
        <v>108</v>
      </c>
      <c r="F8" t="s">
        <v>106</v>
      </c>
      <c r="H8">
        <v>1980</v>
      </c>
      <c r="I8">
        <v>1400</v>
      </c>
      <c r="J8">
        <v>580</v>
      </c>
      <c r="K8">
        <v>9</v>
      </c>
      <c r="N8">
        <f t="shared" si="0"/>
        <v>560</v>
      </c>
      <c r="O8">
        <f t="shared" si="1"/>
        <v>116</v>
      </c>
    </row>
    <row r="9" spans="1:15" x14ac:dyDescent="0.35">
      <c r="A9">
        <v>2005</v>
      </c>
      <c r="B9" t="s">
        <v>130</v>
      </c>
      <c r="C9" t="s">
        <v>115</v>
      </c>
      <c r="D9" t="s">
        <v>107</v>
      </c>
      <c r="E9" t="s">
        <v>100</v>
      </c>
      <c r="H9">
        <v>1995</v>
      </c>
      <c r="I9">
        <v>3000</v>
      </c>
      <c r="J9">
        <v>1150</v>
      </c>
      <c r="K9">
        <v>12</v>
      </c>
      <c r="N9">
        <f t="shared" si="0"/>
        <v>1200</v>
      </c>
      <c r="O9">
        <f t="shared" si="1"/>
        <v>230</v>
      </c>
    </row>
    <row r="10" spans="1:15" x14ac:dyDescent="0.35">
      <c r="A10">
        <v>2020</v>
      </c>
      <c r="B10" t="s">
        <v>130</v>
      </c>
      <c r="C10" t="s">
        <v>115</v>
      </c>
      <c r="D10" t="s">
        <v>107</v>
      </c>
      <c r="E10" t="s">
        <v>100</v>
      </c>
      <c r="F10" t="s">
        <v>106</v>
      </c>
      <c r="H10">
        <v>2005</v>
      </c>
      <c r="I10">
        <v>7000</v>
      </c>
      <c r="J10">
        <v>2300</v>
      </c>
      <c r="K10">
        <v>15</v>
      </c>
      <c r="N10">
        <f t="shared" si="0"/>
        <v>2800</v>
      </c>
      <c r="O10">
        <f t="shared" si="1"/>
        <v>460</v>
      </c>
    </row>
    <row r="11" spans="1:15" x14ac:dyDescent="0.35">
      <c r="A11">
        <v>2040</v>
      </c>
      <c r="B11" t="s">
        <v>130</v>
      </c>
      <c r="C11" t="s">
        <v>115</v>
      </c>
      <c r="D11" t="s">
        <v>107</v>
      </c>
      <c r="E11" t="s">
        <v>100</v>
      </c>
      <c r="H11">
        <v>2020</v>
      </c>
      <c r="I11">
        <v>15000</v>
      </c>
      <c r="J11">
        <v>4600</v>
      </c>
      <c r="K11">
        <v>20</v>
      </c>
      <c r="N11">
        <f t="shared" si="0"/>
        <v>6000</v>
      </c>
      <c r="O11">
        <f t="shared" si="1"/>
        <v>920</v>
      </c>
    </row>
    <row r="12" spans="1:15" x14ac:dyDescent="0.35">
      <c r="H12">
        <v>2040</v>
      </c>
      <c r="I12">
        <v>22000</v>
      </c>
      <c r="J12">
        <v>7500</v>
      </c>
      <c r="K12">
        <v>30</v>
      </c>
      <c r="N12">
        <f t="shared" si="0"/>
        <v>8800</v>
      </c>
      <c r="O12">
        <f t="shared" si="1"/>
        <v>1500</v>
      </c>
    </row>
    <row r="13" spans="1:15" x14ac:dyDescent="0.35">
      <c r="A13" s="28" t="s">
        <v>383</v>
      </c>
      <c r="B13" s="28" t="s">
        <v>134</v>
      </c>
      <c r="C13" s="28" t="s">
        <v>135</v>
      </c>
      <c r="D13" t="s">
        <v>98</v>
      </c>
      <c r="E13" t="s">
        <v>99</v>
      </c>
    </row>
    <row r="14" spans="1:15" x14ac:dyDescent="0.35">
      <c r="A14">
        <v>1945</v>
      </c>
      <c r="B14">
        <v>1.5</v>
      </c>
      <c r="C14" s="19"/>
      <c r="D14" s="19"/>
      <c r="E14" s="19"/>
      <c r="I14" t="s">
        <v>385</v>
      </c>
    </row>
    <row r="15" spans="1:15" x14ac:dyDescent="0.35">
      <c r="A15">
        <v>1955</v>
      </c>
      <c r="B15">
        <v>1.3</v>
      </c>
      <c r="C15">
        <v>0.5</v>
      </c>
      <c r="D15" s="19"/>
      <c r="E15" s="19"/>
      <c r="H15">
        <v>1945</v>
      </c>
    </row>
    <row r="16" spans="1:15" x14ac:dyDescent="0.35">
      <c r="A16">
        <v>1960</v>
      </c>
      <c r="B16">
        <v>1.25</v>
      </c>
      <c r="C16">
        <v>0.45</v>
      </c>
      <c r="D16">
        <v>0.3</v>
      </c>
      <c r="E16" s="19"/>
      <c r="H16">
        <v>1955</v>
      </c>
    </row>
    <row r="17" spans="1:15" x14ac:dyDescent="0.35">
      <c r="A17">
        <v>1965</v>
      </c>
      <c r="B17">
        <v>1.2</v>
      </c>
      <c r="C17">
        <v>0.4</v>
      </c>
      <c r="D17">
        <v>0.27500000000000002</v>
      </c>
      <c r="E17">
        <f>D17+0.15</f>
        <v>0.42500000000000004</v>
      </c>
      <c r="H17">
        <v>1960</v>
      </c>
    </row>
    <row r="18" spans="1:15" x14ac:dyDescent="0.35">
      <c r="A18">
        <v>1970</v>
      </c>
      <c r="B18">
        <v>1.1499999999999999</v>
      </c>
      <c r="C18">
        <v>0.36</v>
      </c>
      <c r="D18">
        <v>0.24</v>
      </c>
      <c r="E18">
        <f>D18+0.1</f>
        <v>0.33999999999999997</v>
      </c>
      <c r="H18">
        <v>1965</v>
      </c>
      <c r="N18" t="s">
        <v>442</v>
      </c>
      <c r="O18">
        <v>1800</v>
      </c>
    </row>
    <row r="19" spans="1:15" x14ac:dyDescent="0.35">
      <c r="A19">
        <v>1980</v>
      </c>
      <c r="B19">
        <v>1.1000000000000001</v>
      </c>
      <c r="C19">
        <v>0.34</v>
      </c>
      <c r="D19">
        <v>0.23</v>
      </c>
      <c r="E19">
        <f>D19+0.075</f>
        <v>0.30499999999999999</v>
      </c>
      <c r="H19">
        <v>1970</v>
      </c>
      <c r="N19" t="s">
        <v>443</v>
      </c>
      <c r="O19">
        <v>0.1</v>
      </c>
    </row>
    <row r="20" spans="1:15" x14ac:dyDescent="0.35">
      <c r="A20">
        <v>1995</v>
      </c>
      <c r="B20">
        <v>1.05</v>
      </c>
      <c r="C20">
        <v>0.32</v>
      </c>
      <c r="D20">
        <v>0.22</v>
      </c>
      <c r="E20">
        <f>D20+0.065</f>
        <v>0.28500000000000003</v>
      </c>
      <c r="H20">
        <v>1980</v>
      </c>
      <c r="N20" t="s">
        <v>444</v>
      </c>
      <c r="O20">
        <f>O18/(60*O19)</f>
        <v>300</v>
      </c>
    </row>
    <row r="21" spans="1:15" x14ac:dyDescent="0.35">
      <c r="A21">
        <v>2005</v>
      </c>
      <c r="B21">
        <v>1</v>
      </c>
      <c r="C21">
        <v>0.3</v>
      </c>
      <c r="D21">
        <v>0.2</v>
      </c>
      <c r="E21">
        <f>D21+0.055</f>
        <v>0.255</v>
      </c>
      <c r="H21">
        <v>1995</v>
      </c>
      <c r="N21" t="s">
        <v>445</v>
      </c>
      <c r="O21">
        <f>O20/60</f>
        <v>5</v>
      </c>
    </row>
    <row r="22" spans="1:15" x14ac:dyDescent="0.35">
      <c r="A22">
        <v>2020</v>
      </c>
      <c r="B22">
        <v>0.95</v>
      </c>
      <c r="C22">
        <v>0.28999999999999998</v>
      </c>
      <c r="D22">
        <v>0.18</v>
      </c>
      <c r="E22">
        <f t="shared" ref="E22:E23" si="2">D22+0.05</f>
        <v>0.22999999999999998</v>
      </c>
      <c r="H22">
        <v>2005</v>
      </c>
    </row>
    <row r="23" spans="1:15" x14ac:dyDescent="0.35">
      <c r="A23">
        <v>2040</v>
      </c>
      <c r="B23">
        <v>0.9</v>
      </c>
      <c r="C23">
        <v>0.28000000000000003</v>
      </c>
      <c r="D23">
        <v>0.16</v>
      </c>
      <c r="E23">
        <f t="shared" si="2"/>
        <v>0.21000000000000002</v>
      </c>
      <c r="H23">
        <v>2020</v>
      </c>
    </row>
    <row r="24" spans="1:15" x14ac:dyDescent="0.35">
      <c r="H24">
        <v>2040</v>
      </c>
    </row>
    <row r="25" spans="1:15" x14ac:dyDescent="0.35">
      <c r="A25" s="28" t="s">
        <v>384</v>
      </c>
      <c r="B25" s="28" t="s">
        <v>134</v>
      </c>
      <c r="C25" s="28" t="s">
        <v>135</v>
      </c>
      <c r="D25" t="s">
        <v>98</v>
      </c>
      <c r="E25" t="s">
        <v>99</v>
      </c>
    </row>
    <row r="26" spans="1:15" x14ac:dyDescent="0.35">
      <c r="A26">
        <v>1945</v>
      </c>
      <c r="B26">
        <f>I3*B14</f>
        <v>37.5</v>
      </c>
      <c r="C26" s="19"/>
      <c r="D26" s="19"/>
      <c r="E26" s="19"/>
    </row>
    <row r="27" spans="1:15" x14ac:dyDescent="0.35">
      <c r="A27">
        <v>1955</v>
      </c>
      <c r="B27">
        <f t="shared" ref="B27:D35" si="3">I4*B15</f>
        <v>71.5</v>
      </c>
      <c r="C27">
        <f t="shared" si="3"/>
        <v>20</v>
      </c>
      <c r="D27" s="19"/>
      <c r="E27" s="19"/>
      <c r="K27" t="s">
        <v>388</v>
      </c>
      <c r="L27" t="s">
        <v>389</v>
      </c>
    </row>
    <row r="28" spans="1:15" x14ac:dyDescent="0.35">
      <c r="A28">
        <v>1960</v>
      </c>
      <c r="B28">
        <f t="shared" si="3"/>
        <v>156.25</v>
      </c>
      <c r="C28">
        <f t="shared" si="3"/>
        <v>45</v>
      </c>
      <c r="D28">
        <v>0.8</v>
      </c>
      <c r="E28" s="19"/>
      <c r="K28" s="51">
        <v>0.5</v>
      </c>
      <c r="L28" s="51">
        <v>2</v>
      </c>
    </row>
    <row r="29" spans="1:15" x14ac:dyDescent="0.35">
      <c r="A29">
        <v>1965</v>
      </c>
      <c r="B29">
        <f t="shared" si="3"/>
        <v>300</v>
      </c>
      <c r="C29">
        <f t="shared" si="3"/>
        <v>58</v>
      </c>
      <c r="D29">
        <v>1</v>
      </c>
      <c r="E29">
        <v>0.8</v>
      </c>
      <c r="K29" t="s">
        <v>390</v>
      </c>
      <c r="L29" t="s">
        <v>391</v>
      </c>
    </row>
    <row r="30" spans="1:15" x14ac:dyDescent="0.35">
      <c r="A30">
        <v>1970</v>
      </c>
      <c r="B30">
        <f t="shared" si="3"/>
        <v>690</v>
      </c>
      <c r="C30">
        <f t="shared" si="3"/>
        <v>104.39999999999999</v>
      </c>
      <c r="D30">
        <v>1.5</v>
      </c>
      <c r="E30">
        <v>1</v>
      </c>
    </row>
    <row r="31" spans="1:15" x14ac:dyDescent="0.35">
      <c r="A31">
        <v>1980</v>
      </c>
      <c r="B31">
        <f t="shared" si="3"/>
        <v>1540.0000000000002</v>
      </c>
      <c r="C31">
        <f t="shared" si="3"/>
        <v>197.20000000000002</v>
      </c>
      <c r="D31">
        <v>2</v>
      </c>
      <c r="E31">
        <v>1.25</v>
      </c>
    </row>
    <row r="32" spans="1:15" x14ac:dyDescent="0.35">
      <c r="A32">
        <v>1995</v>
      </c>
      <c r="B32">
        <f t="shared" si="3"/>
        <v>3150</v>
      </c>
      <c r="C32">
        <f t="shared" si="3"/>
        <v>368</v>
      </c>
      <c r="D32">
        <v>2.5</v>
      </c>
      <c r="E32">
        <v>1.5</v>
      </c>
    </row>
    <row r="33" spans="1:7" x14ac:dyDescent="0.35">
      <c r="A33">
        <v>2005</v>
      </c>
      <c r="B33">
        <f t="shared" si="3"/>
        <v>7000</v>
      </c>
      <c r="C33">
        <f t="shared" si="3"/>
        <v>690</v>
      </c>
      <c r="D33">
        <f t="shared" si="3"/>
        <v>3</v>
      </c>
      <c r="E33">
        <v>1.8</v>
      </c>
    </row>
    <row r="34" spans="1:7" x14ac:dyDescent="0.35">
      <c r="A34">
        <v>2020</v>
      </c>
      <c r="B34">
        <f t="shared" si="3"/>
        <v>14250</v>
      </c>
      <c r="C34">
        <f t="shared" si="3"/>
        <v>1334</v>
      </c>
      <c r="D34">
        <f t="shared" si="3"/>
        <v>3.5999999999999996</v>
      </c>
      <c r="E34">
        <v>2.2000000000000002</v>
      </c>
    </row>
    <row r="35" spans="1:7" x14ac:dyDescent="0.35">
      <c r="A35">
        <v>2040</v>
      </c>
      <c r="B35">
        <f t="shared" si="3"/>
        <v>19800</v>
      </c>
      <c r="C35">
        <f t="shared" si="3"/>
        <v>2100</v>
      </c>
      <c r="D35">
        <f t="shared" si="3"/>
        <v>4.8</v>
      </c>
      <c r="E35">
        <v>3</v>
      </c>
    </row>
    <row r="37" spans="1:7" x14ac:dyDescent="0.35">
      <c r="A37" s="28" t="s">
        <v>136</v>
      </c>
      <c r="B37" s="28" t="s">
        <v>134</v>
      </c>
      <c r="C37" s="28" t="s">
        <v>135</v>
      </c>
      <c r="D37" t="s">
        <v>98</v>
      </c>
      <c r="E37" t="s">
        <v>99</v>
      </c>
      <c r="F37" t="s">
        <v>386</v>
      </c>
      <c r="G37" t="s">
        <v>387</v>
      </c>
    </row>
    <row r="38" spans="1:7" x14ac:dyDescent="0.35">
      <c r="A38">
        <v>1945</v>
      </c>
      <c r="B38">
        <v>15</v>
      </c>
      <c r="C38" s="19"/>
      <c r="D38" s="19"/>
      <c r="E38" s="19"/>
      <c r="F38" s="19"/>
      <c r="G38" s="19"/>
    </row>
    <row r="39" spans="1:7" x14ac:dyDescent="0.35">
      <c r="A39">
        <v>1955</v>
      </c>
      <c r="B39">
        <v>14</v>
      </c>
      <c r="C39">
        <f t="shared" ref="C39:C45" si="4">B39*3/8</f>
        <v>5.25</v>
      </c>
      <c r="D39" s="19"/>
      <c r="E39" s="19"/>
      <c r="F39" s="19"/>
      <c r="G39" s="19"/>
    </row>
    <row r="40" spans="1:7" x14ac:dyDescent="0.35">
      <c r="A40">
        <v>1960</v>
      </c>
      <c r="B40">
        <v>12.5</v>
      </c>
      <c r="C40">
        <v>4.75</v>
      </c>
      <c r="D40">
        <v>10</v>
      </c>
      <c r="E40" s="19"/>
      <c r="F40">
        <v>0.06</v>
      </c>
      <c r="G40" s="19"/>
    </row>
    <row r="41" spans="1:7" x14ac:dyDescent="0.35">
      <c r="A41">
        <v>1965</v>
      </c>
      <c r="B41">
        <v>12</v>
      </c>
      <c r="C41">
        <f t="shared" si="4"/>
        <v>4.5</v>
      </c>
      <c r="D41">
        <v>9</v>
      </c>
      <c r="E41">
        <v>7.5</v>
      </c>
      <c r="F41">
        <v>0.05</v>
      </c>
      <c r="G41">
        <v>4.0000000000000001E-3</v>
      </c>
    </row>
    <row r="42" spans="1:7" x14ac:dyDescent="0.35">
      <c r="A42">
        <v>1970</v>
      </c>
      <c r="B42">
        <v>11</v>
      </c>
      <c r="C42">
        <v>4</v>
      </c>
      <c r="D42">
        <v>8</v>
      </c>
      <c r="E42">
        <v>7</v>
      </c>
      <c r="F42">
        <v>0.04</v>
      </c>
      <c r="G42">
        <v>3.0000000000000001E-3</v>
      </c>
    </row>
    <row r="43" spans="1:7" x14ac:dyDescent="0.35">
      <c r="A43">
        <v>1980</v>
      </c>
      <c r="B43">
        <v>10</v>
      </c>
      <c r="C43">
        <f t="shared" si="4"/>
        <v>3.75</v>
      </c>
      <c r="D43">
        <v>7</v>
      </c>
      <c r="E43">
        <v>6.5</v>
      </c>
      <c r="F43">
        <v>0.03</v>
      </c>
      <c r="G43">
        <v>2E-3</v>
      </c>
    </row>
    <row r="44" spans="1:7" x14ac:dyDescent="0.35">
      <c r="A44">
        <v>1995</v>
      </c>
      <c r="B44">
        <v>7.5</v>
      </c>
      <c r="C44">
        <v>2.75</v>
      </c>
      <c r="D44">
        <v>6</v>
      </c>
      <c r="E44">
        <f t="shared" ref="E44:E47" si="5">D44</f>
        <v>6</v>
      </c>
      <c r="F44">
        <v>0.02</v>
      </c>
      <c r="G44">
        <v>1.5E-3</v>
      </c>
    </row>
    <row r="45" spans="1:7" x14ac:dyDescent="0.35">
      <c r="A45">
        <v>2005</v>
      </c>
      <c r="B45">
        <v>6</v>
      </c>
      <c r="C45">
        <f t="shared" si="4"/>
        <v>2.25</v>
      </c>
      <c r="D45">
        <v>5</v>
      </c>
      <c r="E45">
        <f t="shared" si="5"/>
        <v>5</v>
      </c>
      <c r="F45">
        <v>1.4999999999999999E-2</v>
      </c>
      <c r="G45">
        <v>1E-3</v>
      </c>
    </row>
    <row r="46" spans="1:7" x14ac:dyDescent="0.35">
      <c r="A46">
        <v>2020</v>
      </c>
      <c r="B46">
        <v>5</v>
      </c>
      <c r="C46">
        <v>1.75</v>
      </c>
      <c r="D46">
        <v>4.5</v>
      </c>
      <c r="E46">
        <f t="shared" si="5"/>
        <v>4.5</v>
      </c>
      <c r="F46">
        <v>0.01</v>
      </c>
      <c r="G46">
        <v>1E-3</v>
      </c>
    </row>
    <row r="47" spans="1:7" x14ac:dyDescent="0.35">
      <c r="A47">
        <v>2040</v>
      </c>
      <c r="B47">
        <v>4</v>
      </c>
      <c r="C47">
        <f>B47*3/8</f>
        <v>1.5</v>
      </c>
      <c r="D47">
        <v>4</v>
      </c>
      <c r="E47">
        <f t="shared" si="5"/>
        <v>4</v>
      </c>
      <c r="F47">
        <v>0.01</v>
      </c>
      <c r="G47">
        <v>1E-3</v>
      </c>
    </row>
    <row r="49" spans="1:5" x14ac:dyDescent="0.35">
      <c r="A49" s="28" t="s">
        <v>137</v>
      </c>
      <c r="B49" s="28" t="s">
        <v>134</v>
      </c>
      <c r="C49" s="28" t="s">
        <v>135</v>
      </c>
      <c r="D49" t="s">
        <v>98</v>
      </c>
      <c r="E49" t="s">
        <v>99</v>
      </c>
    </row>
    <row r="50" spans="1:5" x14ac:dyDescent="0.35">
      <c r="A50">
        <v>1945</v>
      </c>
      <c r="B50">
        <v>1900</v>
      </c>
      <c r="C50" s="19"/>
      <c r="D50" s="19"/>
      <c r="E50" s="19"/>
    </row>
    <row r="51" spans="1:5" x14ac:dyDescent="0.35">
      <c r="A51">
        <v>1955</v>
      </c>
      <c r="B51">
        <v>1900</v>
      </c>
      <c r="C51">
        <f>C39*600</f>
        <v>3150</v>
      </c>
      <c r="D51" s="19"/>
      <c r="E51" s="19"/>
    </row>
    <row r="52" spans="1:5" x14ac:dyDescent="0.35">
      <c r="A52">
        <v>1960</v>
      </c>
      <c r="B52">
        <v>1750</v>
      </c>
      <c r="C52">
        <f t="shared" ref="C52:C59" si="6">C40*600</f>
        <v>2850</v>
      </c>
      <c r="D52">
        <v>5000</v>
      </c>
      <c r="E52" s="19"/>
    </row>
    <row r="53" spans="1:5" x14ac:dyDescent="0.35">
      <c r="A53">
        <v>1965</v>
      </c>
      <c r="B53">
        <v>1750</v>
      </c>
      <c r="C53">
        <f t="shared" si="6"/>
        <v>2700</v>
      </c>
      <c r="D53">
        <v>3500</v>
      </c>
      <c r="E53">
        <v>8500</v>
      </c>
    </row>
    <row r="54" spans="1:5" x14ac:dyDescent="0.35">
      <c r="A54">
        <v>1970</v>
      </c>
      <c r="B54">
        <v>1750</v>
      </c>
      <c r="C54">
        <f t="shared" si="6"/>
        <v>2400</v>
      </c>
      <c r="D54">
        <v>3000</v>
      </c>
      <c r="E54">
        <v>7000</v>
      </c>
    </row>
    <row r="55" spans="1:5" x14ac:dyDescent="0.35">
      <c r="A55">
        <v>1980</v>
      </c>
      <c r="B55">
        <v>1600</v>
      </c>
      <c r="C55">
        <f t="shared" si="6"/>
        <v>2250</v>
      </c>
      <c r="D55">
        <v>2750</v>
      </c>
      <c r="E55">
        <v>6000</v>
      </c>
    </row>
    <row r="56" spans="1:5" x14ac:dyDescent="0.35">
      <c r="A56">
        <v>1995</v>
      </c>
      <c r="B56">
        <v>1250</v>
      </c>
      <c r="C56">
        <f t="shared" si="6"/>
        <v>1650</v>
      </c>
      <c r="D56">
        <v>2500</v>
      </c>
      <c r="E56">
        <v>4000</v>
      </c>
    </row>
    <row r="57" spans="1:5" x14ac:dyDescent="0.35">
      <c r="A57">
        <v>2005</v>
      </c>
      <c r="B57">
        <v>1000</v>
      </c>
      <c r="C57">
        <f t="shared" si="6"/>
        <v>1350</v>
      </c>
      <c r="D57">
        <v>2500</v>
      </c>
      <c r="E57">
        <v>3500</v>
      </c>
    </row>
    <row r="58" spans="1:5" x14ac:dyDescent="0.35">
      <c r="A58">
        <v>2020</v>
      </c>
      <c r="B58">
        <v>1000</v>
      </c>
      <c r="C58">
        <f t="shared" si="6"/>
        <v>1050</v>
      </c>
      <c r="D58">
        <v>2250</v>
      </c>
      <c r="E58">
        <v>3250</v>
      </c>
    </row>
    <row r="59" spans="1:5" x14ac:dyDescent="0.35">
      <c r="A59">
        <v>2040</v>
      </c>
      <c r="B59">
        <v>1000</v>
      </c>
      <c r="C59">
        <f t="shared" si="6"/>
        <v>900</v>
      </c>
      <c r="D59">
        <v>2000</v>
      </c>
      <c r="E59">
        <v>3000</v>
      </c>
    </row>
    <row r="61" spans="1:5" x14ac:dyDescent="0.35">
      <c r="A61" t="s">
        <v>437</v>
      </c>
      <c r="B61" s="28" t="s">
        <v>134</v>
      </c>
      <c r="C61" s="28" t="s">
        <v>135</v>
      </c>
      <c r="D61" t="s">
        <v>98</v>
      </c>
      <c r="E61" t="s">
        <v>99</v>
      </c>
    </row>
    <row r="62" spans="1:5" x14ac:dyDescent="0.35">
      <c r="A62">
        <v>1945</v>
      </c>
      <c r="B62" s="13">
        <f>(B50/25000)/B14</f>
        <v>5.0666666666666665E-2</v>
      </c>
      <c r="C62" s="31"/>
      <c r="D62" s="31"/>
      <c r="E62" s="31"/>
    </row>
    <row r="63" spans="1:5" x14ac:dyDescent="0.35">
      <c r="A63">
        <v>1955</v>
      </c>
      <c r="B63" s="13">
        <f t="shared" ref="B63:E71" si="7">(B51/25000)/B15</f>
        <v>5.8461538461538461E-2</v>
      </c>
      <c r="C63" s="13">
        <f t="shared" ref="C63" si="8">(C51/25000)/C15</f>
        <v>0.252</v>
      </c>
      <c r="D63" s="31"/>
      <c r="E63" s="31"/>
    </row>
    <row r="64" spans="1:5" x14ac:dyDescent="0.35">
      <c r="A64">
        <v>1960</v>
      </c>
      <c r="B64" s="13">
        <f t="shared" si="7"/>
        <v>5.6000000000000008E-2</v>
      </c>
      <c r="C64" s="13">
        <f t="shared" ref="C64:D64" si="9">(C52/25000)/C16</f>
        <v>0.25333333333333335</v>
      </c>
      <c r="D64" s="13">
        <f t="shared" si="9"/>
        <v>0.66666666666666674</v>
      </c>
      <c r="E64" s="31"/>
    </row>
    <row r="65" spans="1:7" x14ac:dyDescent="0.35">
      <c r="A65">
        <v>1965</v>
      </c>
      <c r="B65" s="13">
        <f t="shared" si="7"/>
        <v>5.8333333333333341E-2</v>
      </c>
      <c r="C65" s="13">
        <f t="shared" ref="C65:E65" si="10">(C53/25000)/C17</f>
        <v>0.26999999999999996</v>
      </c>
      <c r="D65" s="13">
        <f t="shared" si="10"/>
        <v>0.50909090909090915</v>
      </c>
      <c r="E65" s="13">
        <f t="shared" si="10"/>
        <v>0.79999999999999993</v>
      </c>
    </row>
    <row r="66" spans="1:7" x14ac:dyDescent="0.35">
      <c r="A66">
        <v>1970</v>
      </c>
      <c r="B66" s="13">
        <f t="shared" si="7"/>
        <v>6.0869565217391314E-2</v>
      </c>
      <c r="C66" s="13">
        <f t="shared" ref="C66:E66" si="11">(C54/25000)/C18</f>
        <v>0.26666666666666666</v>
      </c>
      <c r="D66" s="13">
        <f t="shared" si="11"/>
        <v>0.5</v>
      </c>
      <c r="E66" s="13">
        <f t="shared" si="11"/>
        <v>0.82352941176470607</v>
      </c>
    </row>
    <row r="67" spans="1:7" x14ac:dyDescent="0.35">
      <c r="A67">
        <v>1980</v>
      </c>
      <c r="B67" s="13">
        <f t="shared" si="7"/>
        <v>5.8181818181818182E-2</v>
      </c>
      <c r="C67" s="13">
        <f t="shared" ref="C67:E67" si="12">(C55/25000)/C19</f>
        <v>0.26470588235294112</v>
      </c>
      <c r="D67" s="13">
        <f t="shared" si="12"/>
        <v>0.47826086956521735</v>
      </c>
      <c r="E67" s="13">
        <f t="shared" si="12"/>
        <v>0.78688524590163933</v>
      </c>
    </row>
    <row r="68" spans="1:7" x14ac:dyDescent="0.35">
      <c r="A68">
        <v>1995</v>
      </c>
      <c r="B68" s="13">
        <f t="shared" si="7"/>
        <v>4.7619047619047616E-2</v>
      </c>
      <c r="C68" s="13">
        <f t="shared" ref="C68:E68" si="13">(C56/25000)/C20</f>
        <v>0.20625000000000002</v>
      </c>
      <c r="D68" s="13">
        <f t="shared" si="13"/>
        <v>0.45454545454545459</v>
      </c>
      <c r="E68" s="13">
        <f t="shared" si="13"/>
        <v>0.56140350877192979</v>
      </c>
    </row>
    <row r="69" spans="1:7" x14ac:dyDescent="0.35">
      <c r="A69">
        <v>2005</v>
      </c>
      <c r="B69" s="13">
        <f t="shared" si="7"/>
        <v>0.04</v>
      </c>
      <c r="C69" s="13">
        <f t="shared" ref="C69:E69" si="14">(C57/25000)/C21</f>
        <v>0.18</v>
      </c>
      <c r="D69" s="13">
        <f t="shared" si="14"/>
        <v>0.5</v>
      </c>
      <c r="E69" s="13">
        <f t="shared" si="14"/>
        <v>0.5490196078431373</v>
      </c>
    </row>
    <row r="70" spans="1:7" x14ac:dyDescent="0.35">
      <c r="A70">
        <v>2020</v>
      </c>
      <c r="B70" s="13">
        <f t="shared" si="7"/>
        <v>4.2105263157894743E-2</v>
      </c>
      <c r="C70" s="13">
        <f t="shared" ref="C70:E70" si="15">(C58/25000)/C22</f>
        <v>0.14482758620689656</v>
      </c>
      <c r="D70" s="13">
        <f t="shared" si="15"/>
        <v>0.5</v>
      </c>
      <c r="E70" s="13">
        <f t="shared" si="15"/>
        <v>0.56521739130434789</v>
      </c>
    </row>
    <row r="71" spans="1:7" x14ac:dyDescent="0.35">
      <c r="A71">
        <v>2040</v>
      </c>
      <c r="B71" s="13">
        <f t="shared" si="7"/>
        <v>4.4444444444444446E-2</v>
      </c>
      <c r="C71" s="13">
        <f t="shared" si="7"/>
        <v>0.12857142857142856</v>
      </c>
      <c r="D71" s="13">
        <f t="shared" si="7"/>
        <v>0.5</v>
      </c>
      <c r="E71" s="13">
        <f t="shared" si="7"/>
        <v>0.5714285714285714</v>
      </c>
    </row>
    <row r="73" spans="1:7" x14ac:dyDescent="0.35">
      <c r="A73" t="s">
        <v>438</v>
      </c>
      <c r="B73" s="28" t="s">
        <v>134</v>
      </c>
      <c r="C73" s="28" t="s">
        <v>135</v>
      </c>
      <c r="D73" t="s">
        <v>98</v>
      </c>
      <c r="E73" t="s">
        <v>99</v>
      </c>
      <c r="F73" t="s">
        <v>386</v>
      </c>
      <c r="G73" t="s">
        <v>387</v>
      </c>
    </row>
    <row r="74" spans="1:7" x14ac:dyDescent="0.35">
      <c r="A74">
        <v>1945</v>
      </c>
      <c r="B74" s="13">
        <f>(B50/B38)/60</f>
        <v>2.1111111111111112</v>
      </c>
      <c r="C74" s="31"/>
      <c r="D74" s="31"/>
      <c r="E74" s="31"/>
      <c r="F74" s="19"/>
      <c r="G74" s="19"/>
    </row>
    <row r="75" spans="1:7" x14ac:dyDescent="0.35">
      <c r="A75">
        <v>1955</v>
      </c>
      <c r="B75" s="13">
        <f t="shared" ref="B75:E83" si="16">(B51/B39)/60</f>
        <v>2.2619047619047619</v>
      </c>
      <c r="C75" s="13">
        <f t="shared" ref="C75" si="17">(C51/C39)/60</f>
        <v>10</v>
      </c>
      <c r="D75" s="31"/>
      <c r="E75" s="31"/>
      <c r="F75" s="19"/>
      <c r="G75" s="19"/>
    </row>
    <row r="76" spans="1:7" x14ac:dyDescent="0.35">
      <c r="A76">
        <v>1960</v>
      </c>
      <c r="B76" s="13">
        <f t="shared" si="16"/>
        <v>2.3333333333333335</v>
      </c>
      <c r="C76" s="13">
        <f t="shared" ref="C76:D76" si="18">(C52/C40)/60</f>
        <v>10</v>
      </c>
      <c r="D76" s="13">
        <f t="shared" si="18"/>
        <v>8.3333333333333339</v>
      </c>
      <c r="E76" s="31"/>
      <c r="F76" s="13">
        <f>(D52/(D40*F40))/60</f>
        <v>138.88888888888889</v>
      </c>
      <c r="G76" s="19"/>
    </row>
    <row r="77" spans="1:7" x14ac:dyDescent="0.35">
      <c r="A77">
        <v>1965</v>
      </c>
      <c r="B77" s="13">
        <f t="shared" si="16"/>
        <v>2.4305555555555558</v>
      </c>
      <c r="C77" s="13">
        <f t="shared" ref="C77:E77" si="19">(C53/C41)/60</f>
        <v>10</v>
      </c>
      <c r="D77" s="13">
        <f t="shared" si="19"/>
        <v>6.4814814814814818</v>
      </c>
      <c r="E77" s="13">
        <f t="shared" si="19"/>
        <v>18.888888888888889</v>
      </c>
      <c r="F77" s="13">
        <f>(D53/(D41*F41))/60</f>
        <v>129.62962962962962</v>
      </c>
      <c r="G77" s="13">
        <f>(E53/(E41*G41))/60</f>
        <v>4722.2222222222226</v>
      </c>
    </row>
    <row r="78" spans="1:7" x14ac:dyDescent="0.35">
      <c r="A78">
        <v>1970</v>
      </c>
      <c r="B78" s="13">
        <f t="shared" si="16"/>
        <v>2.6515151515151514</v>
      </c>
      <c r="C78" s="13">
        <f t="shared" ref="C78:E78" si="20">(C54/C42)/60</f>
        <v>10</v>
      </c>
      <c r="D78" s="13">
        <f t="shared" si="20"/>
        <v>6.25</v>
      </c>
      <c r="E78" s="13">
        <f t="shared" si="20"/>
        <v>16.666666666666668</v>
      </c>
      <c r="F78" s="13">
        <f t="shared" ref="F78:F83" si="21">(D54/(D42*F42))/60</f>
        <v>156.25</v>
      </c>
      <c r="G78" s="13">
        <f t="shared" ref="G78:G83" si="22">(E54/(E42*G42))/60</f>
        <v>5555.5555555555557</v>
      </c>
    </row>
    <row r="79" spans="1:7" x14ac:dyDescent="0.35">
      <c r="A79">
        <v>1980</v>
      </c>
      <c r="B79" s="13">
        <f t="shared" si="16"/>
        <v>2.6666666666666665</v>
      </c>
      <c r="C79" s="13">
        <f t="shared" ref="C79:E79" si="23">(C55/C43)/60</f>
        <v>10</v>
      </c>
      <c r="D79" s="13">
        <f t="shared" si="23"/>
        <v>6.5476190476190474</v>
      </c>
      <c r="E79" s="13">
        <f t="shared" si="23"/>
        <v>15.384615384615385</v>
      </c>
      <c r="F79" s="13">
        <f t="shared" si="21"/>
        <v>218.25396825396825</v>
      </c>
      <c r="G79" s="13">
        <f t="shared" si="22"/>
        <v>7692.3076923076915</v>
      </c>
    </row>
    <row r="80" spans="1:7" x14ac:dyDescent="0.35">
      <c r="A80">
        <v>1995</v>
      </c>
      <c r="B80" s="13">
        <f t="shared" si="16"/>
        <v>2.7777777777777777</v>
      </c>
      <c r="C80" s="13">
        <f t="shared" ref="C80:E80" si="24">(C56/C44)/60</f>
        <v>10</v>
      </c>
      <c r="D80" s="13">
        <f t="shared" si="24"/>
        <v>6.9444444444444446</v>
      </c>
      <c r="E80" s="13">
        <f t="shared" si="24"/>
        <v>11.111111111111111</v>
      </c>
      <c r="F80" s="13">
        <f t="shared" si="21"/>
        <v>347.22222222222229</v>
      </c>
      <c r="G80" s="13">
        <f t="shared" si="22"/>
        <v>7407.407407407406</v>
      </c>
    </row>
    <row r="81" spans="1:7" x14ac:dyDescent="0.35">
      <c r="A81">
        <v>2005</v>
      </c>
      <c r="B81" s="13">
        <f t="shared" si="16"/>
        <v>2.7777777777777777</v>
      </c>
      <c r="C81" s="13">
        <f t="shared" ref="C81:E81" si="25">(C57/C45)/60</f>
        <v>10</v>
      </c>
      <c r="D81" s="13">
        <f t="shared" si="25"/>
        <v>8.3333333333333339</v>
      </c>
      <c r="E81" s="13">
        <f t="shared" si="25"/>
        <v>11.666666666666666</v>
      </c>
      <c r="F81" s="13">
        <f t="shared" si="21"/>
        <v>555.55555555555554</v>
      </c>
      <c r="G81" s="13">
        <f t="shared" si="22"/>
        <v>11666.666666666666</v>
      </c>
    </row>
    <row r="82" spans="1:7" x14ac:dyDescent="0.35">
      <c r="A82">
        <v>2020</v>
      </c>
      <c r="B82" s="13">
        <f t="shared" si="16"/>
        <v>3.3333333333333335</v>
      </c>
      <c r="C82" s="13">
        <f t="shared" si="16"/>
        <v>10</v>
      </c>
      <c r="D82" s="13">
        <f t="shared" si="16"/>
        <v>8.3333333333333339</v>
      </c>
      <c r="E82" s="13">
        <f t="shared" si="16"/>
        <v>12.037037037037036</v>
      </c>
      <c r="F82" s="13">
        <f t="shared" si="21"/>
        <v>833.33333333333337</v>
      </c>
      <c r="G82" s="13">
        <f t="shared" si="22"/>
        <v>12037.037037037035</v>
      </c>
    </row>
    <row r="83" spans="1:7" x14ac:dyDescent="0.35">
      <c r="A83">
        <v>2040</v>
      </c>
      <c r="B83" s="13">
        <f t="shared" si="16"/>
        <v>4.166666666666667</v>
      </c>
      <c r="C83" s="13">
        <f t="shared" si="16"/>
        <v>10</v>
      </c>
      <c r="D83" s="13">
        <f t="shared" si="16"/>
        <v>8.3333333333333339</v>
      </c>
      <c r="E83" s="13">
        <f t="shared" si="16"/>
        <v>12.5</v>
      </c>
      <c r="F83" s="13">
        <f t="shared" si="21"/>
        <v>833.33333333333337</v>
      </c>
      <c r="G83" s="13">
        <f t="shared" si="22"/>
        <v>12500</v>
      </c>
    </row>
    <row r="85" spans="1:7" x14ac:dyDescent="0.35">
      <c r="A85" t="s">
        <v>439</v>
      </c>
      <c r="B85" t="s">
        <v>386</v>
      </c>
      <c r="C85" t="s">
        <v>387</v>
      </c>
      <c r="D85" t="s">
        <v>440</v>
      </c>
      <c r="E85" t="s">
        <v>387</v>
      </c>
    </row>
    <row r="86" spans="1:7" x14ac:dyDescent="0.35">
      <c r="A86">
        <v>1945</v>
      </c>
      <c r="B86" s="19"/>
      <c r="C86" s="19"/>
      <c r="E86" s="19"/>
    </row>
    <row r="87" spans="1:7" x14ac:dyDescent="0.35">
      <c r="A87">
        <v>1955</v>
      </c>
      <c r="B87" s="19"/>
      <c r="C87" s="19"/>
      <c r="E87" s="19"/>
    </row>
    <row r="88" spans="1:7" x14ac:dyDescent="0.35">
      <c r="A88">
        <v>1960</v>
      </c>
      <c r="B88" s="13">
        <f>F76/60</f>
        <v>2.3148148148148149</v>
      </c>
      <c r="C88" s="19"/>
      <c r="E88" s="19"/>
    </row>
    <row r="89" spans="1:7" x14ac:dyDescent="0.35">
      <c r="A89">
        <v>1965</v>
      </c>
      <c r="B89" s="13">
        <f t="shared" ref="B89:B94" si="26">F77/60</f>
        <v>2.1604938271604937</v>
      </c>
      <c r="C89" s="13">
        <f t="shared" ref="C89:C94" si="27">G77/60</f>
        <v>78.703703703703709</v>
      </c>
      <c r="E89" s="13">
        <f>C89/24</f>
        <v>3.2793209876543212</v>
      </c>
    </row>
    <row r="90" spans="1:7" x14ac:dyDescent="0.35">
      <c r="A90">
        <v>1970</v>
      </c>
      <c r="B90" s="13">
        <f t="shared" si="26"/>
        <v>2.6041666666666665</v>
      </c>
      <c r="C90" s="13">
        <f t="shared" si="27"/>
        <v>92.592592592592595</v>
      </c>
      <c r="E90" s="13">
        <f t="shared" ref="E90:E95" si="28">C90/24</f>
        <v>3.8580246913580249</v>
      </c>
    </row>
    <row r="91" spans="1:7" x14ac:dyDescent="0.35">
      <c r="A91">
        <v>1980</v>
      </c>
      <c r="B91" s="13">
        <f t="shared" si="26"/>
        <v>3.6375661375661377</v>
      </c>
      <c r="C91" s="13">
        <f t="shared" si="27"/>
        <v>128.2051282051282</v>
      </c>
      <c r="E91" s="13">
        <f t="shared" si="28"/>
        <v>5.3418803418803416</v>
      </c>
    </row>
    <row r="92" spans="1:7" x14ac:dyDescent="0.35">
      <c r="A92">
        <v>1995</v>
      </c>
      <c r="B92" s="13">
        <f t="shared" si="26"/>
        <v>5.7870370370370381</v>
      </c>
      <c r="C92" s="13">
        <f t="shared" si="27"/>
        <v>123.45679012345677</v>
      </c>
      <c r="E92" s="13">
        <f t="shared" si="28"/>
        <v>5.144032921810699</v>
      </c>
    </row>
    <row r="93" spans="1:7" x14ac:dyDescent="0.35">
      <c r="A93">
        <v>2005</v>
      </c>
      <c r="B93" s="13">
        <f t="shared" si="26"/>
        <v>9.2592592592592595</v>
      </c>
      <c r="C93" s="13">
        <f t="shared" si="27"/>
        <v>194.44444444444443</v>
      </c>
      <c r="E93" s="13">
        <f t="shared" si="28"/>
        <v>8.1018518518518512</v>
      </c>
    </row>
    <row r="94" spans="1:7" x14ac:dyDescent="0.35">
      <c r="A94">
        <v>2020</v>
      </c>
      <c r="B94" s="13">
        <f t="shared" si="26"/>
        <v>13.888888888888889</v>
      </c>
      <c r="C94" s="13">
        <f t="shared" si="27"/>
        <v>200.61728395061724</v>
      </c>
      <c r="E94" s="13">
        <f t="shared" si="28"/>
        <v>8.3590534979423854</v>
      </c>
    </row>
    <row r="95" spans="1:7" x14ac:dyDescent="0.35">
      <c r="A95">
        <v>2040</v>
      </c>
      <c r="B95" s="13">
        <f t="shared" ref="B95:C95" si="29">F83/60</f>
        <v>13.888888888888889</v>
      </c>
      <c r="C95" s="13">
        <f t="shared" si="29"/>
        <v>208.33333333333334</v>
      </c>
      <c r="E95" s="13">
        <f t="shared" si="28"/>
        <v>8.6805555555555554</v>
      </c>
    </row>
    <row r="106" spans="1:6" x14ac:dyDescent="0.35">
      <c r="A106" t="s">
        <v>73</v>
      </c>
      <c r="B106" t="s">
        <v>3</v>
      </c>
      <c r="C106" t="s">
        <v>102</v>
      </c>
      <c r="D106" t="s">
        <v>105</v>
      </c>
      <c r="E106" t="s">
        <v>110</v>
      </c>
      <c r="F106" t="s">
        <v>111</v>
      </c>
    </row>
    <row r="107" spans="1:6" x14ac:dyDescent="0.35">
      <c r="A107" t="s">
        <v>100</v>
      </c>
      <c r="B107">
        <v>0.04</v>
      </c>
      <c r="D107">
        <v>2005</v>
      </c>
      <c r="E107">
        <v>0.625</v>
      </c>
      <c r="F107" t="s">
        <v>112</v>
      </c>
    </row>
    <row r="108" spans="1:6" x14ac:dyDescent="0.35">
      <c r="A108" t="s">
        <v>101</v>
      </c>
      <c r="B108">
        <v>0.05</v>
      </c>
      <c r="C108" t="s">
        <v>103</v>
      </c>
      <c r="D108">
        <v>1945</v>
      </c>
      <c r="E108">
        <v>0.625</v>
      </c>
      <c r="F108" t="s">
        <v>118</v>
      </c>
    </row>
    <row r="109" spans="1:6" x14ac:dyDescent="0.35">
      <c r="A109" t="s">
        <v>104</v>
      </c>
      <c r="B109">
        <v>0.06</v>
      </c>
      <c r="D109">
        <v>1995</v>
      </c>
      <c r="E109">
        <v>0.625</v>
      </c>
      <c r="F109" t="s">
        <v>113</v>
      </c>
    </row>
    <row r="110" spans="1:6" x14ac:dyDescent="0.35">
      <c r="A110" t="s">
        <v>106</v>
      </c>
      <c r="B110">
        <v>7.0000000000000007E-2</v>
      </c>
      <c r="D110">
        <v>1980</v>
      </c>
      <c r="E110">
        <v>0.625</v>
      </c>
      <c r="F110" t="s">
        <v>114</v>
      </c>
    </row>
    <row r="111" spans="1:6" x14ac:dyDescent="0.35">
      <c r="A111" t="s">
        <v>107</v>
      </c>
      <c r="B111">
        <v>0.1</v>
      </c>
      <c r="C111" t="s">
        <v>109</v>
      </c>
      <c r="E111">
        <v>0.75</v>
      </c>
      <c r="F111" t="s">
        <v>113</v>
      </c>
    </row>
    <row r="112" spans="1:6" x14ac:dyDescent="0.35">
      <c r="A112" t="s">
        <v>108</v>
      </c>
      <c r="B112">
        <v>0.1</v>
      </c>
      <c r="C112" t="s">
        <v>109</v>
      </c>
      <c r="E112">
        <v>0.75</v>
      </c>
      <c r="F112" t="s">
        <v>113</v>
      </c>
    </row>
    <row r="113" spans="1:6" x14ac:dyDescent="0.35">
      <c r="A113" t="s">
        <v>115</v>
      </c>
      <c r="B113">
        <v>0.1</v>
      </c>
      <c r="C113" t="s">
        <v>109</v>
      </c>
      <c r="E113">
        <v>1.25</v>
      </c>
      <c r="F113" t="s">
        <v>116</v>
      </c>
    </row>
    <row r="114" spans="1:6" x14ac:dyDescent="0.35">
      <c r="A114" t="s">
        <v>117</v>
      </c>
      <c r="B114">
        <v>0.12</v>
      </c>
      <c r="C114" t="s">
        <v>109</v>
      </c>
      <c r="E114">
        <v>2</v>
      </c>
      <c r="F114" t="s">
        <v>119</v>
      </c>
    </row>
    <row r="115" spans="1:6" x14ac:dyDescent="0.35">
      <c r="A115" t="s">
        <v>120</v>
      </c>
      <c r="B115">
        <v>0.12</v>
      </c>
      <c r="C115" t="s">
        <v>109</v>
      </c>
      <c r="E115">
        <v>1</v>
      </c>
      <c r="F115" t="s">
        <v>113</v>
      </c>
    </row>
    <row r="116" spans="1:6" x14ac:dyDescent="0.35">
      <c r="A116" t="s">
        <v>121</v>
      </c>
      <c r="B116">
        <v>0.13</v>
      </c>
      <c r="C116" t="s">
        <v>109</v>
      </c>
      <c r="E116">
        <v>1.25</v>
      </c>
      <c r="F116" t="s">
        <v>113</v>
      </c>
    </row>
    <row r="117" spans="1:6" x14ac:dyDescent="0.35">
      <c r="A117" t="s">
        <v>122</v>
      </c>
      <c r="C117" t="s">
        <v>123</v>
      </c>
      <c r="F117" t="s">
        <v>125</v>
      </c>
    </row>
    <row r="118" spans="1:6" x14ac:dyDescent="0.35">
      <c r="A118" t="s">
        <v>124</v>
      </c>
      <c r="C118" t="s">
        <v>123</v>
      </c>
      <c r="F118" t="s">
        <v>125</v>
      </c>
    </row>
    <row r="119" spans="1:6" x14ac:dyDescent="0.35">
      <c r="A119" t="s">
        <v>126</v>
      </c>
      <c r="B119">
        <v>0.2</v>
      </c>
      <c r="C119" t="s">
        <v>109</v>
      </c>
      <c r="E119">
        <v>1.75</v>
      </c>
      <c r="F119" t="s">
        <v>127</v>
      </c>
    </row>
    <row r="120" spans="1:6" x14ac:dyDescent="0.35">
      <c r="A120" t="s">
        <v>128</v>
      </c>
      <c r="C120" t="s">
        <v>123</v>
      </c>
      <c r="F120" t="s">
        <v>125</v>
      </c>
    </row>
    <row r="121" spans="1:6" x14ac:dyDescent="0.35">
      <c r="A121" t="s">
        <v>129</v>
      </c>
      <c r="B121">
        <v>0.25</v>
      </c>
      <c r="C121" t="s">
        <v>109</v>
      </c>
      <c r="E121">
        <v>1.875</v>
      </c>
      <c r="F121" t="s">
        <v>113</v>
      </c>
    </row>
    <row r="122" spans="1:6" x14ac:dyDescent="0.35">
      <c r="A122" t="s">
        <v>130</v>
      </c>
      <c r="B122">
        <v>0.5</v>
      </c>
      <c r="C122" t="s">
        <v>109</v>
      </c>
      <c r="E122">
        <v>2.5</v>
      </c>
      <c r="F122" t="s">
        <v>116</v>
      </c>
    </row>
    <row r="123" spans="1:6" x14ac:dyDescent="0.35">
      <c r="A123" t="s">
        <v>131</v>
      </c>
      <c r="C123" t="s">
        <v>123</v>
      </c>
    </row>
    <row r="124" spans="1:6" x14ac:dyDescent="0.35">
      <c r="A124" t="s">
        <v>132</v>
      </c>
      <c r="C124" t="s">
        <v>123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BB36-E8E8-4CE1-ADD5-A684ADA08E34}">
  <dimension ref="A1:R47"/>
  <sheetViews>
    <sheetView workbookViewId="0">
      <selection activeCell="G3" sqref="G3"/>
    </sheetView>
  </sheetViews>
  <sheetFormatPr defaultRowHeight="14.5" x14ac:dyDescent="0.35"/>
  <cols>
    <col min="1" max="1" width="9.6328125" bestFit="1" customWidth="1"/>
    <col min="5" max="5" width="28.08984375" bestFit="1" customWidth="1"/>
    <col min="6" max="6" width="26.1796875" customWidth="1"/>
    <col min="11" max="11" width="10.453125" bestFit="1" customWidth="1"/>
    <col min="12" max="12" width="10.1796875" bestFit="1" customWidth="1"/>
    <col min="13" max="13" width="11.81640625" bestFit="1" customWidth="1"/>
  </cols>
  <sheetData>
    <row r="1" spans="1:18" x14ac:dyDescent="0.35">
      <c r="A1" t="s">
        <v>430</v>
      </c>
      <c r="B1" t="s">
        <v>426</v>
      </c>
      <c r="C1" t="s">
        <v>210</v>
      </c>
      <c r="D1" t="s">
        <v>431</v>
      </c>
      <c r="E1" t="s">
        <v>432</v>
      </c>
      <c r="F1" t="s">
        <v>831</v>
      </c>
      <c r="G1" t="s">
        <v>94</v>
      </c>
      <c r="H1" t="s">
        <v>955</v>
      </c>
      <c r="I1" t="s">
        <v>394</v>
      </c>
      <c r="J1">
        <v>10</v>
      </c>
      <c r="K1" t="s">
        <v>396</v>
      </c>
      <c r="N1" t="s">
        <v>406</v>
      </c>
    </row>
    <row r="2" spans="1:18" x14ac:dyDescent="0.35">
      <c r="A2">
        <v>1960</v>
      </c>
      <c r="B2">
        <v>180000</v>
      </c>
      <c r="C2">
        <f t="shared" ref="C2:C12" si="0">B2/15</f>
        <v>12000</v>
      </c>
      <c r="D2">
        <v>0.20499999999999999</v>
      </c>
      <c r="E2" t="s">
        <v>89</v>
      </c>
      <c r="F2" s="19">
        <f>C2*8</f>
        <v>96000</v>
      </c>
      <c r="G2">
        <v>0.4</v>
      </c>
      <c r="H2">
        <f>C2/25000</f>
        <v>0.48</v>
      </c>
      <c r="I2" t="s">
        <v>395</v>
      </c>
      <c r="J2">
        <v>1.4</v>
      </c>
      <c r="K2" t="s">
        <v>396</v>
      </c>
      <c r="O2" t="s">
        <v>407</v>
      </c>
      <c r="P2" t="s">
        <v>424</v>
      </c>
      <c r="Q2" t="s">
        <v>425</v>
      </c>
    </row>
    <row r="3" spans="1:18" x14ac:dyDescent="0.35">
      <c r="A3" s="40">
        <v>1965</v>
      </c>
      <c r="B3">
        <v>210000</v>
      </c>
      <c r="C3">
        <f t="shared" si="0"/>
        <v>14000</v>
      </c>
      <c r="D3">
        <v>0.2</v>
      </c>
      <c r="E3" t="s">
        <v>90</v>
      </c>
      <c r="F3" s="19">
        <f t="shared" ref="F3:F7" si="1">C3*8</f>
        <v>112000</v>
      </c>
      <c r="H3">
        <f t="shared" ref="H3:H12" si="2">C3/25000</f>
        <v>0.56000000000000005</v>
      </c>
      <c r="M3" t="s">
        <v>409</v>
      </c>
      <c r="N3" t="s">
        <v>3</v>
      </c>
      <c r="O3">
        <v>4.9482999999999997</v>
      </c>
      <c r="P3">
        <v>8.0000000000000002E-3</v>
      </c>
      <c r="Q3">
        <v>7.7310000000000004E-2</v>
      </c>
    </row>
    <row r="4" spans="1:18" x14ac:dyDescent="0.35">
      <c r="A4" s="40">
        <v>1970</v>
      </c>
      <c r="B4">
        <v>240000</v>
      </c>
      <c r="C4">
        <f t="shared" si="0"/>
        <v>16000</v>
      </c>
      <c r="D4">
        <v>0.19500000000000001</v>
      </c>
      <c r="E4" t="s">
        <v>158</v>
      </c>
      <c r="F4" s="19">
        <f t="shared" si="1"/>
        <v>128000</v>
      </c>
      <c r="H4">
        <f t="shared" si="2"/>
        <v>0.64</v>
      </c>
      <c r="M4" t="s">
        <v>423</v>
      </c>
      <c r="N4" t="s">
        <v>408</v>
      </c>
      <c r="O4">
        <v>1311100</v>
      </c>
      <c r="P4">
        <v>1800</v>
      </c>
      <c r="Q4">
        <v>20500</v>
      </c>
    </row>
    <row r="5" spans="1:18" x14ac:dyDescent="0.35">
      <c r="A5" s="40">
        <v>1975</v>
      </c>
      <c r="B5">
        <v>270000</v>
      </c>
      <c r="C5">
        <f>B5/15</f>
        <v>18000</v>
      </c>
      <c r="D5">
        <v>0.19</v>
      </c>
      <c r="E5" t="s">
        <v>198</v>
      </c>
      <c r="F5" s="19">
        <f t="shared" si="1"/>
        <v>144000</v>
      </c>
      <c r="H5">
        <f t="shared" si="2"/>
        <v>0.72</v>
      </c>
      <c r="M5" t="s">
        <v>421</v>
      </c>
      <c r="N5" t="s">
        <v>410</v>
      </c>
      <c r="O5" s="14">
        <f>O4/O3</f>
        <v>264959.683123497</v>
      </c>
      <c r="P5" s="14">
        <f>P4/P3</f>
        <v>225000</v>
      </c>
      <c r="Q5" s="14">
        <f>Q4/Q3</f>
        <v>265166.21394386236</v>
      </c>
    </row>
    <row r="6" spans="1:18" x14ac:dyDescent="0.35">
      <c r="A6" s="40">
        <v>1980</v>
      </c>
      <c r="B6">
        <v>300000</v>
      </c>
      <c r="C6">
        <f t="shared" si="0"/>
        <v>20000</v>
      </c>
      <c r="D6">
        <v>0.185</v>
      </c>
      <c r="E6" t="s">
        <v>199</v>
      </c>
      <c r="F6" s="19">
        <f t="shared" si="1"/>
        <v>160000</v>
      </c>
      <c r="H6">
        <f t="shared" si="2"/>
        <v>0.8</v>
      </c>
      <c r="I6" t="s">
        <v>393</v>
      </c>
    </row>
    <row r="7" spans="1:18" x14ac:dyDescent="0.35">
      <c r="A7" s="40">
        <v>1985</v>
      </c>
      <c r="B7">
        <v>315000</v>
      </c>
      <c r="C7">
        <f t="shared" si="0"/>
        <v>21000</v>
      </c>
      <c r="D7">
        <v>0.18</v>
      </c>
      <c r="E7" t="s">
        <v>200</v>
      </c>
      <c r="F7" s="19">
        <f t="shared" si="1"/>
        <v>168000</v>
      </c>
      <c r="H7">
        <f t="shared" si="2"/>
        <v>0.84</v>
      </c>
      <c r="I7" t="s">
        <v>3</v>
      </c>
      <c r="J7">
        <v>0.28999999999999998</v>
      </c>
      <c r="K7" t="s">
        <v>4</v>
      </c>
      <c r="O7" t="s">
        <v>418</v>
      </c>
      <c r="P7" t="s">
        <v>418</v>
      </c>
      <c r="Q7" t="s">
        <v>396</v>
      </c>
    </row>
    <row r="8" spans="1:18" x14ac:dyDescent="0.35">
      <c r="A8" s="40">
        <v>1995</v>
      </c>
      <c r="B8">
        <v>330000</v>
      </c>
      <c r="C8">
        <f t="shared" si="0"/>
        <v>22000</v>
      </c>
      <c r="D8">
        <v>0.17499999999999999</v>
      </c>
      <c r="E8" t="s">
        <v>201</v>
      </c>
      <c r="F8">
        <f>C8*4</f>
        <v>88000</v>
      </c>
      <c r="G8">
        <f>$G$2*F8</f>
        <v>35200</v>
      </c>
      <c r="H8">
        <f t="shared" si="2"/>
        <v>0.88</v>
      </c>
      <c r="I8" t="s">
        <v>397</v>
      </c>
      <c r="J8">
        <v>40</v>
      </c>
      <c r="K8" t="s">
        <v>398</v>
      </c>
      <c r="N8" t="s">
        <v>411</v>
      </c>
      <c r="O8" t="s">
        <v>416</v>
      </c>
      <c r="P8" t="s">
        <v>417</v>
      </c>
      <c r="Q8" t="s">
        <v>408</v>
      </c>
      <c r="R8" t="s">
        <v>422</v>
      </c>
    </row>
    <row r="9" spans="1:18" x14ac:dyDescent="0.35">
      <c r="A9" s="40">
        <v>2005</v>
      </c>
      <c r="B9">
        <v>345000</v>
      </c>
      <c r="C9">
        <f t="shared" si="0"/>
        <v>23000</v>
      </c>
      <c r="D9">
        <v>0.17</v>
      </c>
      <c r="E9" t="s">
        <v>435</v>
      </c>
      <c r="F9">
        <f t="shared" ref="F9:F12" si="3">C9*4</f>
        <v>92000</v>
      </c>
      <c r="G9">
        <f t="shared" ref="G9:G12" si="4">$G$2*F9</f>
        <v>36800</v>
      </c>
      <c r="H9">
        <f t="shared" si="2"/>
        <v>0.92</v>
      </c>
      <c r="I9" t="s">
        <v>399</v>
      </c>
      <c r="J9">
        <v>2</v>
      </c>
      <c r="K9" t="s">
        <v>400</v>
      </c>
      <c r="N9" t="s">
        <v>412</v>
      </c>
      <c r="O9">
        <v>1E-3</v>
      </c>
      <c r="P9">
        <v>5.0000000000000001E-4</v>
      </c>
      <c r="Q9">
        <v>6.3E-2</v>
      </c>
      <c r="R9">
        <f>Q9/O9</f>
        <v>63</v>
      </c>
    </row>
    <row r="10" spans="1:18" x14ac:dyDescent="0.35">
      <c r="A10" s="40">
        <v>2020</v>
      </c>
      <c r="B10">
        <v>360000</v>
      </c>
      <c r="C10">
        <f t="shared" si="0"/>
        <v>24000</v>
      </c>
      <c r="D10">
        <v>0.16500000000000001</v>
      </c>
      <c r="E10" t="s">
        <v>436</v>
      </c>
      <c r="F10">
        <f t="shared" si="3"/>
        <v>96000</v>
      </c>
      <c r="G10">
        <f t="shared" si="4"/>
        <v>38400</v>
      </c>
      <c r="H10">
        <f t="shared" si="2"/>
        <v>0.96</v>
      </c>
      <c r="I10" t="s">
        <v>401</v>
      </c>
      <c r="J10">
        <v>0.5</v>
      </c>
      <c r="K10" t="s">
        <v>402</v>
      </c>
      <c r="N10" t="s">
        <v>413</v>
      </c>
      <c r="O10">
        <v>5.0000000000000001E-3</v>
      </c>
      <c r="P10">
        <v>5.9999999999999995E-4</v>
      </c>
      <c r="Q10">
        <v>0.126</v>
      </c>
      <c r="R10">
        <f t="shared" ref="R10:R12" si="5">Q10/O10</f>
        <v>25.2</v>
      </c>
    </row>
    <row r="11" spans="1:18" x14ac:dyDescent="0.35">
      <c r="A11" s="40">
        <v>2040</v>
      </c>
      <c r="B11">
        <v>367500</v>
      </c>
      <c r="C11">
        <f t="shared" si="0"/>
        <v>24500</v>
      </c>
      <c r="D11">
        <v>0.16</v>
      </c>
      <c r="E11" t="s">
        <v>433</v>
      </c>
      <c r="F11">
        <f t="shared" si="3"/>
        <v>98000</v>
      </c>
      <c r="G11">
        <f t="shared" si="4"/>
        <v>39200</v>
      </c>
      <c r="H11">
        <f t="shared" si="2"/>
        <v>0.98</v>
      </c>
      <c r="I11" t="s">
        <v>403</v>
      </c>
      <c r="J11">
        <f>J9/(J2*4*J8)</f>
        <v>8.9285714285714281E-3</v>
      </c>
      <c r="N11" t="s">
        <v>414</v>
      </c>
      <c r="O11">
        <v>7.0000000000000001E-3</v>
      </c>
      <c r="P11">
        <v>8.0000000000000004E-4</v>
      </c>
      <c r="Q11">
        <v>0.18</v>
      </c>
      <c r="R11">
        <f t="shared" si="5"/>
        <v>25.714285714285712</v>
      </c>
    </row>
    <row r="12" spans="1:18" x14ac:dyDescent="0.35">
      <c r="A12" s="40">
        <v>2060</v>
      </c>
      <c r="B12">
        <v>375000</v>
      </c>
      <c r="C12">
        <f t="shared" si="0"/>
        <v>25000</v>
      </c>
      <c r="D12">
        <v>0.155</v>
      </c>
      <c r="E12" t="s">
        <v>434</v>
      </c>
      <c r="F12">
        <f t="shared" si="3"/>
        <v>100000</v>
      </c>
      <c r="G12">
        <f t="shared" si="4"/>
        <v>40000</v>
      </c>
      <c r="H12">
        <f t="shared" si="2"/>
        <v>1</v>
      </c>
      <c r="N12" t="s">
        <v>415</v>
      </c>
      <c r="O12">
        <v>5.5999999999999999E-3</v>
      </c>
      <c r="P12">
        <v>1.1999999999999999E-3</v>
      </c>
      <c r="Q12">
        <v>0.21099999999999999</v>
      </c>
      <c r="R12">
        <f t="shared" si="5"/>
        <v>37.678571428571431</v>
      </c>
    </row>
    <row r="14" spans="1:18" x14ac:dyDescent="0.35">
      <c r="A14" t="s">
        <v>448</v>
      </c>
      <c r="B14" t="s">
        <v>449</v>
      </c>
      <c r="C14" t="s">
        <v>450</v>
      </c>
      <c r="D14" t="s">
        <v>451</v>
      </c>
      <c r="E14" t="s">
        <v>448</v>
      </c>
      <c r="F14" t="s">
        <v>453</v>
      </c>
    </row>
    <row r="15" spans="1:18" x14ac:dyDescent="0.35">
      <c r="A15">
        <v>1965</v>
      </c>
      <c r="B15">
        <v>60</v>
      </c>
      <c r="C15" s="19">
        <v>80</v>
      </c>
      <c r="D15" s="19">
        <v>55</v>
      </c>
      <c r="E15" t="s">
        <v>455</v>
      </c>
    </row>
    <row r="16" spans="1:18" x14ac:dyDescent="0.35">
      <c r="A16">
        <v>1970</v>
      </c>
      <c r="B16">
        <v>85</v>
      </c>
      <c r="C16">
        <v>60</v>
      </c>
      <c r="D16" s="19">
        <v>60</v>
      </c>
      <c r="E16" t="s">
        <v>454</v>
      </c>
      <c r="I16" t="s">
        <v>404</v>
      </c>
    </row>
    <row r="17" spans="1:11" x14ac:dyDescent="0.35">
      <c r="A17">
        <v>1975</v>
      </c>
      <c r="B17">
        <v>100</v>
      </c>
      <c r="C17">
        <v>80</v>
      </c>
      <c r="D17">
        <v>55</v>
      </c>
      <c r="E17" t="s">
        <v>452</v>
      </c>
      <c r="I17" t="s">
        <v>405</v>
      </c>
    </row>
    <row r="18" spans="1:11" x14ac:dyDescent="0.35">
      <c r="A18">
        <v>1985</v>
      </c>
      <c r="B18">
        <v>115</v>
      </c>
      <c r="C18">
        <v>95</v>
      </c>
      <c r="D18">
        <v>65</v>
      </c>
      <c r="I18" t="s">
        <v>3</v>
      </c>
      <c r="J18">
        <v>0.51180000000000003</v>
      </c>
      <c r="K18" t="s">
        <v>4</v>
      </c>
    </row>
    <row r="19" spans="1:11" x14ac:dyDescent="0.35">
      <c r="A19">
        <v>1995</v>
      </c>
      <c r="B19">
        <v>120</v>
      </c>
      <c r="C19">
        <v>100</v>
      </c>
      <c r="D19">
        <v>75</v>
      </c>
      <c r="I19" t="s">
        <v>397</v>
      </c>
      <c r="J19">
        <v>73.125</v>
      </c>
      <c r="K19" t="s">
        <v>398</v>
      </c>
    </row>
    <row r="20" spans="1:11" x14ac:dyDescent="0.35">
      <c r="A20">
        <v>2005</v>
      </c>
      <c r="B20">
        <v>125</v>
      </c>
      <c r="C20">
        <v>105</v>
      </c>
      <c r="D20">
        <v>80</v>
      </c>
      <c r="E20" t="s">
        <v>456</v>
      </c>
      <c r="I20" t="s">
        <v>399</v>
      </c>
      <c r="J20">
        <v>34.200000000000003</v>
      </c>
    </row>
    <row r="21" spans="1:11" x14ac:dyDescent="0.35">
      <c r="A21">
        <v>2020</v>
      </c>
      <c r="B21">
        <v>130</v>
      </c>
      <c r="C21">
        <v>110</v>
      </c>
      <c r="D21">
        <v>85</v>
      </c>
      <c r="I21" t="s">
        <v>427</v>
      </c>
      <c r="J21">
        <f>J20/J18</f>
        <v>66.822977725674093</v>
      </c>
    </row>
    <row r="22" spans="1:11" x14ac:dyDescent="0.35">
      <c r="A22">
        <v>2040</v>
      </c>
      <c r="B22">
        <v>135</v>
      </c>
      <c r="C22">
        <v>115</v>
      </c>
      <c r="D22">
        <v>90</v>
      </c>
      <c r="J22">
        <v>75</v>
      </c>
      <c r="K22" t="s">
        <v>428</v>
      </c>
    </row>
    <row r="23" spans="1:11" x14ac:dyDescent="0.35">
      <c r="A23">
        <v>2060</v>
      </c>
      <c r="B23">
        <v>140</v>
      </c>
      <c r="C23">
        <v>120</v>
      </c>
      <c r="D23">
        <v>95</v>
      </c>
      <c r="J23">
        <v>66.75</v>
      </c>
      <c r="K23" t="s">
        <v>429</v>
      </c>
    </row>
    <row r="25" spans="1:11" x14ac:dyDescent="0.35">
      <c r="E25" t="s">
        <v>471</v>
      </c>
    </row>
    <row r="26" spans="1:11" x14ac:dyDescent="0.35">
      <c r="E26" t="s">
        <v>463</v>
      </c>
      <c r="F26" t="s">
        <v>462</v>
      </c>
    </row>
    <row r="27" spans="1:11" x14ac:dyDescent="0.35">
      <c r="E27" t="s">
        <v>464</v>
      </c>
      <c r="F27" t="s">
        <v>460</v>
      </c>
    </row>
    <row r="28" spans="1:11" x14ac:dyDescent="0.35">
      <c r="E28" t="s">
        <v>458</v>
      </c>
      <c r="F28" t="s">
        <v>457</v>
      </c>
    </row>
    <row r="29" spans="1:11" x14ac:dyDescent="0.35">
      <c r="E29" t="s">
        <v>461</v>
      </c>
      <c r="F29" t="s">
        <v>459</v>
      </c>
    </row>
    <row r="30" spans="1:11" x14ac:dyDescent="0.35">
      <c r="E30" t="s">
        <v>465</v>
      </c>
      <c r="F30" t="s">
        <v>466</v>
      </c>
    </row>
    <row r="31" spans="1:11" x14ac:dyDescent="0.35">
      <c r="E31" t="s">
        <v>468</v>
      </c>
      <c r="F31" t="s">
        <v>467</v>
      </c>
    </row>
    <row r="32" spans="1:11" x14ac:dyDescent="0.35">
      <c r="E32" t="s">
        <v>470</v>
      </c>
      <c r="F32" t="s">
        <v>469</v>
      </c>
    </row>
    <row r="33" spans="1:6" x14ac:dyDescent="0.35">
      <c r="E33" t="s">
        <v>472</v>
      </c>
      <c r="F33" t="s">
        <v>455</v>
      </c>
    </row>
    <row r="34" spans="1:6" x14ac:dyDescent="0.35">
      <c r="E34" t="s">
        <v>473</v>
      </c>
      <c r="F34" t="s">
        <v>454</v>
      </c>
    </row>
    <row r="35" spans="1:6" x14ac:dyDescent="0.35">
      <c r="E35" t="s">
        <v>474</v>
      </c>
      <c r="F35" t="s">
        <v>452</v>
      </c>
    </row>
    <row r="37" spans="1:6" x14ac:dyDescent="0.35">
      <c r="A37" t="s">
        <v>3</v>
      </c>
      <c r="B37">
        <v>2.5000000000000001E-2</v>
      </c>
    </row>
    <row r="38" spans="1:6" x14ac:dyDescent="0.35">
      <c r="B38" t="s">
        <v>475</v>
      </c>
      <c r="C38" t="s">
        <v>476</v>
      </c>
      <c r="D38" t="s">
        <v>477</v>
      </c>
    </row>
    <row r="39" spans="1:6" x14ac:dyDescent="0.35">
      <c r="A39">
        <v>1965</v>
      </c>
      <c r="B39">
        <f>B15*$B$37</f>
        <v>1.5</v>
      </c>
      <c r="C39" s="19">
        <f>C15*$B$37</f>
        <v>2</v>
      </c>
      <c r="D39" s="19">
        <f>D15*$B$37</f>
        <v>1.375</v>
      </c>
    </row>
    <row r="40" spans="1:6" x14ac:dyDescent="0.35">
      <c r="A40">
        <v>1970</v>
      </c>
      <c r="B40">
        <f t="shared" ref="B40:C47" si="6">B16*$B$37</f>
        <v>2.125</v>
      </c>
      <c r="C40">
        <f t="shared" si="6"/>
        <v>1.5</v>
      </c>
      <c r="D40" s="19">
        <f t="shared" ref="D40" si="7">D16*$B$37</f>
        <v>1.5</v>
      </c>
    </row>
    <row r="41" spans="1:6" x14ac:dyDescent="0.35">
      <c r="A41">
        <v>1975</v>
      </c>
      <c r="B41">
        <f t="shared" si="6"/>
        <v>2.5</v>
      </c>
      <c r="C41">
        <f t="shared" si="6"/>
        <v>2</v>
      </c>
      <c r="D41">
        <f t="shared" ref="D41" si="8">D17*$B$37</f>
        <v>1.375</v>
      </c>
    </row>
    <row r="42" spans="1:6" x14ac:dyDescent="0.35">
      <c r="A42">
        <v>1985</v>
      </c>
      <c r="B42">
        <f t="shared" si="6"/>
        <v>2.875</v>
      </c>
      <c r="C42">
        <f t="shared" si="6"/>
        <v>2.375</v>
      </c>
      <c r="D42">
        <f t="shared" ref="D42" si="9">D18*$B$37</f>
        <v>1.625</v>
      </c>
    </row>
    <row r="43" spans="1:6" x14ac:dyDescent="0.35">
      <c r="A43">
        <v>1995</v>
      </c>
      <c r="B43">
        <f t="shared" si="6"/>
        <v>3</v>
      </c>
      <c r="C43">
        <f t="shared" si="6"/>
        <v>2.5</v>
      </c>
      <c r="D43">
        <f t="shared" ref="D43" si="10">D19*$B$37</f>
        <v>1.875</v>
      </c>
    </row>
    <row r="44" spans="1:6" x14ac:dyDescent="0.35">
      <c r="A44">
        <v>2005</v>
      </c>
      <c r="B44">
        <f t="shared" si="6"/>
        <v>3.125</v>
      </c>
      <c r="C44">
        <f t="shared" si="6"/>
        <v>2.625</v>
      </c>
      <c r="D44">
        <f t="shared" ref="D44" si="11">D20*$B$37</f>
        <v>2</v>
      </c>
    </row>
    <row r="45" spans="1:6" x14ac:dyDescent="0.35">
      <c r="A45">
        <v>2020</v>
      </c>
      <c r="B45">
        <f t="shared" si="6"/>
        <v>3.25</v>
      </c>
      <c r="C45">
        <f t="shared" si="6"/>
        <v>2.75</v>
      </c>
      <c r="D45">
        <f t="shared" ref="D45" si="12">D21*$B$37</f>
        <v>2.125</v>
      </c>
    </row>
    <row r="46" spans="1:6" x14ac:dyDescent="0.35">
      <c r="A46">
        <v>2040</v>
      </c>
      <c r="B46">
        <f t="shared" si="6"/>
        <v>3.375</v>
      </c>
      <c r="C46">
        <f t="shared" si="6"/>
        <v>2.875</v>
      </c>
      <c r="D46">
        <f t="shared" ref="D46" si="13">D22*$B$37</f>
        <v>2.25</v>
      </c>
    </row>
    <row r="47" spans="1:6" x14ac:dyDescent="0.35">
      <c r="A47">
        <v>2060</v>
      </c>
      <c r="B47">
        <f t="shared" si="6"/>
        <v>3.5</v>
      </c>
      <c r="C47">
        <f t="shared" si="6"/>
        <v>3</v>
      </c>
      <c r="D47">
        <f t="shared" ref="D47" si="14">D23*$B$37</f>
        <v>2.375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Engine 1</vt:lpstr>
      <vt:lpstr>Engine2</vt:lpstr>
      <vt:lpstr>Engine3</vt:lpstr>
      <vt:lpstr>Science</vt:lpstr>
      <vt:lpstr>OldTechTree</vt:lpstr>
      <vt:lpstr>Avionics</vt:lpstr>
      <vt:lpstr>Tweakscale</vt:lpstr>
      <vt:lpstr>Cores</vt:lpstr>
      <vt:lpstr>Solar</vt:lpstr>
      <vt:lpstr>Comms</vt:lpstr>
      <vt:lpstr>Scan</vt:lpstr>
      <vt:lpstr>RTG</vt:lpstr>
      <vt:lpstr>Fuel</vt:lpstr>
      <vt:lpstr>NEng</vt:lpstr>
      <vt:lpstr>Ion</vt:lpstr>
      <vt:lpstr>GTT</vt:lpstr>
      <vt:lpstr>RP0Avionics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Feeney</dc:creator>
  <cp:lastModifiedBy>Gavin Feeney</cp:lastModifiedBy>
  <dcterms:created xsi:type="dcterms:W3CDTF">2020-12-22T21:01:47Z</dcterms:created>
  <dcterms:modified xsi:type="dcterms:W3CDTF">2021-02-08T22:00:22Z</dcterms:modified>
</cp:coreProperties>
</file>