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506"/>
  <workbookPr/>
  <mc:AlternateContent xmlns:mc="http://schemas.openxmlformats.org/markup-compatibility/2006">
    <mc:Choice Requires="x15">
      <x15ac:absPath xmlns:x15ac="http://schemas.microsoft.com/office/spreadsheetml/2010/11/ac" url="C:\Users\Gavin\OneDrive - McShera Consulting\Clients\Westcoast\Elite Partner Training\"/>
    </mc:Choice>
  </mc:AlternateContent>
  <xr:revisionPtr revIDLastSave="18" documentId="0B9AE2B9DC05E3A27E62348E8A4E53C284186068" xr6:coauthVersionLast="23" xr6:coauthVersionMax="23" xr10:uidLastSave="{3223A95F-F3BF-4CF2-A2BB-D659DD7F4D5D}"/>
  <bookViews>
    <workbookView xWindow="0" yWindow="0" windowWidth="22500" windowHeight="9780" firstSheet="3" activeTab="4" xr2:uid="{00000000-000D-0000-FFFF-FFFF00000000}"/>
  </bookViews>
  <sheets>
    <sheet name="Summary" sheetId="4" r:id="rId1"/>
    <sheet name="Storage" sheetId="2" r:id="rId2"/>
    <sheet name="Backup Agents" sheetId="5" r:id="rId3"/>
    <sheet name="Virtual Machines" sheetId="1" r:id="rId4"/>
    <sheet name="Network" sheetId="3" r:id="rId5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F20" i="2"/>
  <c r="E32" i="1"/>
  <c r="E17" i="1"/>
  <c r="E4" i="5"/>
  <c r="F4" i="5"/>
  <c r="E3" i="5"/>
  <c r="F3" i="5"/>
  <c r="F5" i="5"/>
  <c r="D9" i="4"/>
  <c r="E5" i="5"/>
  <c r="C6" i="4"/>
  <c r="D6" i="4"/>
  <c r="E4" i="2"/>
  <c r="E19" i="2"/>
  <c r="F19" i="2"/>
  <c r="E18" i="2"/>
  <c r="F18" i="2"/>
  <c r="F21" i="2"/>
  <c r="H32" i="1"/>
  <c r="I32" i="1"/>
  <c r="N21" i="1"/>
  <c r="O21" i="1"/>
  <c r="O32" i="1"/>
  <c r="C5" i="2"/>
  <c r="E21" i="2"/>
  <c r="E5" i="2"/>
  <c r="N32" i="1"/>
  <c r="C7" i="4"/>
  <c r="D7" i="4"/>
  <c r="D4" i="3"/>
  <c r="I17" i="1"/>
  <c r="H17" i="1"/>
  <c r="N17" i="1"/>
  <c r="C3" i="4"/>
  <c r="D3" i="4"/>
  <c r="C4" i="2"/>
  <c r="O17" i="1"/>
  <c r="F5" i="2"/>
  <c r="C6" i="2"/>
  <c r="E6" i="2"/>
  <c r="C5" i="4"/>
  <c r="F4" i="2"/>
  <c r="C4" i="4"/>
  <c r="E7" i="2"/>
  <c r="F6" i="2"/>
  <c r="D5" i="4"/>
  <c r="D4" i="4"/>
  <c r="D8" i="4"/>
  <c r="D10" i="4"/>
  <c r="C8" i="4"/>
  <c r="C10" i="4"/>
  <c r="F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McShera</author>
  </authors>
  <commentList>
    <comment ref="J1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Gavin McShera:</t>
        </r>
        <r>
          <rPr>
            <sz val="9"/>
            <color indexed="81"/>
            <rFont val="Tahoma"/>
            <family val="2"/>
          </rPr>
          <t xml:space="preserve">
WSUS Dbase is very big</t>
        </r>
      </text>
    </comment>
  </commentList>
</comments>
</file>

<file path=xl/sharedStrings.xml><?xml version="1.0" encoding="utf-8"?>
<sst xmlns="http://schemas.openxmlformats.org/spreadsheetml/2006/main" count="109" uniqueCount="75">
  <si>
    <t>Description</t>
  </si>
  <si>
    <t>Cost Per Month</t>
  </si>
  <si>
    <t>Cost Per Year</t>
  </si>
  <si>
    <t>Compute</t>
  </si>
  <si>
    <t>Storage</t>
  </si>
  <si>
    <t>Backup Vault</t>
  </si>
  <si>
    <t>Backup Agents</t>
  </si>
  <si>
    <t>Bandwidth</t>
  </si>
  <si>
    <t>Total</t>
  </si>
  <si>
    <t>Professional Direct Support</t>
  </si>
  <si>
    <t>Total with upgraded support</t>
  </si>
  <si>
    <t>Notes:</t>
  </si>
  <si>
    <t>All costs are estimates based on public pricing and the thresholds listed in this sheet.  Actual costs and usage will vary based on usage and billing cycle</t>
  </si>
  <si>
    <t>Figures are based on 744 hours per month</t>
  </si>
  <si>
    <t>Total Summary</t>
  </si>
  <si>
    <t>GB</t>
  </si>
  <si>
    <t>Cost Per GB</t>
  </si>
  <si>
    <t>Est Storage Cost Per Month</t>
  </si>
  <si>
    <t>Per Year</t>
  </si>
  <si>
    <t>Standard</t>
  </si>
  <si>
    <t>Varies</t>
  </si>
  <si>
    <t>Premium</t>
  </si>
  <si>
    <t>Backup cost estimated at 100% of VM storage.  Actual backup storage will depend on the backup schedule, retention and the compression achieved.</t>
  </si>
  <si>
    <t>VM Storage is Locally Redundant (LRS)</t>
  </si>
  <si>
    <t>Backup storage is Geo Redundant (GRS)</t>
  </si>
  <si>
    <t>Standard Storage figure is based on OS disks (127GB per VM) and data disks listed in Virtual Machines Tab</t>
  </si>
  <si>
    <t>Premium storage figure is based on OS Disks (127GB SSD ~P10 disk per VM) and data disks listed in Virtual Machines Tab.  Total Premium disks required are broken out in table below</t>
  </si>
  <si>
    <t>Premium Storage Summary</t>
  </si>
  <si>
    <t>Disk Type</t>
  </si>
  <si>
    <t>Cost per month</t>
  </si>
  <si>
    <t>Units</t>
  </si>
  <si>
    <t>Total per month</t>
  </si>
  <si>
    <t>P10 [128GB / 500 IOPS / 100 MBps]</t>
  </si>
  <si>
    <t>P20 [512GB / 2,300 IOPS / 150 MBps]</t>
  </si>
  <si>
    <t>P30 [1024GB / 5,000 IOPS / 200 MBps]</t>
  </si>
  <si>
    <t>Agent Cost</t>
  </si>
  <si>
    <t>Total Monthly</t>
  </si>
  <si>
    <t>Annually</t>
  </si>
  <si>
    <t>Azure VM Instances</t>
  </si>
  <si>
    <t>Azure File Instances</t>
  </si>
  <si>
    <t>Azure Backup has a cost per instance.  If a VM is backed up at VM and File level it counts as 2 instances.</t>
  </si>
  <si>
    <t xml:space="preserve">For the purpose of this estimate VMs are assumed to be &gt; 50 but &lt; or = 500GB.  </t>
  </si>
  <si>
    <t>The instance (agent cost) is calculated BEFORE compression.  The storage is calculated on actual storage after compression</t>
  </si>
  <si>
    <t>Standard VMs</t>
  </si>
  <si>
    <t>Standard Disks</t>
  </si>
  <si>
    <t>Servername</t>
  </si>
  <si>
    <t>VM Size</t>
  </si>
  <si>
    <t>CPU</t>
  </si>
  <si>
    <t>MEM</t>
  </si>
  <si>
    <t>SQL VM</t>
  </si>
  <si>
    <t>OS Storage GB</t>
  </si>
  <si>
    <t>Data Storage GB</t>
  </si>
  <si>
    <t>Data Disks</t>
  </si>
  <si>
    <t>Storage Type</t>
  </si>
  <si>
    <t>Cost Per Hour</t>
  </si>
  <si>
    <t>Hours Per Month</t>
  </si>
  <si>
    <t>Compute Cost Per Month</t>
  </si>
  <si>
    <t>Compute Cost Per Year</t>
  </si>
  <si>
    <t>Premium VMs and Premium Storage</t>
  </si>
  <si>
    <t>Premium SSD Disks with allocated VM (Maximums based on VM and Disk combination)</t>
  </si>
  <si>
    <t>VM1</t>
  </si>
  <si>
    <t>App Server</t>
  </si>
  <si>
    <t>Standard_DS4_v2</t>
  </si>
  <si>
    <t>N</t>
  </si>
  <si>
    <t>1 x P20 [2,300 IOPS/150MBps]</t>
  </si>
  <si>
    <t>Databases cannot be stored on OS disks due to caching configuration</t>
  </si>
  <si>
    <t>All Windows OS will be Windows Server 2012</t>
  </si>
  <si>
    <t>SQL Server 2014 Standard Edition will be used for SQL.  Premium Storage used for SQL as per Microsoft support guidelines.</t>
  </si>
  <si>
    <t>All XenApp servers used Premium Storage as per Citrix and Microsoft performance recommendations.</t>
  </si>
  <si>
    <t>Domain Controllers each have a 100GB disk for SYSVOL.  Not suported to have SYSVOL on cached OS disks.</t>
  </si>
  <si>
    <t>All data disks have cache disabled</t>
  </si>
  <si>
    <t>A management VM is recommended as a jump point in the environment.  All admin tools e.g. Citrix, Active Directory etc should be installed on this VM.</t>
  </si>
  <si>
    <t>TB</t>
  </si>
  <si>
    <t>Egress Traffic Europe</t>
  </si>
  <si>
    <t>All outbound traffic incurs a cost e.g. sync up to ShareFile from Citrix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</si>
</sst>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€-83C]#,##0.00"/>
    <numFmt numFmtId="166" formatCode="[$€-1809]#,##0.00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NumberFormat="1"/>
    <xf numFmtId="0" fontId="0" fillId="0" borderId="0" xfId="0" applyNumberFormat="1" applyFont="1" applyFill="1" applyBorder="1" applyAlignment="1" applyProtection="1"/>
    <xf numFmtId="165" fontId="0" fillId="0" borderId="0" xfId="0" applyNumberFormat="1" applyFill="1"/>
    <xf numFmtId="165" fontId="0" fillId="0" borderId="0" xfId="0" applyNumberFormat="1" applyFont="1" applyFill="1" applyBorder="1" applyAlignment="1" applyProtection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5" xfId="0" applyNumberFormat="1" applyFont="1" applyFill="1" applyBorder="1"/>
    <xf numFmtId="164" fontId="0" fillId="0" borderId="5" xfId="0" applyNumberFormat="1" applyFont="1" applyFill="1" applyBorder="1"/>
    <xf numFmtId="165" fontId="0" fillId="0" borderId="5" xfId="0" applyNumberFormat="1" applyFont="1" applyFill="1" applyBorder="1"/>
    <xf numFmtId="165" fontId="0" fillId="0" borderId="6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165" fontId="0" fillId="0" borderId="0" xfId="0" applyNumberFormat="1" applyFont="1" applyFill="1" applyBorder="1"/>
    <xf numFmtId="0" fontId="0" fillId="0" borderId="0" xfId="0" applyFont="1" applyFill="1"/>
    <xf numFmtId="165" fontId="0" fillId="0" borderId="0" xfId="0" applyNumberFormat="1" applyFont="1" applyFill="1"/>
    <xf numFmtId="0" fontId="0" fillId="0" borderId="0" xfId="0" applyAlignment="1">
      <alignment horizontal="right"/>
    </xf>
    <xf numFmtId="0" fontId="0" fillId="0" borderId="0" xfId="0" applyNumberFormat="1" applyFont="1" applyFill="1" applyBorder="1"/>
    <xf numFmtId="0" fontId="0" fillId="3" borderId="4" xfId="0" applyFont="1" applyFill="1" applyBorder="1"/>
    <xf numFmtId="0" fontId="1" fillId="2" borderId="9" xfId="0" applyFont="1" applyFill="1" applyBorder="1"/>
    <xf numFmtId="166" fontId="0" fillId="3" borderId="5" xfId="0" applyNumberFormat="1" applyFont="1" applyFill="1" applyBorder="1"/>
    <xf numFmtId="166" fontId="0" fillId="3" borderId="6" xfId="0" applyNumberFormat="1" applyFont="1" applyFill="1" applyBorder="1"/>
    <xf numFmtId="166" fontId="1" fillId="2" borderId="10" xfId="0" applyNumberFormat="1" applyFont="1" applyFill="1" applyBorder="1"/>
    <xf numFmtId="166" fontId="1" fillId="2" borderId="11" xfId="0" applyNumberFormat="1" applyFont="1" applyFill="1" applyBorder="1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65">
    <dxf>
      <numFmt numFmtId="165" formatCode="[$€-83C]#,##0.00"/>
    </dxf>
    <dxf>
      <numFmt numFmtId="165" formatCode="[$€-83C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€-83C]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€-83C]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€-83C]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€-83C]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5" formatCode="[$€-83C]#,##0.00"/>
    </dxf>
    <dxf>
      <numFmt numFmtId="165" formatCode="[$€-83C]#,##0.00"/>
    </dxf>
    <dxf>
      <numFmt numFmtId="165" formatCode="[$€-83C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€-83C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€-83C]#,##0.00"/>
    </dxf>
    <dxf>
      <numFmt numFmtId="165" formatCode="[$€-83C]#,##0.00"/>
    </dxf>
    <dxf>
      <numFmt numFmtId="165" formatCode="[$€-83C]#,##0.00"/>
    </dxf>
    <dxf>
      <numFmt numFmtId="165" formatCode="[$€-83C]#,##0.00"/>
    </dxf>
    <dxf>
      <numFmt numFmtId="165" formatCode="[$€-83C]#,##0.00"/>
    </dxf>
    <dxf>
      <numFmt numFmtId="165" formatCode="[$€-83C]#,##0.00"/>
    </dxf>
    <dxf>
      <numFmt numFmtId="165" formatCode="[$€-83C]#,##0.00"/>
      <fill>
        <patternFill patternType="none">
          <fgColor indexed="64"/>
          <bgColor indexed="65"/>
        </patternFill>
      </fill>
    </dxf>
    <dxf>
      <numFmt numFmtId="165" formatCode="[$€-83C]#,##0.00"/>
    </dxf>
    <dxf>
      <numFmt numFmtId="165" formatCode="[$€-83C]#,##0.00"/>
      <fill>
        <patternFill patternType="none">
          <fgColor indexed="64"/>
          <bgColor indexed="65"/>
        </patternFill>
      </fill>
    </dxf>
    <dxf>
      <numFmt numFmtId="165" formatCode="[$€-83C]#,##0.00"/>
    </dxf>
    <dxf>
      <numFmt numFmtId="165" formatCode="[$€-83C]#,##0.00"/>
    </dxf>
    <dxf>
      <numFmt numFmtId="165" formatCode="[$€-83C]#,##0.00"/>
    </dxf>
    <dxf>
      <numFmt numFmtId="165" formatCode="[$€-83C]#,##0.00"/>
    </dxf>
    <dxf>
      <numFmt numFmtId="165" formatCode="[$€-83C]#,##0.00"/>
    </dxf>
    <dxf>
      <numFmt numFmtId="166" formatCode="[$€-1809]#,##0.00"/>
    </dxf>
    <dxf>
      <numFmt numFmtId="166" formatCode="[$€-1809]#,##0.00"/>
    </dxf>
    <dxf>
      <numFmt numFmtId="166" formatCode="[$€-1809]#,##0.00"/>
    </dxf>
    <dxf>
      <numFmt numFmtId="166" formatCode="[$€-18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11113</xdr:colOff>
      <xdr:row>5</xdr:row>
      <xdr:rowOff>139288</xdr:rowOff>
    </xdr:from>
    <xdr:to>
      <xdr:col>11</xdr:col>
      <xdr:colOff>489242</xdr:colOff>
      <xdr:row>16</xdr:row>
      <xdr:rowOff>78176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2EC76B-A4DD-4C1B-AA2E-00F2E6390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580" y="1049455"/>
          <a:ext cx="8314029" cy="194125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B2:D8" totalsRowCount="1">
  <autoFilter ref="B2:D7" xr:uid="{00000000-0009-0000-0100-000004000000}"/>
  <tableColumns count="3">
    <tableColumn id="1" xr3:uid="{00000000-0010-0000-0000-000001000000}" name="Description" totalsRowLabel="Total"/>
    <tableColumn id="2" xr3:uid="{00000000-0010-0000-0000-000002000000}" name="Cost Per Month" totalsRowFunction="sum" dataDxfId="63" totalsRowDxfId="64"/>
    <tableColumn id="3" xr3:uid="{00000000-0010-0000-0000-000003000000}" name="Cost Per Year" totalsRowFunction="sum" dataDxfId="61" totalsRowDxfId="62">
      <calculatedColumnFormula>Table4[[#This Row],[Cost Per Month]]*12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3:F7" totalsRowCount="1">
  <autoFilter ref="B3:F6" xr:uid="{00000000-0009-0000-0100-000002000000}"/>
  <tableColumns count="5">
    <tableColumn id="1" xr3:uid="{00000000-0010-0000-0100-000001000000}" name="Description" totalsRowLabel="Total"/>
    <tableColumn id="2" xr3:uid="{00000000-0010-0000-0100-000002000000}" name="GB">
      <calculatedColumnFormula>C3*2</calculatedColumnFormula>
    </tableColumn>
    <tableColumn id="3" xr3:uid="{00000000-0010-0000-0100-000003000000}" name="Cost Per GB"/>
    <tableColumn id="4" xr3:uid="{00000000-0010-0000-0100-000004000000}" name="Est Storage Cost Per Month" totalsRowFunction="sum" dataDxfId="59" totalsRowDxfId="60">
      <calculatedColumnFormula>D4*C4</calculatedColumnFormula>
    </tableColumn>
    <tableColumn id="5" xr3:uid="{00000000-0010-0000-0100-000005000000}" name="Per Year" totalsRowFunction="sum" dataDxfId="57" totalsRowDxfId="58">
      <calculatedColumnFormula>E4*12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7:F21" totalsRowCount="1">
  <autoFilter ref="B17:F20" xr:uid="{00000000-0009-0000-0100-000005000000}"/>
  <tableColumns count="5">
    <tableColumn id="1" xr3:uid="{00000000-0010-0000-0200-000001000000}" name="Disk Type" totalsRowLabel="Total"/>
    <tableColumn id="2" xr3:uid="{00000000-0010-0000-0200-000002000000}" name="Cost per month"/>
    <tableColumn id="3" xr3:uid="{00000000-0010-0000-0200-000003000000}" name="Units"/>
    <tableColumn id="4" xr3:uid="{00000000-0010-0000-0200-000004000000}" name="Total per month" totalsRowFunction="sum" dataDxfId="55" totalsRowDxfId="56">
      <calculatedColumnFormula>Table5[[#This Row],[Cost per month]]*Table5[[#This Row],[Units]]</calculatedColumnFormula>
    </tableColumn>
    <tableColumn id="5" xr3:uid="{00000000-0010-0000-0200-000005000000}" name="Per Year" totalsRowFunction="sum" dataDxfId="53" totalsRowDxfId="54">
      <calculatedColumnFormula>Table5[[#This Row],[Total per month]]*12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7" displayName="Table7" ref="B2:F5" totalsRowCount="1">
  <autoFilter ref="B2:F4" xr:uid="{00000000-0009-0000-0100-000007000000}"/>
  <tableColumns count="5">
    <tableColumn id="1" xr3:uid="{00000000-0010-0000-0300-000001000000}" name="Description" totalsRowLabel="Total"/>
    <tableColumn id="2" xr3:uid="{00000000-0010-0000-0300-000002000000}" name="Units"/>
    <tableColumn id="3" xr3:uid="{00000000-0010-0000-0300-000003000000}" name="Agent Cost" dataDxfId="51" totalsRowDxfId="52"/>
    <tableColumn id="4" xr3:uid="{00000000-0010-0000-0300-000004000000}" name="Total Monthly" totalsRowFunction="sum" dataDxfId="49" totalsRowDxfId="50">
      <calculatedColumnFormula>C3*D3</calculatedColumnFormula>
    </tableColumn>
    <tableColumn id="5" xr3:uid="{00000000-0010-0000-0300-000005000000}" name="Annually" totalsRowFunction="sum" dataDxfId="47" totalsRowDxfId="48">
      <calculatedColumnFormula>D3*E3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" displayName="Table1" ref="B3:O17" totalsRowCount="1">
  <autoFilter ref="B3:O16" xr:uid="{00000000-0009-0000-0100-000001000000}"/>
  <tableColumns count="14">
    <tableColumn id="1" xr3:uid="{00000000-0010-0000-0400-000001000000}" name="Servername" totalsRowLabel="Total" totalsRowDxfId="46" dataCellStyle="Normal"/>
    <tableColumn id="2" xr3:uid="{00000000-0010-0000-0400-000002000000}" name="Description" totalsRowDxfId="45" dataCellStyle="Normal"/>
    <tableColumn id="3" xr3:uid="{00000000-0010-0000-0400-000003000000}" name="VM Size" totalsRowDxfId="44" dataCellStyle="Normal"/>
    <tableColumn id="10" xr3:uid="{00000000-0010-0000-0400-00000A000000}" name="CPU" totalsRowFunction="sum"/>
    <tableColumn id="11" xr3:uid="{00000000-0010-0000-0400-00000B000000}" name="MEM"/>
    <tableColumn id="8" xr3:uid="{00000000-0010-0000-0400-000008000000}" name="SQL VM" dataDxfId="42" totalsRowDxfId="43"/>
    <tableColumn id="4" xr3:uid="{00000000-0010-0000-0400-000004000000}" name="OS Storage GB" totalsRowFunction="sum" totalsRowDxfId="41" dataCellStyle="Normal"/>
    <tableColumn id="12" xr3:uid="{00000000-0010-0000-0400-00000C000000}" name="Data Storage GB" totalsRowFunction="sum" dataDxfId="40"/>
    <tableColumn id="13" xr3:uid="{00000000-0010-0000-0400-00000D000000}" name="Data Disks"/>
    <tableColumn id="5" xr3:uid="{00000000-0010-0000-0400-000005000000}" name="Storage Type"/>
    <tableColumn id="6" xr3:uid="{00000000-0010-0000-0400-000006000000}" name="Cost Per Hour" dataDxfId="38" totalsRowDxfId="39" dataCellStyle="Normal"/>
    <tableColumn id="7" xr3:uid="{00000000-0010-0000-0400-000007000000}" name="Hours Per Month" totalsRowDxfId="37" dataCellStyle="Normal"/>
    <tableColumn id="9" xr3:uid="{00000000-0010-0000-0400-000009000000}" name="Compute Cost Per Month" totalsRowFunction="sum" dataDxfId="35" totalsRowDxfId="36" dataCellStyle="Normal"/>
    <tableColumn id="17" xr3:uid="{00000000-0010-0000-0400-000011000000}" name="Compute Cost Per Year" totalsRowFunction="sum" dataDxfId="33" totalsRowDxfId="34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B20:O32" totalsRowCount="1" headerRowDxfId="32" dataDxfId="31" headerRowBorderDxfId="30">
  <autoFilter ref="B20:O31" xr:uid="{00000000-0009-0000-0100-000006000000}"/>
  <tableColumns count="14">
    <tableColumn id="1" xr3:uid="{00000000-0010-0000-0500-000001000000}" name="Servername" totalsRowLabel="Total" dataDxfId="28" totalsRowDxfId="29"/>
    <tableColumn id="2" xr3:uid="{00000000-0010-0000-0500-000002000000}" name="Description" dataDxfId="26" totalsRowDxfId="27"/>
    <tableColumn id="3" xr3:uid="{00000000-0010-0000-0500-000003000000}" name="VM Size" dataDxfId="24" totalsRowDxfId="25"/>
    <tableColumn id="4" xr3:uid="{00000000-0010-0000-0500-000004000000}" name="CPU" totalsRowFunction="count" dataDxfId="22" totalsRowDxfId="23"/>
    <tableColumn id="5" xr3:uid="{00000000-0010-0000-0500-000005000000}" name="MEM" dataDxfId="20" totalsRowDxfId="21"/>
    <tableColumn id="6" xr3:uid="{00000000-0010-0000-0500-000006000000}" name="SQL VM" dataDxfId="18" totalsRowDxfId="19"/>
    <tableColumn id="7" xr3:uid="{00000000-0010-0000-0500-000007000000}" name="OS Storage GB" totalsRowFunction="sum" dataDxfId="16" totalsRowDxfId="17"/>
    <tableColumn id="8" xr3:uid="{00000000-0010-0000-0500-000008000000}" name="Data Storage GB" totalsRowFunction="sum" dataDxfId="14" totalsRowDxfId="15"/>
    <tableColumn id="9" xr3:uid="{00000000-0010-0000-0500-000009000000}" name="Data Disks" dataDxfId="12" totalsRowDxfId="13"/>
    <tableColumn id="11" xr3:uid="{00000000-0010-0000-0500-00000B000000}" name="Storage Type" dataDxfId="10" totalsRowDxfId="11"/>
    <tableColumn id="12" xr3:uid="{00000000-0010-0000-0500-00000C000000}" name="Cost Per Hour" dataDxfId="8" totalsRowDxfId="9"/>
    <tableColumn id="13" xr3:uid="{00000000-0010-0000-0500-00000D000000}" name="Hours Per Month" dataDxfId="6" totalsRowDxfId="7"/>
    <tableColumn id="14" xr3:uid="{00000000-0010-0000-0500-00000E000000}" name="Compute Cost Per Month" totalsRowFunction="sum" dataDxfId="4" totalsRowDxfId="5">
      <calculatedColumnFormula>L21*M21</calculatedColumnFormula>
    </tableColumn>
    <tableColumn id="15" xr3:uid="{00000000-0010-0000-0500-00000F000000}" name="Compute Cost Per Year" totalsRowFunction="sum" dataDxfId="2" totalsRowDxfId="3">
      <calculatedColumnFormula>N21*12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Table3" displayName="Table3" ref="B3:E4" totalsRowShown="0">
  <autoFilter ref="B3:E4" xr:uid="{00000000-0009-0000-0100-000003000000}"/>
  <tableColumns count="4">
    <tableColumn id="1" xr3:uid="{00000000-0010-0000-0600-000001000000}" name="Description"/>
    <tableColumn id="2" xr3:uid="{00000000-0010-0000-0600-000002000000}" name="TB"/>
    <tableColumn id="3" xr3:uid="{00000000-0010-0000-0600-000003000000}" name="Cost Per Month" dataDxfId="1">
      <calculatedColumnFormula>74.76*2</calculatedColumnFormula>
    </tableColumn>
    <tableColumn id="4" xr3:uid="{00000000-0010-0000-0600-000004000000}" name="Cost Per Year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4"/>
  <sheetViews>
    <sheetView zoomScale="248" zoomScaleNormal="120" workbookViewId="0" xr3:uid="{AEA406A1-0E4B-5B11-9CD5-51D6E497D94C}">
      <selection activeCell="C3" sqref="C3"/>
    </sheetView>
  </sheetViews>
  <sheetFormatPr defaultRowHeight="14.45"/>
  <cols>
    <col min="2" max="2" width="26.140625" customWidth="1"/>
    <col min="3" max="3" width="15.7109375" bestFit="1" customWidth="1"/>
    <col min="4" max="4" width="13.7109375" bestFit="1" customWidth="1"/>
  </cols>
  <sheetData>
    <row r="2" spans="2:4">
      <c r="B2" t="s">
        <v>0</v>
      </c>
      <c r="C2" t="s">
        <v>1</v>
      </c>
      <c r="D2" t="s">
        <v>2</v>
      </c>
    </row>
    <row r="3" spans="2:4">
      <c r="B3" t="s">
        <v>3</v>
      </c>
      <c r="C3" s="8">
        <f>Table1[[#Totals],[Compute Cost Per Month]]+Table6[[#Totals],[Compute Cost Per Month]]</f>
        <v>297.60000000000002</v>
      </c>
      <c r="D3" s="8">
        <f>Table4[[#This Row],[Cost Per Month]]*12</f>
        <v>3571.2000000000003</v>
      </c>
    </row>
    <row r="4" spans="2:4">
      <c r="B4" t="s">
        <v>4</v>
      </c>
      <c r="C4" s="8">
        <f>Table2[[#This Row],[Est Storage Cost Per Month]]+Storage!E5</f>
        <v>228.39000000000001</v>
      </c>
      <c r="D4" s="8">
        <f>Table4[[#This Row],[Cost Per Month]]*12</f>
        <v>2740.6800000000003</v>
      </c>
    </row>
    <row r="5" spans="2:4">
      <c r="B5" t="s">
        <v>5</v>
      </c>
      <c r="C5" s="8">
        <f>Storage!E6</f>
        <v>25.560000000000002</v>
      </c>
      <c r="D5" s="8">
        <f>Table4[[#This Row],[Cost Per Month]]*12</f>
        <v>306.72000000000003</v>
      </c>
    </row>
    <row r="6" spans="2:4">
      <c r="B6" t="s">
        <v>6</v>
      </c>
      <c r="C6" s="8">
        <f>Table7[[#Totals],[Total Monthly]]</f>
        <v>8.4329999999999998</v>
      </c>
      <c r="D6" s="8">
        <f>Table4[[#This Row],[Cost Per Month]]*12</f>
        <v>101.196</v>
      </c>
    </row>
    <row r="7" spans="2:4">
      <c r="B7" t="s">
        <v>7</v>
      </c>
      <c r="C7" s="8">
        <f>Table3[Cost Per Month]</f>
        <v>149.52000000000001</v>
      </c>
      <c r="D7" s="8">
        <f>Table4[[#This Row],[Cost Per Month]]*12</f>
        <v>1794.2400000000002</v>
      </c>
    </row>
    <row r="8" spans="2:4">
      <c r="B8" t="s">
        <v>8</v>
      </c>
      <c r="C8" s="8">
        <f>SUBTOTAL(109,Table4[Cost Per Month])</f>
        <v>709.50299999999993</v>
      </c>
      <c r="D8" s="8">
        <f>SUBTOTAL(109,Table4[Cost Per Year])</f>
        <v>8514.0360000000019</v>
      </c>
    </row>
    <row r="9" spans="2:4" ht="14.65" thickBot="1">
      <c r="B9" s="25" t="s">
        <v>9</v>
      </c>
      <c r="C9" s="27">
        <v>843.3</v>
      </c>
      <c r="D9" s="28">
        <f>C9*12</f>
        <v>10119.599999999999</v>
      </c>
    </row>
    <row r="10" spans="2:4" ht="14.65" thickTop="1">
      <c r="B10" s="26" t="s">
        <v>10</v>
      </c>
      <c r="C10" s="29">
        <f>SUM(C8:C9)</f>
        <v>1552.8029999999999</v>
      </c>
      <c r="D10" s="30">
        <f>SUM(D8:D9)</f>
        <v>18633.635999999999</v>
      </c>
    </row>
    <row r="12" spans="2:4">
      <c r="B12" t="s">
        <v>11</v>
      </c>
    </row>
    <row r="13" spans="2:4">
      <c r="B13" t="s">
        <v>12</v>
      </c>
    </row>
    <row r="14" spans="2:4">
      <c r="B14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1"/>
  <sheetViews>
    <sheetView workbookViewId="0" xr3:uid="{958C4451-9541-5A59-BF78-D2F731DF1C81}">
      <selection activeCell="D18" sqref="D18"/>
    </sheetView>
  </sheetViews>
  <sheetFormatPr defaultRowHeight="14.45"/>
  <cols>
    <col min="2" max="2" width="43.42578125" customWidth="1"/>
    <col min="3" max="3" width="15.7109375" bestFit="1" customWidth="1"/>
    <col min="4" max="4" width="12.28515625" bestFit="1" customWidth="1"/>
    <col min="5" max="5" width="25.28515625" bestFit="1" customWidth="1"/>
    <col min="6" max="6" width="13.7109375" bestFit="1" customWidth="1"/>
  </cols>
  <sheetData>
    <row r="2" spans="2:6" ht="14.65" thickBot="1">
      <c r="B2" s="9" t="s">
        <v>14</v>
      </c>
    </row>
    <row r="3" spans="2:6" ht="14.65" thickTop="1">
      <c r="B3" t="s">
        <v>0</v>
      </c>
      <c r="C3" t="s">
        <v>15</v>
      </c>
      <c r="D3" t="s">
        <v>16</v>
      </c>
      <c r="E3" t="s">
        <v>17</v>
      </c>
      <c r="F3" t="s">
        <v>18</v>
      </c>
    </row>
    <row r="4" spans="2:6">
      <c r="B4" t="s">
        <v>19</v>
      </c>
      <c r="C4">
        <f>Table1[[#Totals],[OS Storage GB]]+Table1[[#Totals],[Data Storage GB]]</f>
        <v>0</v>
      </c>
      <c r="D4" s="23" t="s">
        <v>20</v>
      </c>
      <c r="E4" s="7">
        <f>150.02</f>
        <v>150.02000000000001</v>
      </c>
      <c r="F4" s="7">
        <f>E4*12</f>
        <v>1800.2400000000002</v>
      </c>
    </row>
    <row r="5" spans="2:6">
      <c r="B5" t="s">
        <v>21</v>
      </c>
      <c r="C5">
        <f>Table6[[#Totals],[OS Storage GB]]+Table6[[#Totals],[Data Storage GB]]</f>
        <v>639</v>
      </c>
      <c r="D5" s="23" t="s">
        <v>20</v>
      </c>
      <c r="E5" s="7">
        <f>Table5[[#Totals],[Total per month]]</f>
        <v>78.37</v>
      </c>
      <c r="F5" s="7">
        <f>E5*12</f>
        <v>940.44</v>
      </c>
    </row>
    <row r="6" spans="2:6">
      <c r="B6" t="s">
        <v>5</v>
      </c>
      <c r="C6">
        <f>C4+C5</f>
        <v>639</v>
      </c>
      <c r="D6">
        <v>0.04</v>
      </c>
      <c r="E6" s="7">
        <f>D6*C6</f>
        <v>25.560000000000002</v>
      </c>
      <c r="F6" s="7">
        <f>E6*12</f>
        <v>306.72000000000003</v>
      </c>
    </row>
    <row r="7" spans="2:6">
      <c r="B7" t="s">
        <v>8</v>
      </c>
      <c r="E7" s="7">
        <f>SUBTOTAL(109,Table2[Est Storage Cost Per Month])</f>
        <v>253.95000000000002</v>
      </c>
      <c r="F7" s="7">
        <f>SUBTOTAL(109,Table2[Per Year])</f>
        <v>3047.4000000000005</v>
      </c>
    </row>
    <row r="9" spans="2:6">
      <c r="B9" t="s">
        <v>11</v>
      </c>
    </row>
    <row r="10" spans="2:6">
      <c r="B10" t="s">
        <v>22</v>
      </c>
    </row>
    <row r="11" spans="2:6">
      <c r="B11" t="s">
        <v>23</v>
      </c>
    </row>
    <row r="12" spans="2:6">
      <c r="B12" t="s">
        <v>24</v>
      </c>
    </row>
    <row r="13" spans="2:6">
      <c r="B13" t="s">
        <v>25</v>
      </c>
    </row>
    <row r="14" spans="2:6">
      <c r="B14" t="s">
        <v>26</v>
      </c>
    </row>
    <row r="16" spans="2:6" ht="14.65" thickBot="1">
      <c r="B16" s="9" t="s">
        <v>27</v>
      </c>
    </row>
    <row r="17" spans="2:6" ht="14.65" thickTop="1">
      <c r="B17" t="s">
        <v>28</v>
      </c>
      <c r="C17" t="s">
        <v>29</v>
      </c>
      <c r="D17" t="s">
        <v>30</v>
      </c>
      <c r="E17" t="s">
        <v>31</v>
      </c>
      <c r="F17" t="s">
        <v>18</v>
      </c>
    </row>
    <row r="18" spans="2:6">
      <c r="B18" t="s">
        <v>32</v>
      </c>
      <c r="C18">
        <v>16.62</v>
      </c>
      <c r="D18">
        <v>1</v>
      </c>
      <c r="E18" s="5">
        <f>Table5[[#This Row],[Cost per month]]*Table5[[#This Row],[Units]]</f>
        <v>16.62</v>
      </c>
      <c r="F18" s="5">
        <f>Table5[[#This Row],[Total per month]]*12</f>
        <v>199.44</v>
      </c>
    </row>
    <row r="19" spans="2:6">
      <c r="B19" t="s">
        <v>33</v>
      </c>
      <c r="C19">
        <v>61.75</v>
      </c>
      <c r="D19">
        <v>1</v>
      </c>
      <c r="E19" s="5">
        <f>Table5[[#This Row],[Cost per month]]*Table5[[#This Row],[Units]]</f>
        <v>61.75</v>
      </c>
      <c r="F19" s="5">
        <f>Table5[[#This Row],[Total per month]]*12</f>
        <v>741</v>
      </c>
    </row>
    <row r="20" spans="2:6">
      <c r="B20" t="s">
        <v>34</v>
      </c>
      <c r="C20">
        <v>113.99</v>
      </c>
      <c r="D20">
        <v>0</v>
      </c>
      <c r="E20" s="5">
        <f>Table5[[#This Row],[Cost per month]]*Table5[[#This Row],[Units]]</f>
        <v>0</v>
      </c>
      <c r="F20" s="5">
        <f>Table5[[#This Row],[Total per month]]*12</f>
        <v>0</v>
      </c>
    </row>
    <row r="21" spans="2:6">
      <c r="B21" t="s">
        <v>8</v>
      </c>
      <c r="E21" s="7">
        <f>SUBTOTAL(109,Table5[Total per month])</f>
        <v>78.37</v>
      </c>
      <c r="F21" s="7">
        <f>SUBTOTAL(109,Table5[Per Year])</f>
        <v>940.44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21"/>
  <sheetViews>
    <sheetView zoomScale="99" workbookViewId="0" xr3:uid="{842E5F09-E766-5B8D-85AF-A39847EA96FD}">
      <selection activeCell="C4" sqref="C4"/>
    </sheetView>
  </sheetViews>
  <sheetFormatPr defaultRowHeight="14.45"/>
  <cols>
    <col min="2" max="2" width="21" customWidth="1"/>
    <col min="4" max="4" width="11.140625" customWidth="1"/>
    <col min="5" max="5" width="13.7109375" customWidth="1"/>
    <col min="6" max="6" width="9.42578125" customWidth="1"/>
  </cols>
  <sheetData>
    <row r="2" spans="2:6">
      <c r="B2" t="s">
        <v>0</v>
      </c>
      <c r="C2" t="s">
        <v>30</v>
      </c>
      <c r="D2" t="s">
        <v>35</v>
      </c>
      <c r="E2" t="s">
        <v>36</v>
      </c>
      <c r="F2" t="s">
        <v>37</v>
      </c>
    </row>
    <row r="3" spans="2:6">
      <c r="B3" t="s">
        <v>38</v>
      </c>
      <c r="C3">
        <v>1</v>
      </c>
      <c r="D3" s="7">
        <v>8.4329999999999998</v>
      </c>
      <c r="E3" s="7">
        <f>C3*D3</f>
        <v>8.4329999999999998</v>
      </c>
      <c r="F3" s="7">
        <f>D3*E3</f>
        <v>71.115488999999997</v>
      </c>
    </row>
    <row r="4" spans="2:6">
      <c r="B4" t="s">
        <v>39</v>
      </c>
      <c r="C4">
        <v>0</v>
      </c>
      <c r="D4" s="7">
        <v>8.4329999999999998</v>
      </c>
      <c r="E4" s="7">
        <f>C4*D4</f>
        <v>0</v>
      </c>
      <c r="F4" s="7">
        <f>D4*E4</f>
        <v>0</v>
      </c>
    </row>
    <row r="5" spans="2:6">
      <c r="B5" t="s">
        <v>8</v>
      </c>
      <c r="D5" s="7"/>
      <c r="E5" s="7">
        <f>SUBTOTAL(109,Table7[Total Monthly])</f>
        <v>8.4329999999999998</v>
      </c>
      <c r="F5" s="7">
        <f>SUBTOTAL(109,Table7[Annually])</f>
        <v>71.115488999999997</v>
      </c>
    </row>
    <row r="18" spans="2:2">
      <c r="B18" t="s">
        <v>11</v>
      </c>
    </row>
    <row r="19" spans="2:2">
      <c r="B19" t="s">
        <v>40</v>
      </c>
    </row>
    <row r="20" spans="2:2">
      <c r="B20" t="s">
        <v>41</v>
      </c>
    </row>
    <row r="21" spans="2:2">
      <c r="B21" t="s">
        <v>42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41"/>
  <sheetViews>
    <sheetView topLeftCell="D1" zoomScale="78" zoomScaleNormal="90" workbookViewId="0" xr3:uid="{51F8DEE0-4D01-5F28-A812-FC0BD7CAC4A5}">
      <selection activeCell="L22" sqref="L22"/>
    </sheetView>
  </sheetViews>
  <sheetFormatPr defaultRowHeight="14.45"/>
  <cols>
    <col min="2" max="2" width="40.140625" customWidth="1"/>
    <col min="3" max="3" width="38.42578125" bestFit="1" customWidth="1"/>
    <col min="4" max="4" width="15.42578125" customWidth="1"/>
    <col min="5" max="5" width="13.85546875" bestFit="1" customWidth="1"/>
    <col min="6" max="6" width="14" bestFit="1" customWidth="1"/>
    <col min="7" max="7" width="10.42578125" bestFit="1" customWidth="1"/>
    <col min="8" max="8" width="16.5703125" bestFit="1" customWidth="1"/>
    <col min="9" max="9" width="17.42578125" customWidth="1"/>
    <col min="10" max="10" width="25.140625" bestFit="1" customWidth="1"/>
    <col min="11" max="11" width="20.85546875" bestFit="1" customWidth="1"/>
    <col min="12" max="12" width="14.7109375" bestFit="1" customWidth="1"/>
    <col min="13" max="13" width="15.140625" bestFit="1" customWidth="1"/>
    <col min="14" max="14" width="18" bestFit="1" customWidth="1"/>
    <col min="15" max="15" width="25" bestFit="1" customWidth="1"/>
    <col min="16" max="16" width="23.140625" bestFit="1" customWidth="1"/>
  </cols>
  <sheetData>
    <row r="2" spans="2:15" ht="14.65" thickBot="1">
      <c r="B2" s="9" t="s">
        <v>43</v>
      </c>
      <c r="H2" s="32" t="s">
        <v>44</v>
      </c>
      <c r="I2" s="32"/>
      <c r="J2" s="32"/>
      <c r="K2" s="32"/>
      <c r="L2" s="33"/>
    </row>
    <row r="3" spans="2:15" ht="14.65" thickTop="1">
      <c r="B3" t="s">
        <v>45</v>
      </c>
      <c r="C3" t="s">
        <v>0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</row>
    <row r="4" spans="2:15">
      <c r="L4" s="2"/>
      <c r="M4" s="1"/>
      <c r="N4" s="5"/>
      <c r="O4" s="7"/>
    </row>
    <row r="5" spans="2:15">
      <c r="L5" s="2"/>
      <c r="M5" s="1"/>
      <c r="N5" s="5"/>
      <c r="O5" s="7"/>
    </row>
    <row r="6" spans="2:15">
      <c r="L6" s="2"/>
      <c r="M6" s="1"/>
      <c r="N6" s="5"/>
      <c r="O6" s="7"/>
    </row>
    <row r="7" spans="2:15">
      <c r="L7" s="2"/>
      <c r="M7" s="1"/>
      <c r="N7" s="5"/>
      <c r="O7" s="7"/>
    </row>
    <row r="8" spans="2:15">
      <c r="L8" s="2"/>
      <c r="M8" s="1"/>
      <c r="N8" s="5"/>
      <c r="O8" s="7"/>
    </row>
    <row r="9" spans="2:15">
      <c r="L9" s="2"/>
      <c r="M9" s="1"/>
      <c r="N9" s="5"/>
      <c r="O9" s="7"/>
    </row>
    <row r="10" spans="2:15">
      <c r="B10" s="1"/>
      <c r="C10" s="1"/>
      <c r="D10" s="1"/>
      <c r="G10" s="1"/>
      <c r="H10" s="1"/>
      <c r="I10" s="3"/>
      <c r="L10" s="2"/>
      <c r="M10" s="1"/>
      <c r="N10" s="5"/>
      <c r="O10" s="7"/>
    </row>
    <row r="11" spans="2:15">
      <c r="B11" s="1"/>
      <c r="C11" s="1"/>
      <c r="D11" s="1"/>
      <c r="G11" s="1"/>
      <c r="H11" s="1"/>
      <c r="I11" s="3"/>
      <c r="L11" s="2"/>
      <c r="M11" s="1"/>
      <c r="N11" s="5"/>
      <c r="O11" s="7"/>
    </row>
    <row r="12" spans="2:15">
      <c r="B12" s="1"/>
      <c r="C12" s="1"/>
      <c r="D12" s="1"/>
      <c r="G12" s="1"/>
      <c r="H12" s="1"/>
      <c r="I12" s="3"/>
      <c r="L12" s="2"/>
      <c r="M12" s="1"/>
      <c r="N12" s="5"/>
      <c r="O12" s="7"/>
    </row>
    <row r="13" spans="2:15">
      <c r="B13" s="1"/>
      <c r="C13" s="1"/>
      <c r="G13" s="1"/>
      <c r="H13" s="1"/>
      <c r="I13" s="3"/>
      <c r="L13" s="2"/>
      <c r="M13" s="1"/>
      <c r="N13" s="5"/>
      <c r="O13" s="7"/>
    </row>
    <row r="14" spans="2:15">
      <c r="B14" s="1"/>
      <c r="C14" s="1"/>
      <c r="D14" s="1"/>
      <c r="G14" s="1"/>
      <c r="H14" s="1"/>
      <c r="I14" s="3"/>
      <c r="L14" s="2"/>
      <c r="M14" s="1"/>
      <c r="N14" s="5"/>
      <c r="O14" s="7"/>
    </row>
    <row r="15" spans="2:15">
      <c r="B15" s="1"/>
      <c r="C15" s="1"/>
      <c r="D15" s="1"/>
      <c r="G15" s="1"/>
      <c r="H15" s="1"/>
      <c r="I15" s="3"/>
      <c r="L15" s="2"/>
      <c r="M15" s="1"/>
      <c r="N15" s="5"/>
      <c r="O15" s="7"/>
    </row>
    <row r="16" spans="2:15">
      <c r="B16" s="1"/>
      <c r="C16" s="1"/>
      <c r="G16" s="1"/>
      <c r="H16" s="1"/>
      <c r="I16" s="3"/>
      <c r="L16" s="2"/>
      <c r="M16" s="1"/>
      <c r="N16" s="5"/>
      <c r="O16" s="7"/>
    </row>
    <row r="17" spans="2:15">
      <c r="B17" s="4" t="s">
        <v>8</v>
      </c>
      <c r="C17" s="4"/>
      <c r="D17" s="4"/>
      <c r="E17">
        <f>SUBTOTAL(109,Table1[CPU])</f>
        <v>0</v>
      </c>
      <c r="G17" s="1"/>
      <c r="H17" s="4">
        <f>SUBTOTAL(109,Table1[OS Storage GB])</f>
        <v>0</v>
      </c>
      <c r="I17">
        <f>SUBTOTAL(109,Table1[Data Storage GB])</f>
        <v>0</v>
      </c>
      <c r="L17" s="4"/>
      <c r="M17" s="4"/>
      <c r="N17" s="6">
        <f>SUBTOTAL(109,Table1[Compute Cost Per Month])</f>
        <v>0</v>
      </c>
      <c r="O17" s="7">
        <f>SUBTOTAL(109,Table1[Compute Cost Per Year])</f>
        <v>0</v>
      </c>
    </row>
    <row r="19" spans="2:15" ht="14.65" thickBot="1">
      <c r="B19" s="9" t="s">
        <v>58</v>
      </c>
      <c r="H19" s="31" t="s">
        <v>59</v>
      </c>
      <c r="I19" s="32"/>
      <c r="J19" s="32"/>
      <c r="K19" s="32"/>
    </row>
    <row r="20" spans="2:15" ht="15" thickTop="1" thickBot="1">
      <c r="B20" s="9" t="s">
        <v>45</v>
      </c>
      <c r="C20" s="10" t="s">
        <v>0</v>
      </c>
      <c r="D20" s="10" t="s">
        <v>46</v>
      </c>
      <c r="E20" s="10" t="s">
        <v>47</v>
      </c>
      <c r="F20" s="10" t="s">
        <v>48</v>
      </c>
      <c r="G20" s="10" t="s">
        <v>49</v>
      </c>
      <c r="H20" s="10" t="s">
        <v>50</v>
      </c>
      <c r="I20" s="10" t="s">
        <v>51</v>
      </c>
      <c r="J20" s="10" t="s">
        <v>52</v>
      </c>
      <c r="K20" s="10" t="s">
        <v>53</v>
      </c>
      <c r="L20" s="10" t="s">
        <v>54</v>
      </c>
      <c r="M20" s="10" t="s">
        <v>55</v>
      </c>
      <c r="N20" s="10" t="s">
        <v>56</v>
      </c>
      <c r="O20" s="11" t="s">
        <v>57</v>
      </c>
    </row>
    <row r="21" spans="2:15" ht="14.65" thickTop="1">
      <c r="B21" s="12" t="s">
        <v>60</v>
      </c>
      <c r="C21" s="13" t="s">
        <v>61</v>
      </c>
      <c r="D21" s="13" t="s">
        <v>62</v>
      </c>
      <c r="E21" s="13">
        <v>8</v>
      </c>
      <c r="F21" s="13">
        <v>28</v>
      </c>
      <c r="G21" s="13" t="s">
        <v>63</v>
      </c>
      <c r="H21" s="13">
        <v>127</v>
      </c>
      <c r="I21" s="14">
        <v>512</v>
      </c>
      <c r="J21" s="13" t="s">
        <v>64</v>
      </c>
      <c r="K21" s="13" t="s">
        <v>21</v>
      </c>
      <c r="L21" s="15">
        <v>0.4</v>
      </c>
      <c r="M21" s="13">
        <v>744</v>
      </c>
      <c r="N21" s="16">
        <f>L21*M21</f>
        <v>297.60000000000002</v>
      </c>
      <c r="O21" s="17">
        <f>N21*12</f>
        <v>3571.2000000000003</v>
      </c>
    </row>
    <row r="22" spans="2:15">
      <c r="B22" s="18"/>
      <c r="C22" s="18"/>
      <c r="D22" s="18"/>
      <c r="E22" s="18"/>
      <c r="F22" s="18"/>
      <c r="G22" s="18"/>
      <c r="H22" s="13"/>
      <c r="I22" s="14"/>
      <c r="J22" s="13"/>
      <c r="K22" s="13"/>
      <c r="L22" s="19"/>
      <c r="M22" s="18"/>
      <c r="N22" s="16"/>
      <c r="O22" s="17"/>
    </row>
    <row r="23" spans="2:15">
      <c r="B23" s="18"/>
      <c r="C23" s="18"/>
      <c r="D23" s="18"/>
      <c r="E23" s="18"/>
      <c r="F23" s="18"/>
      <c r="G23" s="18"/>
      <c r="H23" s="13"/>
      <c r="I23" s="14"/>
      <c r="J23" s="13"/>
      <c r="K23" s="13"/>
      <c r="L23" s="19"/>
      <c r="M23" s="18"/>
      <c r="N23" s="16"/>
      <c r="O23" s="17"/>
    </row>
    <row r="24" spans="2:15">
      <c r="B24" s="18"/>
      <c r="C24" s="18"/>
      <c r="D24" s="18"/>
      <c r="E24" s="18"/>
      <c r="F24" s="18"/>
      <c r="G24" s="18"/>
      <c r="H24" s="13"/>
      <c r="I24" s="14"/>
      <c r="J24" s="13"/>
      <c r="K24" s="13"/>
      <c r="L24" s="19"/>
      <c r="M24" s="18"/>
      <c r="N24" s="16"/>
      <c r="O24" s="17"/>
    </row>
    <row r="25" spans="2:15">
      <c r="B25" s="18"/>
      <c r="C25" s="18"/>
      <c r="D25" s="18"/>
      <c r="E25" s="18"/>
      <c r="F25" s="18"/>
      <c r="G25" s="18"/>
      <c r="H25" s="13"/>
      <c r="I25" s="14"/>
      <c r="J25" s="13"/>
      <c r="K25" s="13"/>
      <c r="L25" s="19"/>
      <c r="M25" s="18"/>
      <c r="N25" s="16"/>
      <c r="O25" s="17"/>
    </row>
    <row r="26" spans="2:15">
      <c r="B26" s="1"/>
      <c r="C26" s="1"/>
      <c r="D26" s="1"/>
      <c r="I26" s="14"/>
      <c r="J26" s="13"/>
      <c r="K26" s="13"/>
      <c r="L26" s="2"/>
      <c r="M26" s="1"/>
      <c r="N26" s="16"/>
      <c r="O26" s="17"/>
    </row>
    <row r="27" spans="2:15">
      <c r="B27" s="1"/>
      <c r="C27" s="1"/>
      <c r="D27" s="1"/>
      <c r="I27" s="14"/>
      <c r="J27" s="13"/>
      <c r="K27" s="13"/>
      <c r="L27" s="2"/>
      <c r="M27" s="1"/>
      <c r="N27" s="16"/>
      <c r="O27" s="17"/>
    </row>
    <row r="28" spans="2:15">
      <c r="B28" s="1"/>
      <c r="C28" s="1"/>
      <c r="D28" s="1"/>
      <c r="I28" s="14"/>
      <c r="J28" s="13"/>
      <c r="K28" s="13"/>
      <c r="L28" s="2"/>
      <c r="M28" s="1"/>
      <c r="N28" s="16"/>
      <c r="O28" s="17"/>
    </row>
    <row r="29" spans="2:15">
      <c r="B29" s="1"/>
      <c r="C29" s="1"/>
      <c r="D29" s="1"/>
      <c r="G29" s="1"/>
      <c r="H29" s="1"/>
      <c r="I29" s="14"/>
      <c r="J29" s="13"/>
      <c r="K29" s="13"/>
      <c r="L29" s="2"/>
      <c r="M29" s="1"/>
      <c r="N29" s="16"/>
      <c r="O29" s="17"/>
    </row>
    <row r="30" spans="2:15">
      <c r="D30" s="1"/>
      <c r="G30" s="1"/>
      <c r="H30" s="1"/>
      <c r="I30" s="24"/>
      <c r="J30" s="13"/>
      <c r="K30" s="13"/>
      <c r="L30" s="2"/>
      <c r="M30" s="1"/>
      <c r="N30" s="20"/>
      <c r="O30" s="20"/>
    </row>
    <row r="31" spans="2:15">
      <c r="D31" s="1"/>
      <c r="G31" s="1"/>
      <c r="H31" s="1"/>
      <c r="I31" s="24"/>
      <c r="J31" s="13"/>
      <c r="K31" s="13"/>
      <c r="L31" s="2"/>
      <c r="M31" s="1"/>
      <c r="N31" s="20"/>
      <c r="O31" s="20"/>
    </row>
    <row r="32" spans="2:15">
      <c r="B32" s="21" t="s">
        <v>8</v>
      </c>
      <c r="C32" s="21"/>
      <c r="D32" s="21"/>
      <c r="E32" s="21">
        <f>SUBTOTAL(103,Table6[CPU])</f>
        <v>1</v>
      </c>
      <c r="F32" s="21"/>
      <c r="G32" s="21"/>
      <c r="H32" s="21">
        <f>SUBTOTAL(109,Table6[OS Storage GB])</f>
        <v>127</v>
      </c>
      <c r="I32" s="21">
        <f>SUBTOTAL(109,Table6[Data Storage GB])</f>
        <v>512</v>
      </c>
      <c r="J32" s="21"/>
      <c r="K32" s="21"/>
      <c r="L32" s="21"/>
      <c r="M32" s="21"/>
      <c r="N32" s="22">
        <f>SUBTOTAL(109,Table6[Compute Cost Per Month])</f>
        <v>297.60000000000002</v>
      </c>
      <c r="O32" s="22">
        <f>SUBTOTAL(109,Table6[Compute Cost Per Year])</f>
        <v>3571.2000000000003</v>
      </c>
    </row>
    <row r="34" spans="2:2">
      <c r="B34" t="s">
        <v>11</v>
      </c>
    </row>
    <row r="35" spans="2:2">
      <c r="B35" t="s">
        <v>65</v>
      </c>
    </row>
    <row r="36" spans="2:2">
      <c r="B36" t="s">
        <v>66</v>
      </c>
    </row>
    <row r="37" spans="2:2">
      <c r="B37" t="s">
        <v>67</v>
      </c>
    </row>
    <row r="38" spans="2:2">
      <c r="B38" t="s">
        <v>68</v>
      </c>
    </row>
    <row r="39" spans="2:2">
      <c r="B39" t="s">
        <v>69</v>
      </c>
    </row>
    <row r="40" spans="2:2">
      <c r="B40" t="s">
        <v>70</v>
      </c>
    </row>
    <row r="41" spans="2:2">
      <c r="B41" t="s">
        <v>71</v>
      </c>
    </row>
  </sheetData>
  <mergeCells count="2">
    <mergeCell ref="H19:K19"/>
    <mergeCell ref="H2:L2"/>
  </mergeCells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E7"/>
  <sheetViews>
    <sheetView tabSelected="1" zoomScale="179" workbookViewId="0" xr3:uid="{F9CF3CF3-643B-5BE6-8B46-32C596A47465}">
      <selection activeCell="E5" sqref="E5"/>
    </sheetView>
  </sheetViews>
  <sheetFormatPr defaultRowHeight="14.45"/>
  <cols>
    <col min="2" max="2" width="17.140625" bestFit="1" customWidth="1"/>
    <col min="4" max="4" width="15.7109375" bestFit="1" customWidth="1"/>
    <col min="5" max="5" width="13.7109375" bestFit="1" customWidth="1"/>
  </cols>
  <sheetData>
    <row r="3" spans="2:5">
      <c r="B3" t="s">
        <v>0</v>
      </c>
      <c r="C3" t="s">
        <v>72</v>
      </c>
      <c r="D3" t="s">
        <v>1</v>
      </c>
      <c r="E3" t="s">
        <v>2</v>
      </c>
    </row>
    <row r="4" spans="2:5">
      <c r="B4" t="s">
        <v>73</v>
      </c>
      <c r="C4">
        <v>0</v>
      </c>
      <c r="D4" s="7">
        <f>74.76*2</f>
        <v>149.52000000000001</v>
      </c>
      <c r="E4" s="7">
        <v>0</v>
      </c>
    </row>
    <row r="6" spans="2:5">
      <c r="B6" t="s">
        <v>11</v>
      </c>
    </row>
    <row r="7" spans="2:5">
      <c r="B7" t="s">
        <v>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Gavin McShera</dc:creator>
  <cp:keywords/>
  <dc:description/>
  <cp:lastModifiedBy>Gavin McShera</cp:lastModifiedBy>
  <cp:revision/>
  <dcterms:created xsi:type="dcterms:W3CDTF">2015-11-18T15:48:26Z</dcterms:created>
  <dcterms:modified xsi:type="dcterms:W3CDTF">2017-08-09T11:24:23Z</dcterms:modified>
  <cp:category/>
  <cp:contentStatus/>
</cp:coreProperties>
</file>