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Gavin\OneDrive - McShera Consulting\Clients\Westcoast\Elite Partner Training\Part 1 - Intro\"/>
    </mc:Choice>
  </mc:AlternateContent>
  <xr:revisionPtr revIDLastSave="102" documentId="19FDBBC655E1D8E0F839B7FA71E0E86193E3A530" xr6:coauthVersionLast="21" xr6:coauthVersionMax="21" xr10:uidLastSave="{9B778574-2F53-4C31-819E-BB395BE903B8}"/>
  <bookViews>
    <workbookView xWindow="0" yWindow="0" windowWidth="22500" windowHeight="9780" xr2:uid="{00000000-000D-0000-FFFF-FFFF00000000}"/>
  </bookViews>
  <sheets>
    <sheet name="Summary" sheetId="4" r:id="rId1"/>
    <sheet name="Virtual Machines" sheetId="1" r:id="rId2"/>
    <sheet name="Storage" sheetId="2" r:id="rId3"/>
    <sheet name="Backup Agents" sheetId="5" r:id="rId4"/>
    <sheet name="Network" sheetId="3" r:id="rId5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4" l="1"/>
  <c r="D10" i="4"/>
  <c r="C9" i="4"/>
  <c r="D9" i="4" s="1"/>
  <c r="D8" i="4"/>
  <c r="K4" i="1"/>
  <c r="E4" i="3" l="1"/>
  <c r="E5" i="3" s="1"/>
  <c r="F4" i="3" l="1"/>
  <c r="F5" i="3" s="1"/>
  <c r="E18" i="2" l="1"/>
  <c r="F18" i="2" s="1"/>
  <c r="O6" i="1"/>
  <c r="P6" i="1" s="1"/>
  <c r="O5" i="1"/>
  <c r="P5" i="1" s="1"/>
  <c r="D5" i="3"/>
  <c r="C7" i="4" s="1"/>
  <c r="D7" i="4" s="1"/>
  <c r="E24" i="2"/>
  <c r="C5" i="4" s="1"/>
  <c r="D5" i="4" s="1"/>
  <c r="E25" i="2"/>
  <c r="E19" i="2"/>
  <c r="F19" i="2" s="1"/>
  <c r="F7" i="1"/>
  <c r="E17" i="2"/>
  <c r="F17" i="2" s="1"/>
  <c r="O4" i="1"/>
  <c r="P4" i="1" s="1"/>
  <c r="E7" i="1"/>
  <c r="E3" i="5"/>
  <c r="F3" i="5" s="1"/>
  <c r="F4" i="5" s="1"/>
  <c r="E4" i="5"/>
  <c r="C6" i="4" s="1"/>
  <c r="D6" i="4" s="1"/>
  <c r="E16" i="2"/>
  <c r="F16" i="2" s="1"/>
  <c r="E20" i="2"/>
  <c r="C4" i="4" s="1"/>
  <c r="D4" i="4" s="1"/>
  <c r="K7" i="1"/>
  <c r="C5" i="2" s="1"/>
  <c r="I7" i="1"/>
  <c r="C4" i="2" s="1"/>
  <c r="F24" i="2" l="1"/>
  <c r="F25" i="2" s="1"/>
  <c r="F20" i="2"/>
  <c r="O7" i="1"/>
  <c r="C3" i="4" s="1"/>
  <c r="D3" i="4" s="1"/>
  <c r="D11" i="4" s="1"/>
  <c r="C6" i="2"/>
  <c r="C7" i="2" s="1"/>
  <c r="P7" i="1"/>
  <c r="C11" i="4" l="1"/>
  <c r="C12" i="4" s="1"/>
</calcChain>
</file>

<file path=xl/sharedStrings.xml><?xml version="1.0" encoding="utf-8"?>
<sst xmlns="http://schemas.openxmlformats.org/spreadsheetml/2006/main" count="110" uniqueCount="79">
  <si>
    <t>Description</t>
  </si>
  <si>
    <t>Cost Per Month</t>
  </si>
  <si>
    <t>Cost Per Year</t>
  </si>
  <si>
    <t>Compute</t>
  </si>
  <si>
    <t>Storage</t>
  </si>
  <si>
    <t>Backup Vault</t>
  </si>
  <si>
    <t>Backup Agents</t>
  </si>
  <si>
    <t>Network Costs</t>
  </si>
  <si>
    <t>Total</t>
  </si>
  <si>
    <t>Notes:</t>
  </si>
  <si>
    <t>All costs are estimates based on public pricing and the thresholds listed in this sheet.  Actual costs and usage will vary based on usage and billing cycle</t>
  </si>
  <si>
    <t>Figures are based on 744 hours per month</t>
  </si>
  <si>
    <t>This is for estimate purpose only and does not constitute a formal design or quote.  Final costs are subject to the final design.</t>
  </si>
  <si>
    <t>Costs do not include licensing outsidef of Azure related product e.g. Does not include RDS CAL, Office 365 etc</t>
  </si>
  <si>
    <t>Standard VMs</t>
  </si>
  <si>
    <t>Servername</t>
  </si>
  <si>
    <t>VM Size</t>
  </si>
  <si>
    <t>CPU</t>
  </si>
  <si>
    <t>MEM</t>
  </si>
  <si>
    <t>SQL VM</t>
  </si>
  <si>
    <t>OS Disk</t>
  </si>
  <si>
    <t>OS Storage GB</t>
  </si>
  <si>
    <t>Data Disk</t>
  </si>
  <si>
    <t>Data Storage GB</t>
  </si>
  <si>
    <t>Storage Type</t>
  </si>
  <si>
    <t>Cost Per Hour</t>
  </si>
  <si>
    <t>Hours Per Month</t>
  </si>
  <si>
    <t>Compute Cost Per Month</t>
  </si>
  <si>
    <t>Compute Cost Per Year</t>
  </si>
  <si>
    <t>No</t>
  </si>
  <si>
    <t>P10 x 1</t>
  </si>
  <si>
    <t>RDSH</t>
  </si>
  <si>
    <t>Gateway/Broker/Licensing</t>
  </si>
  <si>
    <t>Total Summary</t>
  </si>
  <si>
    <t>GB</t>
  </si>
  <si>
    <t>OS Storage</t>
  </si>
  <si>
    <t>Data Storage</t>
  </si>
  <si>
    <t>Backup cost estimated at 100% of VM storage rounded to nearest TB for estimate purpose.  Actual backup storage will depend on the backup schedule, retention and the compression achieved.</t>
  </si>
  <si>
    <t>VM Storage is Locally Redundant (LRS)</t>
  </si>
  <si>
    <t>Backup storage is Geo Redundant (GRS)</t>
  </si>
  <si>
    <t>Storage Cost Summary</t>
  </si>
  <si>
    <t>Disk Type</t>
  </si>
  <si>
    <t>Cost per month</t>
  </si>
  <si>
    <t>Units</t>
  </si>
  <si>
    <t>Total per month</t>
  </si>
  <si>
    <t>Per Year</t>
  </si>
  <si>
    <t>S10 [128GB - Managed Disk]</t>
  </si>
  <si>
    <t>P10 [128GB - Premium Disk]</t>
  </si>
  <si>
    <t>P30 [1024GB - Premium Disk]</t>
  </si>
  <si>
    <t xml:space="preserve">Backup Vault </t>
  </si>
  <si>
    <t>Backup Vault per TB - GRS</t>
  </si>
  <si>
    <t>Agent Cost</t>
  </si>
  <si>
    <t>Total Monthly</t>
  </si>
  <si>
    <t>Annually</t>
  </si>
  <si>
    <t>Azure VM Instances</t>
  </si>
  <si>
    <t>Azure Backup has a cost per instance.  If a VM is backed up at VM and File level it counts as 2 instances.</t>
  </si>
  <si>
    <t xml:space="preserve">For the purpose of this estimate VMs are assumed to be &gt; 50 but &lt; or = 500GB.  </t>
  </si>
  <si>
    <t>The instance (agent cost) is calculated BEFORE compression.  The storage is calculated on actual storage after compression</t>
  </si>
  <si>
    <t>VM Backs are taken daily.  Retention will directly impact costs.</t>
  </si>
  <si>
    <t>SQL database backups do not use a Back Vault.  They use Blob Storage.  Additional info required to calculate blob requirements.</t>
  </si>
  <si>
    <t>All inbound traffic is free.</t>
  </si>
  <si>
    <t>Assuming that there is no external access and that all traffic is via the VPN</t>
  </si>
  <si>
    <t>Assuming that customer devices meet requirements as per https://docs.microsoft.com/en-us/azure/vpn-gateway/vpn-gateway-about-vpn-devices</t>
  </si>
  <si>
    <t>DS1_v2</t>
  </si>
  <si>
    <t>P20 [512GB - Premium Disk]</t>
  </si>
  <si>
    <t xml:space="preserve">Single VM </t>
  </si>
  <si>
    <t>Premium Managed Disks</t>
  </si>
  <si>
    <t>DS2_v2</t>
  </si>
  <si>
    <t>All prices based on UK West and RRP.</t>
  </si>
  <si>
    <t xml:space="preserve">Backup Vault Estimate </t>
  </si>
  <si>
    <t>Cost Per Unit</t>
  </si>
  <si>
    <t>Egress Traffic Europe [1TB]</t>
  </si>
  <si>
    <t>Disk transactions and Public IP not included in estimates.  PIP are 2.12 per month per VM.</t>
  </si>
  <si>
    <t>E4_v3</t>
  </si>
  <si>
    <t>Domain Controller and File-Print</t>
  </si>
  <si>
    <t>P10 x 1 + P20 x 1</t>
  </si>
  <si>
    <t>AAD GW</t>
  </si>
  <si>
    <t>MFA</t>
  </si>
  <si>
    <t>RDSCAL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</si>
</sst>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GBP]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164" fontId="0" fillId="0" borderId="0" xfId="0" applyNumberFormat="1" applyFill="1"/>
    <xf numFmtId="0" fontId="0" fillId="0" borderId="0" xfId="0" applyNumberFormat="1"/>
    <xf numFmtId="0" fontId="0" fillId="0" borderId="0" xfId="0" applyNumberFormat="1" applyFont="1" applyFill="1" applyBorder="1" applyAlignment="1" applyProtection="1"/>
    <xf numFmtId="0" fontId="1" fillId="2" borderId="1" xfId="0" applyFont="1" applyFill="1" applyBorder="1"/>
    <xf numFmtId="165" fontId="0" fillId="0" borderId="0" xfId="0" applyNumberFormat="1" applyFill="1"/>
    <xf numFmtId="165" fontId="0" fillId="0" borderId="0" xfId="0" applyNumberFormat="1"/>
    <xf numFmtId="165" fontId="0" fillId="0" borderId="0" xfId="0" applyNumberFormat="1" applyFont="1" applyFill="1" applyBorder="1" applyAlignment="1" applyProtection="1"/>
  </cellXfs>
  <cellStyles count="1">
    <cellStyle name="Normal" xfId="0" builtinId="0"/>
  </cellStyles>
  <dxfs count="44"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</dxf>
    <dxf>
      <numFmt numFmtId="165" formatCode="[$GBP]\ #,##0.00"/>
    </dxf>
    <dxf>
      <numFmt numFmtId="165" formatCode="[$GBP]\ #,##0.00"/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GBP]\ 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</dxf>
    <dxf>
      <numFmt numFmtId="165" formatCode="[$GBP]\ #,##0.00"/>
    </dxf>
    <dxf>
      <numFmt numFmtId="165" formatCode="[$GBP]\ #,##0.00"/>
    </dxf>
    <dxf>
      <numFmt numFmtId="165" formatCode="[$GBP]\ #,##0.00"/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</dxf>
    <dxf>
      <numFmt numFmtId="165" formatCode="[$GBP]\ #,##0.00"/>
    </dxf>
    <dxf>
      <numFmt numFmtId="164" formatCode="0.00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  <dxf>
      <numFmt numFmtId="165" formatCode="[$GBP]\ #,##0.00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586892</xdr:colOff>
      <xdr:row>4</xdr:row>
      <xdr:rowOff>146811</xdr:rowOff>
    </xdr:from>
    <xdr:to>
      <xdr:col>10</xdr:col>
      <xdr:colOff>530171</xdr:colOff>
      <xdr:row>15</xdr:row>
      <xdr:rowOff>27255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0CC54F-36D0-419B-B9CA-BF40E95CB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6892" y="878023"/>
          <a:ext cx="8467673" cy="189127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B2:D11" totalsRowCount="1">
  <autoFilter ref="B2:D10" xr:uid="{00000000-0009-0000-0100-000004000000}"/>
  <tableColumns count="3">
    <tableColumn id="1" xr3:uid="{00000000-0010-0000-0000-000001000000}" name="Description" totalsRowLabel="Total"/>
    <tableColumn id="2" xr3:uid="{00000000-0010-0000-0000-000002000000}" name="Cost Per Month" totalsRowFunction="sum" dataDxfId="43" totalsRowDxfId="1"/>
    <tableColumn id="3" xr3:uid="{00000000-0010-0000-0000-000003000000}" name="Cost Per Year" totalsRowFunction="sum" dataDxfId="42" totalsRowDxfId="0">
      <calculatedColumnFormula>Table4[[#This Row],[Cost Per Month]]*12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3:P7" totalsRowCount="1">
  <autoFilter ref="B3:P6" xr:uid="{00000000-0009-0000-0100-000001000000}"/>
  <tableColumns count="15">
    <tableColumn id="1" xr3:uid="{00000000-0010-0000-0100-000001000000}" name="Servername" totalsRowLabel="Total" totalsRowDxfId="22" dataCellStyle="Normal"/>
    <tableColumn id="2" xr3:uid="{00000000-0010-0000-0100-000002000000}" name="Description" totalsRowDxfId="21" dataCellStyle="Normal"/>
    <tableColumn id="3" xr3:uid="{00000000-0010-0000-0100-000003000000}" name="VM Size" totalsRowDxfId="20" dataCellStyle="Normal"/>
    <tableColumn id="10" xr3:uid="{00000000-0010-0000-0100-00000A000000}" name="CPU" totalsRowFunction="sum"/>
    <tableColumn id="11" xr3:uid="{00000000-0010-0000-0100-00000B000000}" name="MEM" totalsRowFunction="sum"/>
    <tableColumn id="8" xr3:uid="{00000000-0010-0000-0100-000008000000}" name="SQL VM" dataDxfId="41" totalsRowDxfId="19"/>
    <tableColumn id="14" xr3:uid="{00000000-0010-0000-0100-00000E000000}" name="OS Disk" dataDxfId="40" totalsRowDxfId="18"/>
    <tableColumn id="4" xr3:uid="{00000000-0010-0000-0100-000004000000}" name="OS Storage GB" totalsRowFunction="sum" totalsRowDxfId="17" dataCellStyle="Normal"/>
    <tableColumn id="15" xr3:uid="{00000000-0010-0000-0100-00000F000000}" name="Data Disk" dataDxfId="39" totalsRowDxfId="16"/>
    <tableColumn id="12" xr3:uid="{00000000-0010-0000-0100-00000C000000}" name="Data Storage GB" totalsRowFunction="sum" dataDxfId="23"/>
    <tableColumn id="5" xr3:uid="{00000000-0010-0000-0100-000005000000}" name="Storage Type"/>
    <tableColumn id="6" xr3:uid="{00000000-0010-0000-0100-000006000000}" name="Cost Per Hour" dataDxfId="38" totalsRowDxfId="15" dataCellStyle="Normal"/>
    <tableColumn id="7" xr3:uid="{00000000-0010-0000-0100-000007000000}" name="Hours Per Month" totalsRowDxfId="14" dataCellStyle="Normal"/>
    <tableColumn id="9" xr3:uid="{00000000-0010-0000-0100-000009000000}" name="Compute Cost Per Month" totalsRowFunction="sum" dataDxfId="37" totalsRowDxfId="13" dataCellStyle="Normal">
      <calculatedColumnFormula>Table1[[#This Row],[Hours Per Month]]*Table1[[#This Row],[Cost Per Hour]]</calculatedColumnFormula>
    </tableColumn>
    <tableColumn id="17" xr3:uid="{00000000-0010-0000-0100-000011000000}" name="Compute Cost Per Year" totalsRowFunction="sum" dataDxfId="36" totalsRowDxfId="12">
      <calculatedColumnFormula>Table1[[#This Row],[Compute Cost Per Month]]*12</calculatedColumnFormula>
    </tableColumn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B3:C7" totalsRowCount="1">
  <autoFilter ref="B3:C6" xr:uid="{00000000-0009-0000-0100-000002000000}"/>
  <tableColumns count="2">
    <tableColumn id="1" xr3:uid="{00000000-0010-0000-0200-000001000000}" name="Description" totalsRowLabel="Total"/>
    <tableColumn id="2" xr3:uid="{00000000-0010-0000-0200-000002000000}" name="GB" totalsRowFunction="sum">
      <calculatedColumnFormula>C3*2</calculatedColumn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B15:F20" totalsRowCount="1">
  <autoFilter ref="B15:F19" xr:uid="{00000000-0009-0000-0100-000005000000}"/>
  <tableColumns count="5">
    <tableColumn id="1" xr3:uid="{00000000-0010-0000-0300-000001000000}" name="Disk Type" totalsRowLabel="Total"/>
    <tableColumn id="2" xr3:uid="{00000000-0010-0000-0300-000002000000}" name="Cost per month" dataDxfId="35"/>
    <tableColumn id="3" xr3:uid="{00000000-0010-0000-0300-000003000000}" name="Units"/>
    <tableColumn id="4" xr3:uid="{00000000-0010-0000-0300-000004000000}" name="Total per month" totalsRowFunction="sum" dataDxfId="34" totalsRowDxfId="11">
      <calculatedColumnFormula>Table5[[#This Row],[Cost per month]]*Table5[[#This Row],[Units]]</calculatedColumnFormula>
    </tableColumn>
    <tableColumn id="5" xr3:uid="{00000000-0010-0000-0300-000005000000}" name="Per Year" totalsRowFunction="sum" dataDxfId="33" totalsRowDxfId="10">
      <calculatedColumnFormula>Table5[[#This Row],[Total per month]]*12</calculatedColumnFormula>
    </tableColumn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57" displayName="Table57" ref="B23:F25" totalsRowCount="1">
  <autoFilter ref="B23:F24" xr:uid="{00000000-0009-0000-0100-000006000000}"/>
  <tableColumns count="5">
    <tableColumn id="1" xr3:uid="{00000000-0010-0000-0400-000001000000}" name="Disk Type" totalsRowLabel="Total"/>
    <tableColumn id="2" xr3:uid="{00000000-0010-0000-0400-000002000000}" name="Cost per month" dataDxfId="32"/>
    <tableColumn id="3" xr3:uid="{00000000-0010-0000-0400-000003000000}" name="Units"/>
    <tableColumn id="4" xr3:uid="{00000000-0010-0000-0400-000004000000}" name="Total per month" totalsRowFunction="sum" dataDxfId="31" totalsRowDxfId="6">
      <calculatedColumnFormula>Table57[[#This Row],[Cost per month]]*Table57[[#This Row],[Units]]</calculatedColumnFormula>
    </tableColumn>
    <tableColumn id="5" xr3:uid="{00000000-0010-0000-0400-000005000000}" name="Per Year" totalsRowFunction="sum" dataDxfId="30" totalsRowDxfId="5">
      <calculatedColumnFormula>Table57[[#This Row],[Total per month]]*12</calculatedColumnFormula>
    </tableColumn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B2:F4" totalsRowCount="1">
  <autoFilter ref="B2:F3" xr:uid="{00000000-0009-0000-0100-000007000000}"/>
  <tableColumns count="5">
    <tableColumn id="1" xr3:uid="{00000000-0010-0000-0500-000001000000}" name="Description" totalsRowLabel="Total"/>
    <tableColumn id="2" xr3:uid="{00000000-0010-0000-0500-000002000000}" name="Units"/>
    <tableColumn id="3" xr3:uid="{00000000-0010-0000-0500-000003000000}" name="Agent Cost" dataDxfId="29" totalsRowDxfId="9"/>
    <tableColumn id="4" xr3:uid="{00000000-0010-0000-0500-000004000000}" name="Total Monthly" totalsRowFunction="sum" dataDxfId="28" totalsRowDxfId="8">
      <calculatedColumnFormula>C3*D3</calculatedColumnFormula>
    </tableColumn>
    <tableColumn id="5" xr3:uid="{00000000-0010-0000-0500-000005000000}" name="Annually" totalsRowFunction="sum" dataDxfId="27" totalsRowDxfId="7">
      <calculatedColumnFormula>D3*E3</calculatedColumnFormula>
    </tableColumn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6000000}" name="Table3" displayName="Table3" ref="B3:F5" totalsRowCount="1">
  <autoFilter ref="B3:F4" xr:uid="{00000000-0009-0000-0100-000003000000}"/>
  <tableColumns count="5">
    <tableColumn id="1" xr3:uid="{00000000-0010-0000-0600-000001000000}" name="Description" totalsRowLabel="Total"/>
    <tableColumn id="2" xr3:uid="{00000000-0010-0000-0600-000002000000}" name="Units"/>
    <tableColumn id="3" xr3:uid="{00000000-0010-0000-0600-000003000000}" name="Cost Per Unit" totalsRowFunction="sum" dataDxfId="26" totalsRowDxfId="4"/>
    <tableColumn id="6" xr3:uid="{3C6F45DF-E0B8-4487-932A-1B348FB1B35D}" name="Cost Per Month" totalsRowFunction="sum" dataDxfId="25" totalsRowDxfId="3">
      <calculatedColumnFormula>Table3[[#This Row],[Units]]*Table3[[#This Row],[Cost Per Unit]]</calculatedColumnFormula>
    </tableColumn>
    <tableColumn id="4" xr3:uid="{00000000-0010-0000-0600-000004000000}" name="Cost Per Year" totalsRowFunction="sum" dataDxfId="24" totalsRowDxfId="2">
      <calculatedColumnFormula>Table3[[#This Row],[Cost Per Month]]*12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9"/>
  <sheetViews>
    <sheetView tabSelected="1" zoomScale="240" zoomScaleNormal="120" workbookViewId="0">
      <selection activeCell="B11" sqref="B11"/>
    </sheetView>
  </sheetViews>
  <sheetFormatPr defaultRowHeight="14.25" x14ac:dyDescent="0.45"/>
  <cols>
    <col min="2" max="2" width="26.1328125" customWidth="1"/>
    <col min="3" max="3" width="15.73046875" bestFit="1" customWidth="1"/>
    <col min="4" max="4" width="13.73046875" bestFit="1" customWidth="1"/>
  </cols>
  <sheetData>
    <row r="2" spans="2:4" x14ac:dyDescent="0.45">
      <c r="B2" t="s">
        <v>0</v>
      </c>
      <c r="C2" t="s">
        <v>1</v>
      </c>
      <c r="D2" t="s">
        <v>2</v>
      </c>
    </row>
    <row r="3" spans="2:4" x14ac:dyDescent="0.45">
      <c r="B3" t="s">
        <v>3</v>
      </c>
      <c r="C3" s="6">
        <f>Table1[[#Totals],[Compute Cost Per Month]]</f>
        <v>551.30400000000009</v>
      </c>
      <c r="D3" s="6">
        <f>Table4[[#This Row],[Cost Per Month]]*12</f>
        <v>6615.648000000001</v>
      </c>
    </row>
    <row r="4" spans="2:4" x14ac:dyDescent="0.45">
      <c r="B4" t="s">
        <v>4</v>
      </c>
      <c r="C4" s="6">
        <f>Table5[[#Totals],[Total per month]]</f>
        <v>124.67</v>
      </c>
      <c r="D4" s="6">
        <f>Table4[[#This Row],[Cost Per Month]]*12</f>
        <v>1496.04</v>
      </c>
    </row>
    <row r="5" spans="2:4" x14ac:dyDescent="0.45">
      <c r="B5" t="s">
        <v>5</v>
      </c>
      <c r="C5" s="6">
        <f>Table57[Total per month]</f>
        <v>36.630000000000003</v>
      </c>
      <c r="D5" s="6">
        <f>Table4[[#This Row],[Cost Per Month]]*12</f>
        <v>439.56000000000006</v>
      </c>
    </row>
    <row r="6" spans="2:4" x14ac:dyDescent="0.45">
      <c r="B6" t="s">
        <v>6</v>
      </c>
      <c r="C6" s="6">
        <f>Table7[[#Totals],[Total Monthly]]</f>
        <v>29.815999999999999</v>
      </c>
      <c r="D6" s="6">
        <f>Table4[[#This Row],[Cost Per Month]]*12</f>
        <v>357.79199999999997</v>
      </c>
    </row>
    <row r="7" spans="2:4" x14ac:dyDescent="0.45">
      <c r="B7" t="s">
        <v>7</v>
      </c>
      <c r="C7" s="6">
        <f>Table3[[#Totals],[Cost Per Unit]]</f>
        <v>66.069999999999993</v>
      </c>
      <c r="D7" s="6">
        <f>Table4[[#This Row],[Cost Per Month]]*12</f>
        <v>792.83999999999992</v>
      </c>
    </row>
    <row r="8" spans="2:4" x14ac:dyDescent="0.45">
      <c r="B8" t="s">
        <v>76</v>
      </c>
      <c r="C8" s="6">
        <v>78</v>
      </c>
      <c r="D8" s="6">
        <f>Table4[[#This Row],[Cost Per Month]]*12</f>
        <v>936</v>
      </c>
    </row>
    <row r="9" spans="2:4" x14ac:dyDescent="0.45">
      <c r="B9" t="s">
        <v>77</v>
      </c>
      <c r="C9" s="6">
        <f>30*1.1</f>
        <v>33</v>
      </c>
      <c r="D9" s="6">
        <f>Table4[[#This Row],[Cost Per Month]]*12</f>
        <v>396</v>
      </c>
    </row>
    <row r="10" spans="2:4" x14ac:dyDescent="0.45">
      <c r="B10" t="s">
        <v>78</v>
      </c>
      <c r="C10" s="6">
        <f>30*4</f>
        <v>120</v>
      </c>
      <c r="D10" s="6">
        <f>Table4[[#This Row],[Cost Per Month]]*12</f>
        <v>1440</v>
      </c>
    </row>
    <row r="11" spans="2:4" x14ac:dyDescent="0.45">
      <c r="B11" t="s">
        <v>8</v>
      </c>
      <c r="C11" s="6">
        <f>SUBTOTAL(109,Table4[Cost Per Month])</f>
        <v>1039.49</v>
      </c>
      <c r="D11" s="6">
        <f>SUBTOTAL(109,Table4[Cost Per Year])</f>
        <v>12473.880000000001</v>
      </c>
    </row>
    <row r="12" spans="2:4" x14ac:dyDescent="0.45">
      <c r="C12">
        <f>Table4[[#Totals],[Cost Per Month]]/30</f>
        <v>34.649666666666668</v>
      </c>
    </row>
    <row r="13" spans="2:4" x14ac:dyDescent="0.45">
      <c r="B13" t="s">
        <v>9</v>
      </c>
    </row>
    <row r="14" spans="2:4" x14ac:dyDescent="0.45">
      <c r="B14" t="s">
        <v>10</v>
      </c>
    </row>
    <row r="15" spans="2:4" x14ac:dyDescent="0.45">
      <c r="B15" t="s">
        <v>11</v>
      </c>
    </row>
    <row r="16" spans="2:4" x14ac:dyDescent="0.45">
      <c r="B16" t="s">
        <v>12</v>
      </c>
    </row>
    <row r="17" spans="2:2" x14ac:dyDescent="0.45">
      <c r="B17" t="s">
        <v>13</v>
      </c>
    </row>
    <row r="18" spans="2:2" x14ac:dyDescent="0.45">
      <c r="B18" t="s">
        <v>68</v>
      </c>
    </row>
    <row r="19" spans="2:2" x14ac:dyDescent="0.45">
      <c r="B19" t="s">
        <v>72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topLeftCell="B1" zoomScale="173" zoomScaleNormal="120" workbookViewId="0">
      <selection activeCell="E5" sqref="E5"/>
    </sheetView>
  </sheetViews>
  <sheetFormatPr defaultRowHeight="14.25" x14ac:dyDescent="0.45"/>
  <cols>
    <col min="2" max="2" width="40.1328125" customWidth="1"/>
    <col min="3" max="3" width="38.3984375" bestFit="1" customWidth="1"/>
    <col min="4" max="4" width="15.3984375" customWidth="1"/>
    <col min="5" max="5" width="13.86328125" bestFit="1" customWidth="1"/>
    <col min="6" max="6" width="14" bestFit="1" customWidth="1"/>
    <col min="7" max="7" width="10.3984375" bestFit="1" customWidth="1"/>
    <col min="8" max="8" width="16.59765625" bestFit="1" customWidth="1"/>
    <col min="9" max="9" width="17.3984375" customWidth="1"/>
    <col min="10" max="10" width="14.265625" bestFit="1" customWidth="1"/>
    <col min="11" max="11" width="17" bestFit="1" customWidth="1"/>
    <col min="12" max="12" width="20.6640625" bestFit="1" customWidth="1"/>
    <col min="13" max="13" width="18" bestFit="1" customWidth="1"/>
    <col min="14" max="14" width="25" bestFit="1" customWidth="1"/>
    <col min="15" max="15" width="23.1328125" bestFit="1" customWidth="1"/>
    <col min="16" max="16" width="22.3984375" bestFit="1" customWidth="1"/>
  </cols>
  <sheetData>
    <row r="2" spans="2:16" ht="14.65" thickBot="1" x14ac:dyDescent="0.5">
      <c r="B2" s="5" t="s">
        <v>14</v>
      </c>
    </row>
    <row r="3" spans="2:16" ht="14.65" thickTop="1" x14ac:dyDescent="0.45">
      <c r="B3" t="s">
        <v>15</v>
      </c>
      <c r="C3" t="s">
        <v>0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  <c r="J3" t="s">
        <v>22</v>
      </c>
      <c r="K3" t="s">
        <v>23</v>
      </c>
      <c r="L3" t="s">
        <v>24</v>
      </c>
      <c r="M3" t="s">
        <v>25</v>
      </c>
      <c r="N3" t="s">
        <v>26</v>
      </c>
      <c r="O3" t="s">
        <v>27</v>
      </c>
      <c r="P3" t="s">
        <v>28</v>
      </c>
    </row>
    <row r="4" spans="2:16" x14ac:dyDescent="0.45">
      <c r="B4" t="s">
        <v>74</v>
      </c>
      <c r="C4" t="s">
        <v>65</v>
      </c>
      <c r="D4" t="s">
        <v>63</v>
      </c>
      <c r="E4">
        <v>1</v>
      </c>
      <c r="F4">
        <v>3.5</v>
      </c>
      <c r="G4" t="s">
        <v>29</v>
      </c>
      <c r="H4" t="s">
        <v>30</v>
      </c>
      <c r="I4">
        <v>128</v>
      </c>
      <c r="J4" t="s">
        <v>75</v>
      </c>
      <c r="K4">
        <f>128+512</f>
        <v>640</v>
      </c>
      <c r="L4" t="s">
        <v>66</v>
      </c>
      <c r="M4" s="2">
        <v>0.121</v>
      </c>
      <c r="N4" s="1">
        <v>744</v>
      </c>
      <c r="O4" s="6">
        <f>Table1[[#This Row],[Hours Per Month]]*Table1[[#This Row],[Cost Per Hour]]</f>
        <v>90.024000000000001</v>
      </c>
      <c r="P4" s="7">
        <f>Table1[[#This Row],[Compute Cost Per Month]]*12</f>
        <v>1080.288</v>
      </c>
    </row>
    <row r="5" spans="2:16" x14ac:dyDescent="0.45">
      <c r="B5" s="1" t="s">
        <v>31</v>
      </c>
      <c r="C5" s="1" t="s">
        <v>65</v>
      </c>
      <c r="D5" s="1" t="s">
        <v>73</v>
      </c>
      <c r="E5">
        <v>4</v>
      </c>
      <c r="F5">
        <v>32</v>
      </c>
      <c r="G5" s="1" t="s">
        <v>29</v>
      </c>
      <c r="H5" s="1" t="s">
        <v>30</v>
      </c>
      <c r="I5" s="1">
        <v>128</v>
      </c>
      <c r="J5" s="1"/>
      <c r="K5" s="3"/>
      <c r="L5" t="s">
        <v>66</v>
      </c>
      <c r="M5" s="2">
        <v>0.376</v>
      </c>
      <c r="N5" s="1">
        <v>744</v>
      </c>
      <c r="O5" s="6">
        <f>Table1[[#This Row],[Hours Per Month]]*Table1[[#This Row],[Cost Per Hour]]</f>
        <v>279.74400000000003</v>
      </c>
      <c r="P5" s="7">
        <f>Table1[[#This Row],[Compute Cost Per Month]]*12</f>
        <v>3356.9280000000003</v>
      </c>
    </row>
    <row r="6" spans="2:16" x14ac:dyDescent="0.45">
      <c r="B6" s="1" t="s">
        <v>32</v>
      </c>
      <c r="C6" s="1" t="s">
        <v>65</v>
      </c>
      <c r="D6" s="1" t="s">
        <v>67</v>
      </c>
      <c r="E6">
        <v>2</v>
      </c>
      <c r="F6">
        <v>7</v>
      </c>
      <c r="G6" s="1" t="s">
        <v>29</v>
      </c>
      <c r="H6" s="1" t="s">
        <v>30</v>
      </c>
      <c r="I6" s="1">
        <v>128</v>
      </c>
      <c r="J6" s="1"/>
      <c r="K6" s="3"/>
      <c r="L6" t="s">
        <v>66</v>
      </c>
      <c r="M6" s="2">
        <v>0.24399999999999999</v>
      </c>
      <c r="N6" s="1">
        <v>744</v>
      </c>
      <c r="O6" s="6">
        <f>Table1[[#This Row],[Hours Per Month]]*Table1[[#This Row],[Cost Per Hour]]</f>
        <v>181.536</v>
      </c>
      <c r="P6" s="7">
        <f>Table1[[#This Row],[Compute Cost Per Month]]*12</f>
        <v>2178.4319999999998</v>
      </c>
    </row>
    <row r="7" spans="2:16" x14ac:dyDescent="0.45">
      <c r="B7" s="4" t="s">
        <v>8</v>
      </c>
      <c r="C7" s="4"/>
      <c r="D7" s="4"/>
      <c r="E7">
        <f>SUBTOTAL(109,Table1[CPU])</f>
        <v>7</v>
      </c>
      <c r="F7">
        <f>SUBTOTAL(109,Table1[MEM])</f>
        <v>42.5</v>
      </c>
      <c r="G7" s="1"/>
      <c r="H7" s="1"/>
      <c r="I7" s="4">
        <f>SUBTOTAL(109,Table1[OS Storage GB])</f>
        <v>384</v>
      </c>
      <c r="J7" s="4"/>
      <c r="K7">
        <f>SUBTOTAL(109,Table1[Data Storage GB])</f>
        <v>640</v>
      </c>
      <c r="M7" s="4"/>
      <c r="N7" s="4"/>
      <c r="O7" s="8">
        <f>SUBTOTAL(109,Table1[Compute Cost Per Month])</f>
        <v>551.30400000000009</v>
      </c>
      <c r="P7" s="7">
        <f>SUBTOTAL(109,Table1[Compute Cost Per Year])</f>
        <v>6615.6480000000001</v>
      </c>
    </row>
    <row r="10" spans="2:16" x14ac:dyDescent="0.45">
      <c r="B10" t="s">
        <v>9</v>
      </c>
    </row>
    <row r="16" spans="2:16" x14ac:dyDescent="0.45">
      <c r="O16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25"/>
  <sheetViews>
    <sheetView topLeftCell="A4" zoomScale="160" workbookViewId="0">
      <selection activeCell="D25" sqref="D25"/>
    </sheetView>
  </sheetViews>
  <sheetFormatPr defaultRowHeight="14.25" x14ac:dyDescent="0.45"/>
  <cols>
    <col min="2" max="2" width="43.3984375" customWidth="1"/>
    <col min="3" max="3" width="15.73046875" bestFit="1" customWidth="1"/>
    <col min="4" max="4" width="12.265625" bestFit="1" customWidth="1"/>
    <col min="5" max="5" width="25.265625" bestFit="1" customWidth="1"/>
    <col min="6" max="6" width="13.73046875" bestFit="1" customWidth="1"/>
  </cols>
  <sheetData>
    <row r="2" spans="2:7" ht="14.65" thickBot="1" x14ac:dyDescent="0.5">
      <c r="B2" s="5" t="s">
        <v>33</v>
      </c>
    </row>
    <row r="3" spans="2:7" ht="14.65" thickTop="1" x14ac:dyDescent="0.45">
      <c r="B3" t="s">
        <v>0</v>
      </c>
      <c r="C3" t="s">
        <v>34</v>
      </c>
    </row>
    <row r="4" spans="2:7" x14ac:dyDescent="0.45">
      <c r="B4" t="s">
        <v>35</v>
      </c>
      <c r="C4">
        <f>Table1[[#Totals],[OS Storage GB]]</f>
        <v>384</v>
      </c>
    </row>
    <row r="5" spans="2:7" x14ac:dyDescent="0.45">
      <c r="B5" t="s">
        <v>36</v>
      </c>
      <c r="C5">
        <f>Table1[[#Totals],[Data Storage GB]]</f>
        <v>640</v>
      </c>
    </row>
    <row r="6" spans="2:7" x14ac:dyDescent="0.45">
      <c r="B6" t="s">
        <v>69</v>
      </c>
      <c r="C6">
        <f>C5+C4</f>
        <v>1024</v>
      </c>
    </row>
    <row r="7" spans="2:7" x14ac:dyDescent="0.45">
      <c r="B7" t="s">
        <v>8</v>
      </c>
      <c r="C7">
        <f>SUBTOTAL(109,Table2[GB])</f>
        <v>2048</v>
      </c>
    </row>
    <row r="9" spans="2:7" x14ac:dyDescent="0.45">
      <c r="B9" t="s">
        <v>9</v>
      </c>
    </row>
    <row r="10" spans="2:7" x14ac:dyDescent="0.45">
      <c r="B10" t="s">
        <v>37</v>
      </c>
    </row>
    <row r="11" spans="2:7" x14ac:dyDescent="0.45">
      <c r="B11" t="s">
        <v>38</v>
      </c>
    </row>
    <row r="12" spans="2:7" x14ac:dyDescent="0.45">
      <c r="B12" t="s">
        <v>39</v>
      </c>
    </row>
    <row r="14" spans="2:7" ht="14.65" thickBot="1" x14ac:dyDescent="0.5">
      <c r="B14" s="5" t="s">
        <v>40</v>
      </c>
    </row>
    <row r="15" spans="2:7" ht="14.65" thickTop="1" x14ac:dyDescent="0.45">
      <c r="B15" t="s">
        <v>41</v>
      </c>
      <c r="C15" t="s">
        <v>42</v>
      </c>
      <c r="D15" t="s">
        <v>43</v>
      </c>
      <c r="E15" t="s">
        <v>44</v>
      </c>
      <c r="F15" t="s">
        <v>45</v>
      </c>
    </row>
    <row r="16" spans="2:7" x14ac:dyDescent="0.45">
      <c r="B16" t="s">
        <v>46</v>
      </c>
      <c r="C16" s="6">
        <v>2.41</v>
      </c>
      <c r="D16">
        <v>0</v>
      </c>
      <c r="E16" s="6">
        <f>Table5[[#This Row],[Cost per month]]*Table5[[#This Row],[Units]]</f>
        <v>0</v>
      </c>
      <c r="F16" s="6">
        <f>Table5[[#This Row],[Total per month]]*12</f>
        <v>0</v>
      </c>
      <c r="G16" s="6"/>
    </row>
    <row r="17" spans="2:7" x14ac:dyDescent="0.45">
      <c r="B17" t="s">
        <v>47</v>
      </c>
      <c r="C17" s="6">
        <v>16.16</v>
      </c>
      <c r="D17">
        <v>4</v>
      </c>
      <c r="E17" s="6">
        <f>Table5[[#This Row],[Cost per month]]*Table5[[#This Row],[Units]]</f>
        <v>64.64</v>
      </c>
      <c r="F17" s="6">
        <f>Table5[[#This Row],[Total per month]]*12</f>
        <v>775.68000000000006</v>
      </c>
      <c r="G17" s="6"/>
    </row>
    <row r="18" spans="2:7" x14ac:dyDescent="0.45">
      <c r="B18" t="s">
        <v>64</v>
      </c>
      <c r="C18" s="6">
        <v>60.03</v>
      </c>
      <c r="D18">
        <v>1</v>
      </c>
      <c r="E18" s="6">
        <f>Table5[[#This Row],[Cost per month]]*Table5[[#This Row],[Units]]</f>
        <v>60.03</v>
      </c>
      <c r="F18" s="6">
        <f>Table5[[#This Row],[Total per month]]*12</f>
        <v>720.36</v>
      </c>
      <c r="G18" s="6"/>
    </row>
    <row r="19" spans="2:7" x14ac:dyDescent="0.45">
      <c r="B19" t="s">
        <v>48</v>
      </c>
      <c r="C19" s="6">
        <v>121.89</v>
      </c>
      <c r="D19">
        <v>0</v>
      </c>
      <c r="E19" s="6">
        <f>Table5[[#This Row],[Cost per month]]*Table5[[#This Row],[Units]]</f>
        <v>0</v>
      </c>
      <c r="F19" s="6">
        <f>Table5[[#This Row],[Total per month]]*12</f>
        <v>0</v>
      </c>
    </row>
    <row r="20" spans="2:7" x14ac:dyDescent="0.45">
      <c r="B20" t="s">
        <v>8</v>
      </c>
      <c r="E20" s="6">
        <f>SUBTOTAL(109,Table5[Total per month])</f>
        <v>124.67</v>
      </c>
      <c r="F20" s="6">
        <f>SUBTOTAL(109,Table5[Per Year])</f>
        <v>1496.04</v>
      </c>
    </row>
    <row r="22" spans="2:7" ht="14.65" thickBot="1" x14ac:dyDescent="0.5">
      <c r="B22" s="5" t="s">
        <v>49</v>
      </c>
    </row>
    <row r="23" spans="2:7" ht="14.65" thickTop="1" x14ac:dyDescent="0.45">
      <c r="B23" t="s">
        <v>41</v>
      </c>
      <c r="C23" t="s">
        <v>42</v>
      </c>
      <c r="D23" t="s">
        <v>43</v>
      </c>
      <c r="E23" t="s">
        <v>44</v>
      </c>
      <c r="F23" t="s">
        <v>45</v>
      </c>
    </row>
    <row r="24" spans="2:7" x14ac:dyDescent="0.45">
      <c r="B24" t="s">
        <v>50</v>
      </c>
      <c r="C24" s="6">
        <v>36.630000000000003</v>
      </c>
      <c r="D24">
        <v>1</v>
      </c>
      <c r="E24" s="6">
        <f>Table57[[#This Row],[Cost per month]]*Table57[[#This Row],[Units]]</f>
        <v>36.630000000000003</v>
      </c>
      <c r="F24" s="6">
        <f>Table57[[#This Row],[Total per month]]*12</f>
        <v>439.56000000000006</v>
      </c>
    </row>
    <row r="25" spans="2:7" x14ac:dyDescent="0.45">
      <c r="B25" t="s">
        <v>8</v>
      </c>
      <c r="E25" s="6">
        <f>SUBTOTAL(109,Table57[Total per month])</f>
        <v>36.630000000000003</v>
      </c>
      <c r="F25" s="6">
        <f>SUBTOTAL(109,Table57[Per Year])</f>
        <v>439.56000000000006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F22"/>
  <sheetViews>
    <sheetView zoomScale="99" workbookViewId="0">
      <selection activeCell="M16" sqref="M16"/>
    </sheetView>
  </sheetViews>
  <sheetFormatPr defaultRowHeight="14.25" x14ac:dyDescent="0.45"/>
  <cols>
    <col min="2" max="2" width="21" customWidth="1"/>
    <col min="4" max="4" width="19.06640625" customWidth="1"/>
    <col min="5" max="5" width="14.53125" bestFit="1" customWidth="1"/>
    <col min="6" max="6" width="10.265625" bestFit="1" customWidth="1"/>
  </cols>
  <sheetData>
    <row r="2" spans="2:6" x14ac:dyDescent="0.45">
      <c r="B2" t="s">
        <v>0</v>
      </c>
      <c r="C2" t="s">
        <v>43</v>
      </c>
      <c r="D2" t="s">
        <v>51</v>
      </c>
      <c r="E2" t="s">
        <v>52</v>
      </c>
      <c r="F2" t="s">
        <v>53</v>
      </c>
    </row>
    <row r="3" spans="2:6" x14ac:dyDescent="0.45">
      <c r="B3" t="s">
        <v>54</v>
      </c>
      <c r="C3">
        <v>4</v>
      </c>
      <c r="D3" s="6">
        <v>7.4539999999999997</v>
      </c>
      <c r="E3" s="6">
        <f>C3*D3</f>
        <v>29.815999999999999</v>
      </c>
      <c r="F3" s="6">
        <f>D3*E3</f>
        <v>222.24846399999998</v>
      </c>
    </row>
    <row r="4" spans="2:6" x14ac:dyDescent="0.45">
      <c r="B4" t="s">
        <v>8</v>
      </c>
      <c r="D4" s="6"/>
      <c r="E4" s="6">
        <f>SUBTOTAL(109,Table7[Total Monthly])</f>
        <v>29.815999999999999</v>
      </c>
      <c r="F4" s="6">
        <f>SUBTOTAL(109,Table7[Annually])</f>
        <v>222.24846399999998</v>
      </c>
    </row>
    <row r="17" spans="2:2" x14ac:dyDescent="0.45">
      <c r="B17" t="s">
        <v>9</v>
      </c>
    </row>
    <row r="18" spans="2:2" x14ac:dyDescent="0.45">
      <c r="B18" t="s">
        <v>55</v>
      </c>
    </row>
    <row r="19" spans="2:2" x14ac:dyDescent="0.45">
      <c r="B19" t="s">
        <v>56</v>
      </c>
    </row>
    <row r="20" spans="2:2" x14ac:dyDescent="0.45">
      <c r="B20" t="s">
        <v>57</v>
      </c>
    </row>
    <row r="21" spans="2:2" x14ac:dyDescent="0.45">
      <c r="B21" t="s">
        <v>58</v>
      </c>
    </row>
    <row r="22" spans="2:2" x14ac:dyDescent="0.45">
      <c r="B22" t="s">
        <v>59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F10"/>
  <sheetViews>
    <sheetView zoomScale="138" workbookViewId="0">
      <selection activeCell="E8" sqref="E8"/>
    </sheetView>
  </sheetViews>
  <sheetFormatPr defaultRowHeight="14.25" x14ac:dyDescent="0.45"/>
  <cols>
    <col min="2" max="2" width="31.33203125" customWidth="1"/>
    <col min="4" max="4" width="15.73046875" bestFit="1" customWidth="1"/>
    <col min="5" max="5" width="15.6640625" bestFit="1" customWidth="1"/>
    <col min="6" max="6" width="13.6640625" bestFit="1" customWidth="1"/>
  </cols>
  <sheetData>
    <row r="3" spans="2:6" x14ac:dyDescent="0.45">
      <c r="B3" t="s">
        <v>0</v>
      </c>
      <c r="C3" t="s">
        <v>43</v>
      </c>
      <c r="D3" t="s">
        <v>70</v>
      </c>
      <c r="E3" t="s">
        <v>1</v>
      </c>
      <c r="F3" t="s">
        <v>2</v>
      </c>
    </row>
    <row r="4" spans="2:6" x14ac:dyDescent="0.45">
      <c r="B4" t="s">
        <v>71</v>
      </c>
      <c r="C4">
        <v>1</v>
      </c>
      <c r="D4" s="7">
        <v>66.069999999999993</v>
      </c>
      <c r="E4" s="7">
        <f>Table3[[#This Row],[Units]]*Table3[[#This Row],[Cost Per Unit]]</f>
        <v>66.069999999999993</v>
      </c>
      <c r="F4" s="7">
        <f>Table3[[#This Row],[Cost Per Month]]*12</f>
        <v>792.83999999999992</v>
      </c>
    </row>
    <row r="5" spans="2:6" x14ac:dyDescent="0.45">
      <c r="B5" t="s">
        <v>8</v>
      </c>
      <c r="D5" s="7">
        <f>SUBTOTAL(109,Table3[Cost Per Unit])</f>
        <v>66.069999999999993</v>
      </c>
      <c r="E5" s="7">
        <f>SUBTOTAL(109,Table3[Cost Per Month])</f>
        <v>66.069999999999993</v>
      </c>
      <c r="F5" s="7">
        <f>SUBTOTAL(109,Table3[Cost Per Year])</f>
        <v>792.83999999999992</v>
      </c>
    </row>
    <row r="6" spans="2:6" x14ac:dyDescent="0.45">
      <c r="D6" s="7"/>
      <c r="E6" s="7"/>
    </row>
    <row r="7" spans="2:6" x14ac:dyDescent="0.45">
      <c r="B7" t="s">
        <v>9</v>
      </c>
    </row>
    <row r="8" spans="2:6" x14ac:dyDescent="0.45">
      <c r="B8" t="s">
        <v>60</v>
      </c>
    </row>
    <row r="9" spans="2:6" x14ac:dyDescent="0.45">
      <c r="B9" t="s">
        <v>61</v>
      </c>
    </row>
    <row r="10" spans="2:6" x14ac:dyDescent="0.45">
      <c r="B10" t="s">
        <v>62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Virtual Machines</vt:lpstr>
      <vt:lpstr>Storage</vt:lpstr>
      <vt:lpstr>Backup Agents</vt:lpstr>
      <vt:lpstr>Network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Gavin McShera</dc:creator>
  <cp:keywords/>
  <dc:description/>
  <cp:lastModifiedBy>Gavin McShera</cp:lastModifiedBy>
  <cp:revision/>
  <dcterms:created xsi:type="dcterms:W3CDTF">2015-11-18T15:48:26Z</dcterms:created>
  <dcterms:modified xsi:type="dcterms:W3CDTF">2017-09-28T10:55:28Z</dcterms:modified>
  <cp:category/>
  <cp:contentStatus/>
</cp:coreProperties>
</file>