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https://mcshera-my.sharepoint.com/personal/gavin_mcshera_com/Documents/Clients/Westcoast/Elite Partner Training/"/>
    </mc:Choice>
  </mc:AlternateContent>
  <bookViews>
    <workbookView xWindow="0" yWindow="0" windowWidth="22500" windowHeight="9780"/>
  </bookViews>
  <sheets>
    <sheet name="Summary" sheetId="4" r:id="rId1"/>
    <sheet name="Virtual Machines" sheetId="1" r:id="rId2"/>
    <sheet name="Storage" sheetId="2" r:id="rId3"/>
    <sheet name="Backup Agents" sheetId="5" r:id="rId4"/>
    <sheet name="Network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6" i="3"/>
  <c r="D5" i="3"/>
  <c r="E5" i="3"/>
  <c r="O8" i="1" l="1"/>
  <c r="P8" i="1" s="1"/>
  <c r="O7" i="1"/>
  <c r="P7" i="1" s="1"/>
  <c r="D4" i="3" l="1"/>
  <c r="C5" i="4"/>
  <c r="E23" i="2"/>
  <c r="F23" i="2" s="1"/>
  <c r="E24" i="2"/>
  <c r="E18" i="2"/>
  <c r="F18" i="2" s="1"/>
  <c r="F9" i="1"/>
  <c r="E17" i="2"/>
  <c r="F17" i="2" s="1"/>
  <c r="O4" i="1"/>
  <c r="P4" i="1" s="1"/>
  <c r="O5" i="1"/>
  <c r="P5" i="1" s="1"/>
  <c r="O6" i="1"/>
  <c r="P6" i="1" s="1"/>
  <c r="F24" i="2" l="1"/>
  <c r="E9" i="1"/>
  <c r="E3" i="5" l="1"/>
  <c r="F3" i="5" s="1"/>
  <c r="F4" i="5" s="1"/>
  <c r="E4" i="5" l="1"/>
  <c r="C6" i="4" s="1"/>
  <c r="D6" i="4" s="1"/>
  <c r="E16" i="2" l="1"/>
  <c r="F16" i="2" s="1"/>
  <c r="F19" i="2" s="1"/>
  <c r="E19" i="2" l="1"/>
  <c r="C4" i="4" s="1"/>
  <c r="E4" i="3" l="1"/>
  <c r="E6" i="3" s="1"/>
  <c r="D7" i="4" s="1"/>
  <c r="K9" i="1"/>
  <c r="C5" i="2" s="1"/>
  <c r="C6" i="2" s="1"/>
  <c r="I9" i="1"/>
  <c r="C4" i="2" s="1"/>
  <c r="C7" i="2" l="1"/>
  <c r="O9" i="1"/>
  <c r="P9" i="1"/>
  <c r="C3" i="4" l="1"/>
  <c r="D3" i="4" s="1"/>
  <c r="D5" i="4" l="1"/>
  <c r="D4" i="4" l="1"/>
  <c r="D8" i="4" s="1"/>
  <c r="C8" i="4"/>
</calcChain>
</file>

<file path=xl/sharedStrings.xml><?xml version="1.0" encoding="utf-8"?>
<sst xmlns="http://schemas.openxmlformats.org/spreadsheetml/2006/main" count="125" uniqueCount="89">
  <si>
    <t>Servername</t>
  </si>
  <si>
    <t>VM Size</t>
  </si>
  <si>
    <t>Description</t>
  </si>
  <si>
    <t>SQL VM</t>
  </si>
  <si>
    <t>Storage Type</t>
  </si>
  <si>
    <t>Cost Per Hour</t>
  </si>
  <si>
    <t>Hours Per Month</t>
  </si>
  <si>
    <t>Cost Per Month</t>
  </si>
  <si>
    <t>OS Storage GB</t>
  </si>
  <si>
    <t>CPU</t>
  </si>
  <si>
    <t>MEM</t>
  </si>
  <si>
    <t>Data Storage GB</t>
  </si>
  <si>
    <t>Compute Cost Per Month</t>
  </si>
  <si>
    <t>Total</t>
  </si>
  <si>
    <t>GB</t>
  </si>
  <si>
    <t>Per Year</t>
  </si>
  <si>
    <t>Backup Vault</t>
  </si>
  <si>
    <t>Compute Cost Per Year</t>
  </si>
  <si>
    <t>TB</t>
  </si>
  <si>
    <t>Egress Traffic Europe</t>
  </si>
  <si>
    <t>Cost Per Year</t>
  </si>
  <si>
    <t>Notes:</t>
  </si>
  <si>
    <t>Databases cannot be stored on OS disks due to caching configuration</t>
  </si>
  <si>
    <t>VM Storage is Locally Redundant (LRS)</t>
  </si>
  <si>
    <t>Backup storage is Geo Redundant (GRS)</t>
  </si>
  <si>
    <t>Standard VMs</t>
  </si>
  <si>
    <t>Cost per month</t>
  </si>
  <si>
    <t>Disk Type</t>
  </si>
  <si>
    <t>Total per month</t>
  </si>
  <si>
    <t>Total Summary</t>
  </si>
  <si>
    <t>All data disks have cache disabled</t>
  </si>
  <si>
    <t>Units</t>
  </si>
  <si>
    <t>Azure Backup has a cost per instance.  If a VM is backed up at VM and File level it counts as 2 instances.</t>
  </si>
  <si>
    <t xml:space="preserve">For the purpose of this estimate VMs are assumed to be &gt; 50 but &lt; or = 500GB.  </t>
  </si>
  <si>
    <t>The instance (agent cost) is calculated BEFORE compression.  The storage is calculated on actual storage after compression</t>
  </si>
  <si>
    <t>Azure VM Instances</t>
  </si>
  <si>
    <t>Agent Cost</t>
  </si>
  <si>
    <t>Total Monthly</t>
  </si>
  <si>
    <t>Annually</t>
  </si>
  <si>
    <t>Backup Agents</t>
  </si>
  <si>
    <t>All costs are estimates based on public pricing and the thresholds listed in this sheet.  Actual costs and usage will vary based on usage and billing cycle</t>
  </si>
  <si>
    <t>Compute</t>
  </si>
  <si>
    <t>Storage</t>
  </si>
  <si>
    <t>Figures are based on 744 hours per month</t>
  </si>
  <si>
    <t>Domain Controller 1</t>
  </si>
  <si>
    <t>Domain Controller in Availability Set</t>
  </si>
  <si>
    <t>Domain Controller 2</t>
  </si>
  <si>
    <t>No</t>
  </si>
  <si>
    <t>OS Disk</t>
  </si>
  <si>
    <t>Data Disk</t>
  </si>
  <si>
    <t>Managed Disks</t>
  </si>
  <si>
    <t>S10 x 1</t>
  </si>
  <si>
    <t>S10 [128GB - Managed Disk]</t>
  </si>
  <si>
    <t>DS3v2</t>
  </si>
  <si>
    <t>P10 x 1</t>
  </si>
  <si>
    <t>Premium Disks</t>
  </si>
  <si>
    <t>P10 [128GB - Premium Disk]</t>
  </si>
  <si>
    <t>Single VMs need Premium Disk to have SLA</t>
  </si>
  <si>
    <t>Domain Controllers each have an S10 disk for SYSVOL.  Not suported to have SYSVOL on cached OS disks.</t>
  </si>
  <si>
    <t>Yes (STD)</t>
  </si>
  <si>
    <t>P30 x 2</t>
  </si>
  <si>
    <t>SQL Server Standard Edition 2016</t>
  </si>
  <si>
    <t>OS Storage</t>
  </si>
  <si>
    <t>Data Storage</t>
  </si>
  <si>
    <t>P30 [1024GB - Premium Disk]</t>
  </si>
  <si>
    <t>Backup cost estimated at 100% of VM storage rounded to nearest TB for estimate purpose.  Actual backup storage will depend on the backup schedule, retention and the compression achieved.</t>
  </si>
  <si>
    <t>Storage Cost Summary</t>
  </si>
  <si>
    <t>Backup Vault per TB - GRS</t>
  </si>
  <si>
    <t xml:space="preserve">Backup Vault </t>
  </si>
  <si>
    <t>Backup Vault Minimum</t>
  </si>
  <si>
    <t>All inbound traffic is free.</t>
  </si>
  <si>
    <t>Assuming that there is no external access and that all traffic is via the VPN</t>
  </si>
  <si>
    <t>Assuming that customer devices meet requirements as per https://docs.microsoft.com/en-us/azure/vpn-gateway/vpn-gateway-about-vpn-devices</t>
  </si>
  <si>
    <t>Network Costs</t>
  </si>
  <si>
    <t>This is for estimate purpose only and does not constitute a formal design or quote.  Final costs are subject to the final design.</t>
  </si>
  <si>
    <t>Costs do not include licensing outsidef of Azure related product e.g. Does not include RDS CAL, Office 365 etc</t>
  </si>
  <si>
    <t>VM Backs are taken daily.  Retention will directly impact costs.</t>
  </si>
  <si>
    <t>SQL database backups do not use a Back Vault.  They use Blob Storage.  Additional info required to calculate blob requirements.</t>
  </si>
  <si>
    <t>SQL Server 1</t>
  </si>
  <si>
    <t>Application Server 1</t>
  </si>
  <si>
    <t>Application Server 2</t>
  </si>
  <si>
    <t>SQL Enterprsie gives Always On functionality for highly available and critical applications.  It is possible to have Always On using Standard Edition if there is a single database.  https://docs.microsoft.com/en-us/sql/database-engine/availability-groups/windows/basic-availability-groups-always-on-availability-groups</t>
  </si>
  <si>
    <t>D2v2</t>
  </si>
  <si>
    <t>S10 x1</t>
  </si>
  <si>
    <t>All Windows OS are Windows Server 2012/2016</t>
  </si>
  <si>
    <t>SQL Server 2016  will be used for SQL.  Premium Storage used for SQL as per Microsoft support guidelines.  https://docs.microsoft.com/en-us/azure/virtual-machines/windows/sql/virtual-machines-windows-sql-performance</t>
  </si>
  <si>
    <t>Load Balanced Application Server</t>
  </si>
  <si>
    <t>A2v2</t>
  </si>
  <si>
    <t>Standard VPN Gateway (744)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</si>
</sst>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GBP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/>
    <xf numFmtId="165" fontId="0" fillId="0" borderId="0" xfId="0" applyNumberFormat="1" applyFill="1"/>
    <xf numFmtId="165" fontId="0" fillId="0" borderId="0" xfId="0" applyNumberFormat="1"/>
    <xf numFmtId="165" fontId="0" fillId="0" borderId="0" xfId="0" applyNumberFormat="1" applyFont="1" applyFill="1" applyBorder="1" applyAlignment="1" applyProtection="1"/>
  </cellXfs>
  <cellStyles count="1">
    <cellStyle name="Normal" xfId="0" builtinId="0"/>
  </cellStyles>
  <dxfs count="41"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GBP]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GBP]\ #,##0.00"/>
    </dxf>
    <dxf>
      <numFmt numFmtId="165" formatCode="[$GBP]\ #,##0.00"/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</dxf>
    <dxf>
      <numFmt numFmtId="165" formatCode="[$GBP]\ #,##0.00"/>
    </dxf>
    <dxf>
      <numFmt numFmtId="164" formatCode="0.000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586892</xdr:colOff>
      <xdr:row>4</xdr:row>
      <xdr:rowOff>146811</xdr:rowOff>
    </xdr:from>
    <xdr:to>
      <xdr:col>11</xdr:col>
      <xdr:colOff>506118</xdr:colOff>
      <xdr:row>15</xdr:row>
      <xdr:rowOff>27255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0CC54F-36D0-419B-B9CA-BF40E95CB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892" y="878023"/>
          <a:ext cx="8467673" cy="18912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B2:D8" totalsRowCount="1">
  <autoFilter ref="B2:D7"/>
  <tableColumns count="3">
    <tableColumn id="1" name="Description" totalsRowLabel="Total"/>
    <tableColumn id="2" name="Cost Per Month" totalsRowFunction="sum" dataDxfId="40" totalsRowDxfId="1"/>
    <tableColumn id="3" name="Cost Per Year" totalsRowFunction="sum" dataDxfId="39" totalsRowDxfId="0">
      <calculatedColumnFormula>Table4[[#This Row],[Cost Per Month]]*12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:P9" totalsRowCount="1">
  <autoFilter ref="B3:P8"/>
  <tableColumns count="15">
    <tableColumn id="1" name="Servername" totalsRowLabel="Total" totalsRowDxfId="20" dataCellStyle="Normal"/>
    <tableColumn id="2" name="Description" totalsRowDxfId="19" dataCellStyle="Normal"/>
    <tableColumn id="3" name="VM Size" totalsRowDxfId="18" dataCellStyle="Normal"/>
    <tableColumn id="10" name="CPU" totalsRowFunction="sum"/>
    <tableColumn id="11" name="MEM" totalsRowFunction="sum"/>
    <tableColumn id="8" name="SQL VM" dataDxfId="38" totalsRowDxfId="17"/>
    <tableColumn id="14" name="OS Disk" dataDxfId="37" totalsRowDxfId="16"/>
    <tableColumn id="4" name="OS Storage GB" totalsRowFunction="sum" totalsRowDxfId="15" dataCellStyle="Normal"/>
    <tableColumn id="15" name="Data Disk" dataDxfId="36" totalsRowDxfId="14"/>
    <tableColumn id="12" name="Data Storage GB" totalsRowFunction="sum" dataDxfId="35"/>
    <tableColumn id="5" name="Storage Type"/>
    <tableColumn id="6" name="Cost Per Hour" dataDxfId="34" totalsRowDxfId="13" dataCellStyle="Normal"/>
    <tableColumn id="7" name="Hours Per Month" totalsRowDxfId="12" dataCellStyle="Normal"/>
    <tableColumn id="9" name="Compute Cost Per Month" totalsRowFunction="sum" dataDxfId="33" totalsRowDxfId="11" dataCellStyle="Normal">
      <calculatedColumnFormula>Table1[[#This Row],[Hours Per Month]]*Table1[[#This Row],[Cost Per Hour]]</calculatedColumnFormula>
    </tableColumn>
    <tableColumn id="17" name="Compute Cost Per Year" totalsRowFunction="sum" dataDxfId="32" totalsRowDxfId="10">
      <calculatedColumnFormula>Table1[[#This Row],[Compute Cost Per Month]]*12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3:C7" totalsRowCount="1">
  <autoFilter ref="B3:C6"/>
  <tableColumns count="2">
    <tableColumn id="1" name="Description" totalsRowLabel="Total"/>
    <tableColumn id="2" name="GB" totalsRowFunction="sum">
      <calculatedColumnFormula>C3*2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15:F19" totalsRowCount="1">
  <autoFilter ref="B15:F18"/>
  <tableColumns count="5">
    <tableColumn id="1" name="Disk Type" totalsRowLabel="Total"/>
    <tableColumn id="2" name="Cost per month" dataDxfId="31"/>
    <tableColumn id="3" name="Units"/>
    <tableColumn id="4" name="Total per month" totalsRowFunction="sum" dataDxfId="30" totalsRowDxfId="9">
      <calculatedColumnFormula>Table5[[#This Row],[Cost per month]]*Table5[[#This Row],[Units]]</calculatedColumnFormula>
    </tableColumn>
    <tableColumn id="5" name="Per Year" totalsRowFunction="sum" dataDxfId="29" totalsRowDxfId="8">
      <calculatedColumnFormula>Table5[[#This Row],[Total per month]]*12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6" name="Table57" displayName="Table57" ref="B22:F24" totalsRowCount="1">
  <autoFilter ref="B22:F23"/>
  <tableColumns count="5">
    <tableColumn id="1" name="Disk Type" totalsRowLabel="Total"/>
    <tableColumn id="2" name="Cost per month" dataDxfId="28"/>
    <tableColumn id="3" name="Units"/>
    <tableColumn id="4" name="Total per month" totalsRowFunction="sum" dataDxfId="27" totalsRowDxfId="7">
      <calculatedColumnFormula>Table57[[#This Row],[Cost per month]]*Table57[[#This Row],[Units]]</calculatedColumnFormula>
    </tableColumn>
    <tableColumn id="5" name="Per Year" totalsRowFunction="sum" dataDxfId="26" totalsRowDxfId="6">
      <calculatedColumnFormula>Table57[[#This Row],[Total per month]]*12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B2:F4" totalsRowCount="1">
  <autoFilter ref="B2:F3"/>
  <tableColumns count="5">
    <tableColumn id="1" name="Description" totalsRowLabel="Total"/>
    <tableColumn id="2" name="Units"/>
    <tableColumn id="3" name="Agent Cost" dataDxfId="25" totalsRowDxfId="5"/>
    <tableColumn id="4" name="Total Monthly" totalsRowFunction="sum" dataDxfId="24" totalsRowDxfId="4">
      <calculatedColumnFormula>C3*D3</calculatedColumnFormula>
    </tableColumn>
    <tableColumn id="5" name="Annually" totalsRowFunction="sum" dataDxfId="23" totalsRowDxfId="3">
      <calculatedColumnFormula>D3*E3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B3:E6" totalsRowCount="1">
  <autoFilter ref="B3:E5"/>
  <tableColumns count="4">
    <tableColumn id="1" name="Description" totalsRowLabel="Total"/>
    <tableColumn id="2" name="TB"/>
    <tableColumn id="3" name="Cost Per Month" totalsRowFunction="sum" dataDxfId="22">
      <calculatedColumnFormula>66.07</calculatedColumnFormula>
    </tableColumn>
    <tableColumn id="4" name="Cost Per Year" totalsRowFunction="sum" dataDxfId="21" totalsRowDxfId="2">
      <calculatedColumnFormula>D4*12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zoomScale="157" zoomScaleNormal="120" workbookViewId="0">
      <selection activeCell="D8" sqref="D8"/>
    </sheetView>
  </sheetViews>
  <sheetFormatPr defaultRowHeight="14.25" x14ac:dyDescent="0.45"/>
  <cols>
    <col min="2" max="2" width="26.1328125" customWidth="1"/>
    <col min="3" max="3" width="15.6640625" bestFit="1" customWidth="1"/>
    <col min="4" max="4" width="13.6640625" bestFit="1" customWidth="1"/>
  </cols>
  <sheetData>
    <row r="2" spans="2:4" x14ac:dyDescent="0.45">
      <c r="B2" t="s">
        <v>2</v>
      </c>
      <c r="C2" t="s">
        <v>7</v>
      </c>
      <c r="D2" t="s">
        <v>20</v>
      </c>
    </row>
    <row r="3" spans="2:4" x14ac:dyDescent="0.45">
      <c r="B3" t="s">
        <v>41</v>
      </c>
      <c r="C3" s="6">
        <f>Table1[[#Totals],[Compute Cost Per Month]]</f>
        <v>1123.44</v>
      </c>
      <c r="D3" s="6">
        <f>Table4[[#This Row],[Cost Per Month]]*12</f>
        <v>13481.28</v>
      </c>
    </row>
    <row r="4" spans="2:4" x14ac:dyDescent="0.45">
      <c r="B4" t="s">
        <v>42</v>
      </c>
      <c r="C4" s="6">
        <f>Table5[[#Totals],[Total per month]]</f>
        <v>276.01</v>
      </c>
      <c r="D4" s="6">
        <f>Table4[[#This Row],[Cost Per Month]]*12</f>
        <v>3312.12</v>
      </c>
    </row>
    <row r="5" spans="2:4" x14ac:dyDescent="0.45">
      <c r="B5" t="s">
        <v>16</v>
      </c>
      <c r="C5" s="6">
        <f>Table57[Total per month]</f>
        <v>137.37</v>
      </c>
      <c r="D5" s="6">
        <f>Table4[[#This Row],[Cost Per Month]]*12</f>
        <v>1648.44</v>
      </c>
    </row>
    <row r="6" spans="2:4" x14ac:dyDescent="0.45">
      <c r="B6" t="s">
        <v>39</v>
      </c>
      <c r="C6" s="6">
        <f>Table7[[#Totals],[Total Monthly]]</f>
        <v>37.269999999999996</v>
      </c>
      <c r="D6" s="6">
        <f>Table4[[#This Row],[Cost Per Month]]*12</f>
        <v>447.23999999999995</v>
      </c>
    </row>
    <row r="7" spans="2:4" x14ac:dyDescent="0.45">
      <c r="B7" t="s">
        <v>73</v>
      </c>
      <c r="C7" s="6">
        <f>Table3[[#Totals],[Cost Per Month]]</f>
        <v>171.37</v>
      </c>
      <c r="D7" s="6">
        <f>Table4[[#This Row],[Cost Per Month]]*12</f>
        <v>2056.44</v>
      </c>
    </row>
    <row r="8" spans="2:4" x14ac:dyDescent="0.45">
      <c r="B8" t="s">
        <v>13</v>
      </c>
      <c r="C8" s="6">
        <f>SUBTOTAL(109,Table4[Cost Per Month])</f>
        <v>1745.46</v>
      </c>
      <c r="D8" s="6">
        <f>SUBTOTAL(109,Table4[Cost Per Year])</f>
        <v>20945.52</v>
      </c>
    </row>
    <row r="10" spans="2:4" x14ac:dyDescent="0.45">
      <c r="B10" t="s">
        <v>21</v>
      </c>
    </row>
    <row r="11" spans="2:4" x14ac:dyDescent="0.45">
      <c r="B11" t="s">
        <v>40</v>
      </c>
    </row>
    <row r="12" spans="2:4" x14ac:dyDescent="0.45">
      <c r="B12" t="s">
        <v>43</v>
      </c>
    </row>
    <row r="13" spans="2:4" x14ac:dyDescent="0.45">
      <c r="B13" t="s">
        <v>74</v>
      </c>
    </row>
    <row r="14" spans="2:4" x14ac:dyDescent="0.45">
      <c r="B14" t="s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zoomScale="146" zoomScaleNormal="90" workbookViewId="0">
      <selection activeCell="O6" sqref="O6"/>
    </sheetView>
  </sheetViews>
  <sheetFormatPr defaultRowHeight="14.25" x14ac:dyDescent="0.45"/>
  <cols>
    <col min="2" max="2" width="40.19921875" customWidth="1"/>
    <col min="3" max="3" width="38.46484375" bestFit="1" customWidth="1"/>
    <col min="4" max="4" width="15.46484375" customWidth="1"/>
    <col min="5" max="5" width="13.796875" bestFit="1" customWidth="1"/>
    <col min="6" max="6" width="13.9296875" bestFit="1" customWidth="1"/>
    <col min="7" max="7" width="10.46484375" bestFit="1" customWidth="1"/>
    <col min="8" max="8" width="16.59765625" bestFit="1" customWidth="1"/>
    <col min="9" max="9" width="17.46484375" customWidth="1"/>
    <col min="10" max="10" width="11.33203125" bestFit="1" customWidth="1"/>
    <col min="11" max="11" width="17" bestFit="1" customWidth="1"/>
    <col min="12" max="12" width="15.19921875" bestFit="1" customWidth="1"/>
    <col min="13" max="13" width="18.06640625" bestFit="1" customWidth="1"/>
    <col min="14" max="14" width="24.9296875" bestFit="1" customWidth="1"/>
    <col min="15" max="15" width="23.1328125" bestFit="1" customWidth="1"/>
    <col min="16" max="16" width="22.3984375" bestFit="1" customWidth="1"/>
  </cols>
  <sheetData>
    <row r="2" spans="2:16" ht="14.65" thickBot="1" x14ac:dyDescent="0.5">
      <c r="B2" s="5" t="s">
        <v>25</v>
      </c>
    </row>
    <row r="3" spans="2:16" ht="14.65" thickTop="1" x14ac:dyDescent="0.45">
      <c r="B3" t="s">
        <v>0</v>
      </c>
      <c r="C3" t="s">
        <v>2</v>
      </c>
      <c r="D3" t="s">
        <v>1</v>
      </c>
      <c r="E3" t="s">
        <v>9</v>
      </c>
      <c r="F3" t="s">
        <v>10</v>
      </c>
      <c r="G3" t="s">
        <v>3</v>
      </c>
      <c r="H3" t="s">
        <v>48</v>
      </c>
      <c r="I3" t="s">
        <v>8</v>
      </c>
      <c r="J3" t="s">
        <v>49</v>
      </c>
      <c r="K3" t="s">
        <v>11</v>
      </c>
      <c r="L3" t="s">
        <v>4</v>
      </c>
      <c r="M3" t="s">
        <v>5</v>
      </c>
      <c r="N3" t="s">
        <v>6</v>
      </c>
      <c r="O3" t="s">
        <v>12</v>
      </c>
      <c r="P3" t="s">
        <v>17</v>
      </c>
    </row>
    <row r="4" spans="2:16" x14ac:dyDescent="0.45">
      <c r="B4" t="s">
        <v>44</v>
      </c>
      <c r="C4" t="s">
        <v>45</v>
      </c>
      <c r="D4" t="s">
        <v>82</v>
      </c>
      <c r="E4">
        <v>2</v>
      </c>
      <c r="F4">
        <v>7</v>
      </c>
      <c r="G4" t="s">
        <v>47</v>
      </c>
      <c r="H4" t="s">
        <v>51</v>
      </c>
      <c r="I4">
        <v>128</v>
      </c>
      <c r="J4" t="s">
        <v>51</v>
      </c>
      <c r="K4">
        <v>128</v>
      </c>
      <c r="L4" t="s">
        <v>50</v>
      </c>
      <c r="M4" s="2">
        <v>0.24399999999999999</v>
      </c>
      <c r="N4" s="1">
        <v>744</v>
      </c>
      <c r="O4" s="6">
        <f>Table1[[#This Row],[Hours Per Month]]*Table1[[#This Row],[Cost Per Hour]]</f>
        <v>181.536</v>
      </c>
      <c r="P4" s="7">
        <f>Table1[[#This Row],[Compute Cost Per Month]]*12</f>
        <v>2178.4319999999998</v>
      </c>
    </row>
    <row r="5" spans="2:16" x14ac:dyDescent="0.45">
      <c r="B5" t="s">
        <v>46</v>
      </c>
      <c r="C5" t="s">
        <v>45</v>
      </c>
      <c r="D5" t="s">
        <v>82</v>
      </c>
      <c r="E5">
        <v>2</v>
      </c>
      <c r="F5">
        <v>7</v>
      </c>
      <c r="G5" t="s">
        <v>47</v>
      </c>
      <c r="H5" t="s">
        <v>51</v>
      </c>
      <c r="I5">
        <v>128</v>
      </c>
      <c r="J5" t="s">
        <v>51</v>
      </c>
      <c r="K5">
        <v>128</v>
      </c>
      <c r="L5" t="s">
        <v>50</v>
      </c>
      <c r="M5" s="2">
        <v>0.24399999999999999</v>
      </c>
      <c r="N5" s="1">
        <v>744</v>
      </c>
      <c r="O5" s="6">
        <f>Table1[[#This Row],[Hours Per Month]]*Table1[[#This Row],[Cost Per Hour]]</f>
        <v>181.536</v>
      </c>
      <c r="P5" s="7">
        <f>Table1[[#This Row],[Compute Cost Per Month]]*12</f>
        <v>2178.4319999999998</v>
      </c>
    </row>
    <row r="6" spans="2:16" x14ac:dyDescent="0.45">
      <c r="B6" s="1" t="s">
        <v>78</v>
      </c>
      <c r="C6" s="1" t="s">
        <v>61</v>
      </c>
      <c r="D6" s="1" t="s">
        <v>53</v>
      </c>
      <c r="E6">
        <v>4</v>
      </c>
      <c r="F6">
        <v>14</v>
      </c>
      <c r="G6" s="1" t="s">
        <v>59</v>
      </c>
      <c r="H6" s="1" t="s">
        <v>54</v>
      </c>
      <c r="I6" s="1">
        <v>128</v>
      </c>
      <c r="J6" s="1" t="s">
        <v>60</v>
      </c>
      <c r="K6" s="3">
        <v>2048</v>
      </c>
      <c r="L6" t="s">
        <v>55</v>
      </c>
      <c r="M6" s="2">
        <v>0.78400000000000003</v>
      </c>
      <c r="N6" s="1">
        <v>744</v>
      </c>
      <c r="O6" s="6">
        <f>Table1[[#This Row],[Hours Per Month]]*Table1[[#This Row],[Cost Per Hour]]</f>
        <v>583.29600000000005</v>
      </c>
      <c r="P6" s="7">
        <f>Table1[[#This Row],[Compute Cost Per Month]]*12</f>
        <v>6999.5520000000006</v>
      </c>
    </row>
    <row r="7" spans="2:16" x14ac:dyDescent="0.45">
      <c r="B7" s="1" t="s">
        <v>79</v>
      </c>
      <c r="C7" s="1" t="s">
        <v>86</v>
      </c>
      <c r="D7" s="1" t="s">
        <v>87</v>
      </c>
      <c r="E7">
        <v>2</v>
      </c>
      <c r="F7">
        <v>7</v>
      </c>
      <c r="G7" s="1" t="s">
        <v>47</v>
      </c>
      <c r="H7" s="1" t="s">
        <v>51</v>
      </c>
      <c r="I7" s="1">
        <v>128</v>
      </c>
      <c r="J7" s="1"/>
      <c r="K7" s="3"/>
      <c r="L7" t="s">
        <v>50</v>
      </c>
      <c r="M7" s="2">
        <v>0.11899999999999999</v>
      </c>
      <c r="N7" s="1">
        <v>744</v>
      </c>
      <c r="O7" s="6">
        <f>Table1[[#This Row],[Hours Per Month]]*Table1[[#This Row],[Cost Per Hour]]</f>
        <v>88.536000000000001</v>
      </c>
      <c r="P7" s="7">
        <f>Table1[[#This Row],[Compute Cost Per Month]]*12</f>
        <v>1062.432</v>
      </c>
    </row>
    <row r="8" spans="2:16" x14ac:dyDescent="0.45">
      <c r="B8" s="1" t="s">
        <v>80</v>
      </c>
      <c r="C8" s="1" t="s">
        <v>86</v>
      </c>
      <c r="D8" s="1" t="s">
        <v>87</v>
      </c>
      <c r="E8">
        <v>2</v>
      </c>
      <c r="F8">
        <v>7</v>
      </c>
      <c r="G8" s="1" t="s">
        <v>47</v>
      </c>
      <c r="H8" s="1" t="s">
        <v>83</v>
      </c>
      <c r="I8" s="1">
        <v>128</v>
      </c>
      <c r="J8" s="1"/>
      <c r="K8" s="3"/>
      <c r="L8" t="s">
        <v>50</v>
      </c>
      <c r="M8" s="2">
        <v>0.11899999999999999</v>
      </c>
      <c r="N8" s="1">
        <v>744</v>
      </c>
      <c r="O8" s="6">
        <f>Table1[[#This Row],[Hours Per Month]]*Table1[[#This Row],[Cost Per Hour]]</f>
        <v>88.536000000000001</v>
      </c>
      <c r="P8" s="7">
        <f>Table1[[#This Row],[Compute Cost Per Month]]*12</f>
        <v>1062.432</v>
      </c>
    </row>
    <row r="9" spans="2:16" x14ac:dyDescent="0.45">
      <c r="B9" s="4" t="s">
        <v>13</v>
      </c>
      <c r="C9" s="4"/>
      <c r="D9" s="4"/>
      <c r="E9">
        <f>SUBTOTAL(109,Table1[CPU])</f>
        <v>12</v>
      </c>
      <c r="F9">
        <f>SUBTOTAL(109,Table1[MEM])</f>
        <v>42</v>
      </c>
      <c r="G9" s="1"/>
      <c r="H9" s="1"/>
      <c r="I9" s="4">
        <f>SUBTOTAL(109,Table1[OS Storage GB])</f>
        <v>640</v>
      </c>
      <c r="J9" s="4"/>
      <c r="K9">
        <f>SUBTOTAL(109,Table1[Data Storage GB])</f>
        <v>2304</v>
      </c>
      <c r="M9" s="4"/>
      <c r="N9" s="4"/>
      <c r="O9" s="8">
        <f>SUBTOTAL(109,Table1[Compute Cost Per Month])</f>
        <v>1123.44</v>
      </c>
      <c r="P9" s="7">
        <f>SUBTOTAL(109,Table1[Compute Cost Per Year])</f>
        <v>13481.280000000002</v>
      </c>
    </row>
    <row r="12" spans="2:16" x14ac:dyDescent="0.45">
      <c r="B12" t="s">
        <v>21</v>
      </c>
    </row>
    <row r="13" spans="2:16" x14ac:dyDescent="0.45">
      <c r="B13" t="s">
        <v>22</v>
      </c>
    </row>
    <row r="14" spans="2:16" x14ac:dyDescent="0.45">
      <c r="B14" t="s">
        <v>84</v>
      </c>
    </row>
    <row r="15" spans="2:16" x14ac:dyDescent="0.45">
      <c r="B15" t="s">
        <v>85</v>
      </c>
    </row>
    <row r="16" spans="2:16" x14ac:dyDescent="0.45">
      <c r="B16" t="s">
        <v>58</v>
      </c>
    </row>
    <row r="17" spans="2:15" x14ac:dyDescent="0.45">
      <c r="B17" t="s">
        <v>30</v>
      </c>
    </row>
    <row r="18" spans="2:15" x14ac:dyDescent="0.45">
      <c r="B18" t="s">
        <v>57</v>
      </c>
      <c r="O18" s="7"/>
    </row>
    <row r="19" spans="2:15" x14ac:dyDescent="0.45">
      <c r="B19" t="s">
        <v>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opLeftCell="B4" zoomScale="145" workbookViewId="0">
      <selection activeCell="C23" sqref="C23"/>
    </sheetView>
  </sheetViews>
  <sheetFormatPr defaultRowHeight="14.25" x14ac:dyDescent="0.45"/>
  <cols>
    <col min="2" max="2" width="43.3984375" customWidth="1"/>
    <col min="3" max="3" width="15.6640625" bestFit="1" customWidth="1"/>
    <col min="4" max="4" width="12.33203125" bestFit="1" customWidth="1"/>
    <col min="5" max="5" width="25.33203125" bestFit="1" customWidth="1"/>
    <col min="6" max="6" width="13.73046875" bestFit="1" customWidth="1"/>
  </cols>
  <sheetData>
    <row r="2" spans="2:7" ht="14.65" thickBot="1" x14ac:dyDescent="0.5">
      <c r="B2" s="5" t="s">
        <v>29</v>
      </c>
    </row>
    <row r="3" spans="2:7" ht="14.65" thickTop="1" x14ac:dyDescent="0.45">
      <c r="B3" t="s">
        <v>2</v>
      </c>
      <c r="C3" t="s">
        <v>14</v>
      </c>
    </row>
    <row r="4" spans="2:7" x14ac:dyDescent="0.45">
      <c r="B4" t="s">
        <v>62</v>
      </c>
      <c r="C4">
        <f>Table1[[#Totals],[OS Storage GB]]</f>
        <v>640</v>
      </c>
    </row>
    <row r="5" spans="2:7" x14ac:dyDescent="0.45">
      <c r="B5" t="s">
        <v>63</v>
      </c>
      <c r="C5">
        <f>Table1[[#Totals],[Data Storage GB]]</f>
        <v>2304</v>
      </c>
    </row>
    <row r="6" spans="2:7" x14ac:dyDescent="0.45">
      <c r="B6" t="s">
        <v>69</v>
      </c>
      <c r="C6">
        <f>C5+C4</f>
        <v>2944</v>
      </c>
    </row>
    <row r="7" spans="2:7" x14ac:dyDescent="0.45">
      <c r="B7" t="s">
        <v>13</v>
      </c>
      <c r="C7">
        <f>SUBTOTAL(109,Table2[GB])</f>
        <v>5888</v>
      </c>
    </row>
    <row r="9" spans="2:7" x14ac:dyDescent="0.45">
      <c r="B9" t="s">
        <v>21</v>
      </c>
    </row>
    <row r="10" spans="2:7" x14ac:dyDescent="0.45">
      <c r="B10" t="s">
        <v>65</v>
      </c>
    </row>
    <row r="11" spans="2:7" x14ac:dyDescent="0.45">
      <c r="B11" t="s">
        <v>23</v>
      </c>
    </row>
    <row r="12" spans="2:7" x14ac:dyDescent="0.45">
      <c r="B12" t="s">
        <v>24</v>
      </c>
    </row>
    <row r="14" spans="2:7" ht="14.65" thickBot="1" x14ac:dyDescent="0.5">
      <c r="B14" s="5" t="s">
        <v>66</v>
      </c>
    </row>
    <row r="15" spans="2:7" ht="14.65" thickTop="1" x14ac:dyDescent="0.45">
      <c r="B15" t="s">
        <v>27</v>
      </c>
      <c r="C15" t="s">
        <v>26</v>
      </c>
      <c r="D15" t="s">
        <v>31</v>
      </c>
      <c r="E15" t="s">
        <v>28</v>
      </c>
      <c r="F15" t="s">
        <v>15</v>
      </c>
    </row>
    <row r="16" spans="2:7" x14ac:dyDescent="0.45">
      <c r="B16" t="s">
        <v>52</v>
      </c>
      <c r="C16" s="6">
        <v>2.41</v>
      </c>
      <c r="D16">
        <v>6</v>
      </c>
      <c r="E16" s="6">
        <f>Table5[[#This Row],[Cost per month]]*Table5[[#This Row],[Units]]</f>
        <v>14.46</v>
      </c>
      <c r="F16" s="6">
        <f>Table5[[#This Row],[Total per month]]*12</f>
        <v>173.52</v>
      </c>
      <c r="G16" s="6"/>
    </row>
    <row r="17" spans="2:7" x14ac:dyDescent="0.45">
      <c r="B17" t="s">
        <v>56</v>
      </c>
      <c r="C17" s="6">
        <v>17.77</v>
      </c>
      <c r="D17">
        <v>1</v>
      </c>
      <c r="E17" s="6">
        <f>Table5[[#This Row],[Cost per month]]*Table5[[#This Row],[Units]]</f>
        <v>17.77</v>
      </c>
      <c r="F17" s="6">
        <f>Table5[[#This Row],[Total per month]]*12</f>
        <v>213.24</v>
      </c>
      <c r="G17" s="6"/>
    </row>
    <row r="18" spans="2:7" x14ac:dyDescent="0.45">
      <c r="B18" t="s">
        <v>64</v>
      </c>
      <c r="C18" s="6">
        <v>121.89</v>
      </c>
      <c r="D18">
        <v>2</v>
      </c>
      <c r="E18" s="6">
        <f>Table5[[#This Row],[Cost per month]]*Table5[[#This Row],[Units]]</f>
        <v>243.78</v>
      </c>
      <c r="F18" s="6">
        <f>Table5[[#This Row],[Total per month]]*12</f>
        <v>2925.36</v>
      </c>
      <c r="G18" s="6"/>
    </row>
    <row r="19" spans="2:7" x14ac:dyDescent="0.45">
      <c r="B19" t="s">
        <v>13</v>
      </c>
      <c r="E19" s="6">
        <f>SUBTOTAL(109,Table5[Total per month])</f>
        <v>276.01</v>
      </c>
      <c r="F19" s="6">
        <f>SUBTOTAL(109,Table5[Per Year])</f>
        <v>3312.12</v>
      </c>
    </row>
    <row r="21" spans="2:7" ht="14.65" thickBot="1" x14ac:dyDescent="0.5">
      <c r="B21" s="5" t="s">
        <v>68</v>
      </c>
    </row>
    <row r="22" spans="2:7" ht="14.65" thickTop="1" x14ac:dyDescent="0.45">
      <c r="B22" t="s">
        <v>27</v>
      </c>
      <c r="C22" t="s">
        <v>26</v>
      </c>
      <c r="D22" t="s">
        <v>31</v>
      </c>
      <c r="E22" t="s">
        <v>28</v>
      </c>
      <c r="F22" t="s">
        <v>15</v>
      </c>
    </row>
    <row r="23" spans="2:7" x14ac:dyDescent="0.45">
      <c r="B23" t="s">
        <v>67</v>
      </c>
      <c r="C23" s="6">
        <v>45.79</v>
      </c>
      <c r="D23">
        <v>3</v>
      </c>
      <c r="E23" s="6">
        <f>Table57[[#This Row],[Cost per month]]*Table57[[#This Row],[Units]]</f>
        <v>137.37</v>
      </c>
      <c r="F23" s="6">
        <f>Table57[[#This Row],[Total per month]]*12</f>
        <v>1648.44</v>
      </c>
    </row>
    <row r="24" spans="2:7" x14ac:dyDescent="0.45">
      <c r="B24" t="s">
        <v>13</v>
      </c>
      <c r="E24" s="6">
        <f>SUBTOTAL(109,Table57[Total per month])</f>
        <v>137.37</v>
      </c>
      <c r="F24" s="6">
        <f>SUBTOTAL(109,Table57[Per Year])</f>
        <v>1648.44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zoomScale="99" workbookViewId="0">
      <selection activeCell="C3" sqref="C3"/>
    </sheetView>
  </sheetViews>
  <sheetFormatPr defaultRowHeight="14.25" x14ac:dyDescent="0.45"/>
  <cols>
    <col min="2" max="2" width="20.9296875" customWidth="1"/>
    <col min="4" max="4" width="11.1328125" customWidth="1"/>
    <col min="5" max="5" width="13.73046875" customWidth="1"/>
    <col min="6" max="6" width="10.265625" bestFit="1" customWidth="1"/>
  </cols>
  <sheetData>
    <row r="2" spans="2:6" x14ac:dyDescent="0.45">
      <c r="B2" t="s">
        <v>2</v>
      </c>
      <c r="C2" t="s">
        <v>31</v>
      </c>
      <c r="D2" t="s">
        <v>36</v>
      </c>
      <c r="E2" t="s">
        <v>37</v>
      </c>
      <c r="F2" t="s">
        <v>38</v>
      </c>
    </row>
    <row r="3" spans="2:6" x14ac:dyDescent="0.45">
      <c r="B3" t="s">
        <v>35</v>
      </c>
      <c r="C3">
        <v>5</v>
      </c>
      <c r="D3" s="6">
        <v>7.4539999999999997</v>
      </c>
      <c r="E3" s="6">
        <f>C3*D3</f>
        <v>37.269999999999996</v>
      </c>
      <c r="F3" s="6">
        <f>D3*E3</f>
        <v>277.81057999999996</v>
      </c>
    </row>
    <row r="4" spans="2:6" x14ac:dyDescent="0.45">
      <c r="B4" t="s">
        <v>13</v>
      </c>
      <c r="D4" s="6"/>
      <c r="E4" s="6">
        <f>SUBTOTAL(109,Table7[Total Monthly])</f>
        <v>37.269999999999996</v>
      </c>
      <c r="F4" s="6">
        <f>SUBTOTAL(109,Table7[Annually])</f>
        <v>277.81057999999996</v>
      </c>
    </row>
    <row r="17" spans="2:2" x14ac:dyDescent="0.45">
      <c r="B17" t="s">
        <v>21</v>
      </c>
    </row>
    <row r="18" spans="2:2" x14ac:dyDescent="0.45">
      <c r="B18" t="s">
        <v>32</v>
      </c>
    </row>
    <row r="19" spans="2:2" x14ac:dyDescent="0.45">
      <c r="B19" t="s">
        <v>33</v>
      </c>
    </row>
    <row r="20" spans="2:2" x14ac:dyDescent="0.45">
      <c r="B20" t="s">
        <v>34</v>
      </c>
    </row>
    <row r="21" spans="2:2" x14ac:dyDescent="0.45">
      <c r="B21" t="s">
        <v>76</v>
      </c>
    </row>
    <row r="22" spans="2:2" x14ac:dyDescent="0.45">
      <c r="B22" t="s">
        <v>77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zoomScale="138" workbookViewId="0">
      <selection activeCell="D4" sqref="D4"/>
    </sheetView>
  </sheetViews>
  <sheetFormatPr defaultRowHeight="14.25" x14ac:dyDescent="0.45"/>
  <cols>
    <col min="2" max="2" width="28.3984375" customWidth="1"/>
    <col min="4" max="4" width="15.6640625" bestFit="1" customWidth="1"/>
    <col min="5" max="5" width="13.6640625" bestFit="1" customWidth="1"/>
  </cols>
  <sheetData>
    <row r="3" spans="2:5" x14ac:dyDescent="0.45">
      <c r="B3" t="s">
        <v>2</v>
      </c>
      <c r="C3" t="s">
        <v>18</v>
      </c>
      <c r="D3" t="s">
        <v>7</v>
      </c>
      <c r="E3" t="s">
        <v>20</v>
      </c>
    </row>
    <row r="4" spans="2:5" x14ac:dyDescent="0.45">
      <c r="B4" t="s">
        <v>19</v>
      </c>
      <c r="C4">
        <v>2</v>
      </c>
      <c r="D4" s="7">
        <f>66.07</f>
        <v>66.069999999999993</v>
      </c>
      <c r="E4" s="7">
        <f>D4*12</f>
        <v>792.83999999999992</v>
      </c>
    </row>
    <row r="5" spans="2:5" x14ac:dyDescent="0.45">
      <c r="B5" t="s">
        <v>88</v>
      </c>
      <c r="C5">
        <v>1</v>
      </c>
      <c r="D5" s="7">
        <f>105.3</f>
        <v>105.3</v>
      </c>
      <c r="E5" s="7">
        <f>D5*12</f>
        <v>1263.5999999999999</v>
      </c>
    </row>
    <row r="6" spans="2:5" x14ac:dyDescent="0.45">
      <c r="B6" t="s">
        <v>13</v>
      </c>
      <c r="D6" s="7">
        <f>SUBTOTAL(109,Table3[Cost Per Month])</f>
        <v>171.37</v>
      </c>
      <c r="E6" s="7">
        <f>SUBTOTAL(109,Table3[Cost Per Year])</f>
        <v>2056.4399999999996</v>
      </c>
    </row>
    <row r="7" spans="2:5" x14ac:dyDescent="0.45">
      <c r="D7" s="7"/>
      <c r="E7" s="7"/>
    </row>
    <row r="8" spans="2:5" x14ac:dyDescent="0.45">
      <c r="B8" t="s">
        <v>21</v>
      </c>
    </row>
    <row r="9" spans="2:5" x14ac:dyDescent="0.45">
      <c r="B9" t="s">
        <v>70</v>
      </c>
    </row>
    <row r="10" spans="2:5" x14ac:dyDescent="0.45">
      <c r="B10" t="s">
        <v>71</v>
      </c>
    </row>
    <row r="11" spans="2:5" x14ac:dyDescent="0.45">
      <c r="B11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Virtual Machines</vt:lpstr>
      <vt:lpstr>Storage</vt:lpstr>
      <vt:lpstr>Backup Agents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McShera</dc:creator>
  <cp:lastModifiedBy>Gavin McShera</cp:lastModifiedBy>
  <dcterms:created xsi:type="dcterms:W3CDTF">2015-11-18T15:48:26Z</dcterms:created>
  <dcterms:modified xsi:type="dcterms:W3CDTF">2017-05-18T14:53:36Z</dcterms:modified>
</cp:coreProperties>
</file>