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  <sheet state="visible" name="Torque&amp;Power" sheetId="2" r:id="rId5"/>
    <sheet state="visible" name="Gear Specifications" sheetId="3" r:id="rId6"/>
    <sheet state="visible" name="Geometry checks" sheetId="4" r:id="rId7"/>
    <sheet state="visible" name="Stress Analysis of Gears" sheetId="5" r:id="rId8"/>
    <sheet state="visible" name="Shaft Stress Analysis" sheetId="6" r:id="rId9"/>
    <sheet state="visible" name="Mass" sheetId="7" r:id="rId10"/>
    <sheet state="visible" name="Sheet1" sheetId="8" r:id="rId11"/>
    <sheet state="visible" name="checking stuff" sheetId="9" r:id="rId12"/>
    <sheet state="visible" name="Gear Bearing Force Analysis" sheetId="10" r:id="rId13"/>
  </sheets>
  <definedNames/>
  <calcPr/>
  <extLst>
    <ext uri="GoogleSheetsCustomDataVersion2">
      <go:sheetsCustomData xmlns:go="http://customooxmlschemas.google.com/" r:id="rId14" roundtripDataChecksum="IkEk29Mtm2ZTiXKbWcq4tgBdi0EfJRoyxRCsGVF5pN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6">
      <text>
        <t xml:space="preserve">======
ID#AAABwkOh9kA
    (2025-11-21 15:47:56)
2-9 states The minimum wall thickness for any of these materials is about 5 mm
	-Corinne Martin</t>
      </text>
    </comment>
    <comment authorId="0" ref="I3">
      <text>
        <t xml:space="preserve">======
ID#AAABwkOh9j8
    (2025-11-21 15:47:56)
from table 13-2
	-Corinne Martin
not less than 40
	-Anna Johnson</t>
      </text>
    </comment>
    <comment authorId="0" ref="K14">
      <text>
        <t xml:space="preserve">======
ID#AAABwkOh9ik
    (2025-11-21 15:47:56)
AGMA allowable stress numbers are built upon these values
	-Hannah Elkholy</t>
      </text>
    </comment>
    <comment authorId="0" ref="K16">
      <text>
        <t xml:space="preserve">======
ID#AAABwkOh9iU
    (2025-11-21 15:47:56)
pulled from Table A-21, AISI #1030, Quenched and Tempered
	-Hannah Elkholy
Hardness of the pinion (HBP) and the gear (HBG) will be the same
	-Hannah Elkholy
changed material to AISI #1095 HR from table A-20
	-Anna Johnson</t>
      </text>
    </comment>
  </commentList>
  <extLst>
    <ext uri="GoogleSheetsCustomDataVersion2">
      <go:sheetsCustomData xmlns:go="http://customooxmlschemas.google.com/" r:id="rId1" roundtripDataSignature="AMtx7mimA9WfvMYivxhnWqxw7y6MhRQoP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6">
      <text>
        <t xml:space="preserve">======
ID#AAABwwny7K8
Milain Marcel    (2025-11-29 16:32:10)
We need to edit this</t>
      </text>
    </comment>
    <comment authorId="0" ref="H7">
      <text>
        <t xml:space="preserve">======
ID#AAABwwny7K4
Milain Marcel    (2025-11-29 16:31:21)
Need to Edit</t>
      </text>
    </comment>
    <comment authorId="0" ref="H3">
      <text>
        <t xml:space="preserve">======
ID#AAABwwny7K0
Milain Marcel    (2025-11-29 16:31:04)
Need to edit</t>
      </text>
    </comment>
    <comment authorId="0" ref="H25">
      <text>
        <t xml:space="preserve">======
ID#AAABwkOh9iY
    (2025-11-21 15:47:56)
min thickness from section 2-9
	-Anna Johnson
manufacturers list min thickness for sheet metal from 0.5-6mm
	-Corinne Martin</t>
      </text>
    </comment>
  </commentList>
  <extLst>
    <ext uri="GoogleSheetsCustomDataVersion2">
      <go:sheetsCustomData xmlns:go="http://customooxmlschemas.google.com/" r:id="rId1" roundtripDataSignature="AMtx7mjxE36cEzJGIN8BO/iqEeeZ25vLr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7">
      <text>
        <t xml:space="preserve">======
ID#AAABwkOh9jw
    (2025-11-21 15:47:56)
dependent on face width F
	-Hannah Elkholy</t>
      </text>
    </comment>
    <comment authorId="0" ref="A35">
      <text>
        <t xml:space="preserve">======
ID#AAABwkOh9jo
    (2025-11-21 15:47:56)
assume through hardened steel
	-Hannah Elkholy
assume grade 1
	-Hannah Elkholy</t>
      </text>
    </comment>
    <comment authorId="0" ref="C33">
      <text>
        <t xml:space="preserve">======
ID#AAABwkOh9js
    (2025-11-21 15:47:56)
dependent on face width F
	-Hannah Elkholy</t>
      </text>
    </comment>
    <comment authorId="0" ref="C32">
      <text>
        <t xml:space="preserve">======
ID#AAABwkOh9jg
    (2025-11-21 15:47:56)
approximately, Fig 15-6
	-Hannah Elkholy
Changes if tooth number changes
	-Hannah Elkholy</t>
      </text>
    </comment>
    <comment authorId="0" ref="C29">
      <text>
        <t xml:space="preserve">======
ID#AAABwkOh9jM
    (2025-11-21 15:47:56)
dependent on teeth number
	-Hannah Elkholy</t>
      </text>
    </comment>
    <comment authorId="0" ref="C31">
      <text>
        <t xml:space="preserve">======
ID#AAABwkOh9jQ
    (2025-11-21 15:47:56)
for steel only, 15-21
	-Hannah Elkholy</t>
      </text>
    </comment>
    <comment authorId="0" ref="E43">
      <text>
        <t xml:space="preserve">======
ID#AAABwkOh9jI
    (2025-11-21 15:47:56)
assume N/n is mG, bc with metric z2/z1 is mG
	-Hannah Elkholy</t>
      </text>
    </comment>
    <comment authorId="0" ref="C25">
      <text>
        <t xml:space="preserve">======
ID#AAABwkOh9jA
    (2025-11-21 15:47:56)
15-10 pg. 799, Pd&gt;16 teeth/in
	-Hannah Elkholy</t>
      </text>
    </comment>
    <comment authorId="0" ref="C34">
      <text>
        <t xml:space="preserve">======
ID#AAABwkOh9i8
    (2025-11-21 15:47:56)
assume crowned teeth to reduce noise and vibration
	-Hannah Elkholy</t>
      </text>
    </comment>
    <comment authorId="0" ref="A29">
      <text>
        <t xml:space="preserve">======
ID#AAABwkOh9is
    (2025-11-21 15:47:56)
Figure 15-7
	-Hannah Elkholy</t>
      </text>
    </comment>
  </commentList>
  <extLst>
    <ext uri="GoogleSheetsCustomDataVersion2">
      <go:sheetsCustomData xmlns:go="http://customooxmlschemas.google.com/" r:id="rId1" roundtripDataSignature="AMtx7mgwjpLmH0fithyYB4SSI/N9i8pWV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ID#AAABwkOh9j0
    (2025-11-21 15:47:56)
if red adjust S'e equation
	-Anna Johnson</t>
      </text>
    </comment>
    <comment authorId="0" ref="B23">
      <text>
        <t xml:space="preserve">======
ID#AAABwkOh9jE
    (2025-11-21 15:47:56)
for HR
	-Anna Johnson</t>
      </text>
    </comment>
    <comment authorId="0" ref="B21">
      <text>
        <t xml:space="preserve">======
ID#AAABwkOh9iw
    (2025-11-21 15:47:56)
need to find these
	-Anna Johnson</t>
      </text>
    </comment>
    <comment authorId="0" ref="O9">
      <text>
        <t xml:space="preserve">======
ID#AAABwkOh9i0
    (2025-11-21 15:47:56)
He used this in his helpful calcs
	-Anna Johnson</t>
      </text>
    </comment>
    <comment authorId="0" ref="B19">
      <text>
        <t xml:space="preserve">======
ID#AAABwkOh9io
    (2025-11-21 15:47:56)
AISI #1095 HR
	-Anna Johnson
if you change treatment type adjust a and b
	-Anna Johnson</t>
      </text>
    </comment>
  </commentList>
  <extLst>
    <ext uri="GoogleSheetsCustomDataVersion2">
      <go:sheetsCustomData xmlns:go="http://customooxmlschemas.google.com/" r:id="rId1" roundtripDataSignature="AMtx7mj5YLrmFoPk1FhSf2DhioniUpyP+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======
ID#AAABwkOh9j4
    (2025-11-21 15:47:56)
https://www.precisionballs.com/Ball_Bearing_Steel.php#:~:text=This%20material%20is%20considered%20a%20Ferrous%20Metal.&amp;text=The%20density%20of%20this%20material,(%207.85%20g%2F%20cm%C2%B3%20).&amp;text=This%20material%20is%20strongly%20attracted%20by%20a%20magnetic%20field.
	-Corinne Martin</t>
      </text>
    </comment>
    <comment authorId="0" ref="B5">
      <text>
        <t xml:space="preserve">======
ID#AAABwkOh9jk
    (2025-11-21 15:47:56)
https://vxb.com/products/602-miniature-ball-bearing-2mm-x-7mm-x-2-8mm#:~:text=602%20is%20an%20Open%20Miniature,is%20made%20of%20Chrome%20Steel.
	-Corinne Martin</t>
      </text>
    </comment>
    <comment authorId="0" ref="C14">
      <text>
        <t xml:space="preserve">======
ID#AAABwkOh9jY
    (2025-11-21 15:47:56)
https://www.kloecknermetals.com/blog/what-is-the-density-of-stainless-steel/#:~:text=Let's%20look%20at%20the%20two,about%207980%20kg%2Fm3.
	-Corinne Martin</t>
      </text>
    </comment>
    <comment authorId="0" ref="C12">
      <text>
        <t xml:space="preserve">======
ID#AAABwkOh9jU
    (2025-11-21 15:47:56)
https://www.matweb.com/search/datasheet.aspx?matguid=21bc72229925455db41e3cea6bb7625a&amp;ckck=1
	-Corinne Martin</t>
      </text>
    </comment>
    <comment authorId="0" ref="B4">
      <text>
        <t xml:space="preserve">======
ID#AAABwkOh9i4
    (2025-11-21 15:47:56)
https://www.ncbi.nlm.nih.gov/pmc/articles/PMC3959152/#:~:text=The%20air%20driven%20handpiece%20usually,material%20used%20is%20stainless%20steel.
	-Corinne Martin</t>
      </text>
    </comment>
    <comment authorId="0" ref="A37">
      <text>
        <t xml:space="preserve">======
ID#AAABwkOh9ig
    (2025-11-21 15:47:56)
No.602 mini bearing
https://iskbearing.com/news/knowledge/miniature-ball-bearings-a-comprehensive-chart-for-ball-bearings
	-Corinne Martin</t>
      </text>
    </comment>
    <comment authorId="0" ref="C16">
      <text>
        <t xml:space="preserve">======
ID#AAABwkOh9ic
    (2025-11-21 15:47:56)
https://www.google.com/url?q=https://www.matweb.com/search/DataSheet.aspx?MatGUID%3De68b647b86104478a32012cbbd5ad3ea&amp;sa=D&amp;source=editors&amp;ust=1701580006122168&amp;usg=AOvVaw1aAIDl1a2n6Am5jjxtILkz
	-Corinne Martin</t>
      </text>
    </comment>
  </commentList>
  <extLst>
    <ext uri="GoogleSheetsCustomDataVersion2">
      <go:sheetsCustomData xmlns:go="http://customooxmlschemas.google.com/" r:id="rId1" roundtripDataSignature="AMtx7miLBg1DhKcBid3hNg+AR1ZynGRpcw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8">
      <text>
        <t xml:space="preserve">======
ID#AAABwkOh9jc
    (2025-11-21 15:47:56)
if any red look at formula for Fc calculations
	-Anna Johnson</t>
      </text>
    </comment>
  </commentList>
  <extLst>
    <ext uri="GoogleSheetsCustomDataVersion2">
      <go:sheetsCustomData xmlns:go="http://customooxmlschemas.google.com/" r:id="rId1" roundtripDataSignature="AMtx7mgrIAxXzKxVsffaxwJu5onmrsEyhA=="/>
    </ext>
  </extLst>
</comments>
</file>

<file path=xl/sharedStrings.xml><?xml version="1.0" encoding="utf-8"?>
<sst xmlns="http://schemas.openxmlformats.org/spreadsheetml/2006/main" count="1506" uniqueCount="803">
  <si>
    <t>Givens (Max)</t>
  </si>
  <si>
    <t>value</t>
  </si>
  <si>
    <t>unit</t>
  </si>
  <si>
    <t>Conversion</t>
  </si>
  <si>
    <t>Input Variables</t>
  </si>
  <si>
    <t>Lt (total handpiece length)</t>
  </si>
  <si>
    <t>mm</t>
  </si>
  <si>
    <t>in</t>
  </si>
  <si>
    <t>Variable</t>
  </si>
  <si>
    <t>Symbol</t>
  </si>
  <si>
    <t xml:space="preserve">Value </t>
  </si>
  <si>
    <t>units</t>
  </si>
  <si>
    <t>Unit conversion</t>
  </si>
  <si>
    <t>Units</t>
  </si>
  <si>
    <t>Equation</t>
  </si>
  <si>
    <t>dh (head diameter)</t>
  </si>
  <si>
    <t>Diametral pitch</t>
  </si>
  <si>
    <t>P</t>
  </si>
  <si>
    <t>teeth/in</t>
  </si>
  <si>
    <t>hL (head height)</t>
  </si>
  <si>
    <t>Face width</t>
  </si>
  <si>
    <t>F</t>
  </si>
  <si>
    <t>10/P (table 13-3)</t>
  </si>
  <si>
    <t>d (handpiece body diameter)</t>
  </si>
  <si>
    <t>Pinion tooth</t>
  </si>
  <si>
    <t>Np = N2</t>
  </si>
  <si>
    <t>teeth</t>
  </si>
  <si>
    <t>L (handpiece body length)</t>
  </si>
  <si>
    <t>Gear tooth</t>
  </si>
  <si>
    <t>Ng = N3</t>
  </si>
  <si>
    <t>Lm (Motor input shaft length)</t>
  </si>
  <si>
    <t>Pressure angle</t>
  </si>
  <si>
    <t>Φp</t>
  </si>
  <si>
    <t>degrees</t>
  </si>
  <si>
    <t>rad</t>
  </si>
  <si>
    <t>dm (motor input shaft diameter)</t>
  </si>
  <si>
    <t>Input Max Power</t>
  </si>
  <si>
    <t>Hmax</t>
  </si>
  <si>
    <t>N*m/s</t>
  </si>
  <si>
    <t>hp</t>
  </si>
  <si>
    <t xml:space="preserve">ωmax (motor input speed) </t>
  </si>
  <si>
    <t>rpm</t>
  </si>
  <si>
    <t>rad/s</t>
  </si>
  <si>
    <t>Gear train ratio</t>
  </si>
  <si>
    <t>e</t>
  </si>
  <si>
    <t>Tmax (motor input torque)</t>
  </si>
  <si>
    <t xml:space="preserve">N*cm </t>
  </si>
  <si>
    <t>ft*lbf</t>
  </si>
  <si>
    <t>Output speed</t>
  </si>
  <si>
    <t>ωo=ω3</t>
  </si>
  <si>
    <t>Gear ratio</t>
  </si>
  <si>
    <t>Quality number</t>
  </si>
  <si>
    <t>Qv</t>
  </si>
  <si>
    <t>mG</t>
  </si>
  <si>
    <t>Givens (Exact)</t>
  </si>
  <si>
    <t xml:space="preserve">Reliability </t>
  </si>
  <si>
    <t>R</t>
  </si>
  <si>
    <t>Dc (bur cutting surface diameter)</t>
  </si>
  <si>
    <t>Life cycle of the pinion</t>
  </si>
  <si>
    <t>NL</t>
  </si>
  <si>
    <t>Lc (bur cutting surface length)</t>
  </si>
  <si>
    <t>Brinell Hardness (gear)</t>
  </si>
  <si>
    <t>HB</t>
  </si>
  <si>
    <t>Table A-20</t>
  </si>
  <si>
    <t>Db (bur shaft diameter)</t>
  </si>
  <si>
    <t>distance between bearing B and A (center-to-center distance)</t>
  </si>
  <si>
    <t>LBA</t>
  </si>
  <si>
    <t>Lb (bur total length)</t>
  </si>
  <si>
    <t>distance between bearing A and pinon (center-center distance)</t>
  </si>
  <si>
    <t>LAP</t>
  </si>
  <si>
    <t>Safety Factor</t>
  </si>
  <si>
    <t>distance between bearing D and gear (center to center distance)</t>
  </si>
  <si>
    <t>LDG</t>
  </si>
  <si>
    <t>distance between bearing C and gear (center-center distance)</t>
  </si>
  <si>
    <t>LCG</t>
  </si>
  <si>
    <t>Bearing thickness</t>
  </si>
  <si>
    <t>B</t>
  </si>
  <si>
    <t xml:space="preserve">Literature values </t>
  </si>
  <si>
    <t>value range</t>
  </si>
  <si>
    <t>ωo (low output speed)</t>
  </si>
  <si>
    <t>rads/s</t>
  </si>
  <si>
    <t>Pitch apex height in headpiece</t>
  </si>
  <si>
    <t>Hpa</t>
  </si>
  <si>
    <t>(assuming pitch apex is located in the center of the headpiece along the axis of the driven and driving shafts)</t>
  </si>
  <si>
    <t>Formulas/Definitions</t>
  </si>
  <si>
    <t xml:space="preserve">omega </t>
  </si>
  <si>
    <t>gear train ratio (e)</t>
  </si>
  <si>
    <t>e = ω3/ω2 = N2/N3</t>
  </si>
  <si>
    <t>n</t>
  </si>
  <si>
    <t>N2</t>
  </si>
  <si>
    <t>pinon tooth number</t>
  </si>
  <si>
    <t>N3</t>
  </si>
  <si>
    <t>gear tooth number</t>
  </si>
  <si>
    <t>Power (P)</t>
  </si>
  <si>
    <t>P=ω*𝜏</t>
  </si>
  <si>
    <t>Conservation of Power</t>
  </si>
  <si>
    <t>Pin = Pout = ω2 *𝜏2 =ω3*𝜏3</t>
  </si>
  <si>
    <t>Transmitted load (Wt)</t>
  </si>
  <si>
    <t>𝜏 = d/2 * Wt</t>
  </si>
  <si>
    <t>Wt = 33000 * H/V</t>
  </si>
  <si>
    <t>Pitch-line velocity (V)</t>
  </si>
  <si>
    <t>V = pi *d*n/12</t>
  </si>
  <si>
    <t>Gear Bending Stress</t>
  </si>
  <si>
    <t>(St)G = (Wt/F)Pd*Ko*Kv(Ks*Km/Kx*JG)</t>
  </si>
  <si>
    <t>Gear Contact Stress</t>
  </si>
  <si>
    <t>(Sc)G = Cp*((Wt/F*dp*I)*Ko*Kv*(Km)G*Cs*Cxc)^.5</t>
  </si>
  <si>
    <t>Pinion Bending Stress</t>
  </si>
  <si>
    <t>(St)P = (Wt/F)Pd*Ko*Kv(Ks*Km/Kx*JP)</t>
  </si>
  <si>
    <t>Pinion Contact Stress</t>
  </si>
  <si>
    <t>(Sc)P = Cp*((Wt/F*dp*I)*Ko*Kv*(Km)P*Cs*Cxc)^.5</t>
  </si>
  <si>
    <t>Inputs</t>
  </si>
  <si>
    <t xml:space="preserve">Torque/Power Calculation Outputs </t>
  </si>
  <si>
    <t>Value</t>
  </si>
  <si>
    <t>Textbook Ref</t>
  </si>
  <si>
    <t>Metric</t>
  </si>
  <si>
    <t>Pinion teeth</t>
  </si>
  <si>
    <t>Np</t>
  </si>
  <si>
    <t>gear train ratio</t>
  </si>
  <si>
    <t>13-30</t>
  </si>
  <si>
    <t>Np/Ng</t>
  </si>
  <si>
    <t>Given</t>
  </si>
  <si>
    <t>values</t>
  </si>
  <si>
    <t>Gear teeth</t>
  </si>
  <si>
    <t>Ng</t>
  </si>
  <si>
    <t>Input Speed</t>
  </si>
  <si>
    <t>ω2</t>
  </si>
  <si>
    <t>18-2</t>
  </si>
  <si>
    <t>ω3/e</t>
  </si>
  <si>
    <t>Input max speed</t>
  </si>
  <si>
    <t>ωmax</t>
  </si>
  <si>
    <t xml:space="preserve">Output Torque </t>
  </si>
  <si>
    <t>T3</t>
  </si>
  <si>
    <t>18-1</t>
  </si>
  <si>
    <t>T2*ω2=T3*ω3</t>
  </si>
  <si>
    <t>ω3</t>
  </si>
  <si>
    <t>Output Power</t>
  </si>
  <si>
    <t>H3</t>
  </si>
  <si>
    <t>13-33</t>
  </si>
  <si>
    <t>T3*ω3*2*pi/33000</t>
  </si>
  <si>
    <t>Input max torque</t>
  </si>
  <si>
    <t>Tmax</t>
  </si>
  <si>
    <t>Input Power</t>
  </si>
  <si>
    <t>H2</t>
  </si>
  <si>
    <t>T2*ω2*2*pi/33000</t>
  </si>
  <si>
    <t>Input torque</t>
  </si>
  <si>
    <t>T2</t>
  </si>
  <si>
    <t>% power utilization</t>
  </si>
  <si>
    <t>H2/Hmax</t>
  </si>
  <si>
    <t>Input max power</t>
  </si>
  <si>
    <r>
      <rPr>
        <rFont val="Arial"/>
        <color rgb="FF1F1F1F"/>
        <sz val="16.0"/>
      </rPr>
      <t>𝜏</t>
    </r>
    <r>
      <rPr>
        <rFont val="Arial"/>
        <color rgb="FF1F1F1F"/>
        <sz val="9.0"/>
      </rPr>
      <t>in</t>
    </r>
  </si>
  <si>
    <t>N*m</t>
  </si>
  <si>
    <t>Pin</t>
  </si>
  <si>
    <t>1. gear train ratio (e = N2/N3=ω3/ω2)</t>
  </si>
  <si>
    <t>2. Find ω2 and check ω2&lt;=ω2max</t>
  </si>
  <si>
    <t>n2</t>
  </si>
  <si>
    <t>3. Calculate T3</t>
  </si>
  <si>
    <t>3. Pin =Pout -&gt; Find 𝜏out from 𝜏in *ω2 = 𝜏out *ω3</t>
  </si>
  <si>
    <r>
      <rPr>
        <rFont val="Arial"/>
        <color rgb="FF000000"/>
        <sz val="16.0"/>
      </rPr>
      <t>𝜏</t>
    </r>
    <r>
      <rPr>
        <rFont val="Arial"/>
        <color rgb="FF000000"/>
      </rPr>
      <t>out</t>
    </r>
  </si>
  <si>
    <t xml:space="preserve">4. Calculate H3 </t>
  </si>
  <si>
    <t>4. check Pactual &lt; Pmax (P=𝜏*ω)</t>
  </si>
  <si>
    <t xml:space="preserve">5. Calculate H2 and check H2 &lt; Hmax </t>
  </si>
  <si>
    <t xml:space="preserve">Pactual </t>
  </si>
  <si>
    <t>5. percent of max power utilized</t>
  </si>
  <si>
    <t xml:space="preserve">% utilization </t>
  </si>
  <si>
    <t>%</t>
  </si>
  <si>
    <t>Geometry Outputs</t>
  </si>
  <si>
    <t>Pinion module</t>
  </si>
  <si>
    <t>m(p)</t>
  </si>
  <si>
    <t>d/Np</t>
  </si>
  <si>
    <t>Eq 13-2</t>
  </si>
  <si>
    <t>Gear module</t>
  </si>
  <si>
    <t>m(g)</t>
  </si>
  <si>
    <t>d/Ng</t>
  </si>
  <si>
    <t>Pinion Pitch Diameter</t>
  </si>
  <si>
    <t>d(p)</t>
  </si>
  <si>
    <t>Np/P</t>
  </si>
  <si>
    <t>Eq 13-1</t>
  </si>
  <si>
    <t>Torque</t>
  </si>
  <si>
    <t>T</t>
  </si>
  <si>
    <t>ft*lb</t>
  </si>
  <si>
    <t>Gear Pitch Diameter</t>
  </si>
  <si>
    <t>d(g)</t>
  </si>
  <si>
    <t>Ng/P</t>
  </si>
  <si>
    <t>Diametral Pitch</t>
  </si>
  <si>
    <t>Clearance</t>
  </si>
  <si>
    <t>c</t>
  </si>
  <si>
    <t>(0.188/P)+0.002</t>
  </si>
  <si>
    <t>Table 13-3</t>
  </si>
  <si>
    <t>Gear Ratio</t>
  </si>
  <si>
    <t>Pinion Circular Pitch</t>
  </si>
  <si>
    <t>p(p)</t>
  </si>
  <si>
    <t>pi(mp)</t>
  </si>
  <si>
    <t>Eq 13-4</t>
  </si>
  <si>
    <t>Pressure Angle</t>
  </si>
  <si>
    <t>Gear Circular Pitch</t>
  </si>
  <si>
    <t>p(g)</t>
  </si>
  <si>
    <t>pi(mg)</t>
  </si>
  <si>
    <t>Addendum</t>
  </si>
  <si>
    <t>a</t>
  </si>
  <si>
    <t>0.54/P+0.460/P(e90)^2</t>
  </si>
  <si>
    <t>Dedendum</t>
  </si>
  <si>
    <t>b</t>
  </si>
  <si>
    <t>1.157/P</t>
  </si>
  <si>
    <t>Table 13-1</t>
  </si>
  <si>
    <t>Whole depth</t>
  </si>
  <si>
    <t>ht</t>
  </si>
  <si>
    <t>2.157/P</t>
  </si>
  <si>
    <t>Pinion Pitch Cone Angle</t>
  </si>
  <si>
    <t>γ</t>
  </si>
  <si>
    <t>tan-1(Np/Ng)</t>
  </si>
  <si>
    <t>Eq 13-14</t>
  </si>
  <si>
    <t>https://www.sdp-si.com/resources/elements-of-metric-gear-technology/page4.php</t>
  </si>
  <si>
    <t>Gear Pitch Cone Angle</t>
  </si>
  <si>
    <t>Γ</t>
  </si>
  <si>
    <t>tan-1(Ng/Np)</t>
  </si>
  <si>
    <t>Working depth</t>
  </si>
  <si>
    <t>hk</t>
  </si>
  <si>
    <t>2/P</t>
  </si>
  <si>
    <t>90 Equivalent Gear Ratio</t>
  </si>
  <si>
    <t>e90</t>
  </si>
  <si>
    <t>sqrt(e(cosγ/cosΓ)</t>
  </si>
  <si>
    <t>Cone Distance</t>
  </si>
  <si>
    <t>Ao</t>
  </si>
  <si>
    <t>F/0.3</t>
  </si>
  <si>
    <t>Back Cone Radius</t>
  </si>
  <si>
    <t>Rb</t>
  </si>
  <si>
    <t>Ao*tan(γ)</t>
  </si>
  <si>
    <t>Addendum Angle</t>
  </si>
  <si>
    <t>θa</t>
  </si>
  <si>
    <t>tan-1(a/Ao)</t>
  </si>
  <si>
    <t>SDP Table 8-3</t>
  </si>
  <si>
    <t>Dedendum Angle</t>
  </si>
  <si>
    <t>θb</t>
  </si>
  <si>
    <t>tan-1(b/Ao)</t>
  </si>
  <si>
    <t>Gear Angular Addendum</t>
  </si>
  <si>
    <t>Z (g)</t>
  </si>
  <si>
    <t>θacos(Γ)</t>
  </si>
  <si>
    <t>Pinion Angular Addendum</t>
  </si>
  <si>
    <t>Z (p)</t>
  </si>
  <si>
    <t>θacos(γ)</t>
  </si>
  <si>
    <t>Gear Face Angle</t>
  </si>
  <si>
    <t>Af (g)</t>
  </si>
  <si>
    <t>Γ-θa</t>
  </si>
  <si>
    <t>Gear Root/Cutting Angle</t>
  </si>
  <si>
    <t>Ac (g)</t>
  </si>
  <si>
    <t>Γ-θb</t>
  </si>
  <si>
    <t>Pinion Face Angle</t>
  </si>
  <si>
    <t>Af (p)</t>
  </si>
  <si>
    <t>γ-θa</t>
  </si>
  <si>
    <t>Pinion Root/Cutting Angle</t>
  </si>
  <si>
    <t>Ac (p)</t>
  </si>
  <si>
    <t>γ-θb</t>
  </si>
  <si>
    <t>Gear Outside Diameter</t>
  </si>
  <si>
    <t>OD (g)</t>
  </si>
  <si>
    <t>d(g)+2(a)cosΓ</t>
  </si>
  <si>
    <t>Pinion Outside Diameter</t>
  </si>
  <si>
    <t>OD (p)</t>
  </si>
  <si>
    <t>d(p)+2(a)cosγ</t>
  </si>
  <si>
    <t>Pinion Pitch Apex to Crown</t>
  </si>
  <si>
    <t>X(p)</t>
  </si>
  <si>
    <t>Aocosγ-(a)sinγ</t>
  </si>
  <si>
    <t>Gear Pitch Apex to Crown</t>
  </si>
  <si>
    <t>X(g)</t>
  </si>
  <si>
    <t>AocosΓ-(a)sinΓ</t>
  </si>
  <si>
    <t>Large end tooth thickness</t>
  </si>
  <si>
    <t xml:space="preserve">tt </t>
  </si>
  <si>
    <t>0.5pi/P</t>
  </si>
  <si>
    <t>Pinion small end tooth diameter</t>
  </si>
  <si>
    <t>td (p)</t>
  </si>
  <si>
    <t>2*(Ao-F)*sin(γ)</t>
  </si>
  <si>
    <t>Gear small end tooth diameter</t>
  </si>
  <si>
    <t>td (g)</t>
  </si>
  <si>
    <t>2*(Ao-F)*sin(Γ)</t>
  </si>
  <si>
    <t>Pinion small end tooth thickness</t>
  </si>
  <si>
    <t>tts (p)</t>
  </si>
  <si>
    <t>0.5pi/(Np/tdp)</t>
  </si>
  <si>
    <t>Gear small end tooth thickness</t>
  </si>
  <si>
    <t>tts (g)</t>
  </si>
  <si>
    <t>0.5pi/(Ng/tdg)</t>
  </si>
  <si>
    <t>SUMMARY</t>
  </si>
  <si>
    <t>Using AISI 1095 hot rolled steel</t>
  </si>
  <si>
    <t>Pinion</t>
  </si>
  <si>
    <t>Gear</t>
  </si>
  <si>
    <t>Both</t>
  </si>
  <si>
    <t>Equations</t>
  </si>
  <si>
    <t>Large End Tooth Thickness</t>
  </si>
  <si>
    <t>tt</t>
  </si>
  <si>
    <t>Small End Tooth Thickness</t>
  </si>
  <si>
    <t>tts</t>
  </si>
  <si>
    <t>0.5pi/(N/td)</t>
  </si>
  <si>
    <t>Small End Tooth Diameter</t>
  </si>
  <si>
    <t>td</t>
  </si>
  <si>
    <t>2*(Ao-F)*sin(Γ,γ)</t>
  </si>
  <si>
    <t>Module</t>
  </si>
  <si>
    <t>m</t>
  </si>
  <si>
    <t>Pitch Diameter</t>
  </si>
  <si>
    <t>d</t>
  </si>
  <si>
    <t>Circular Pitch</t>
  </si>
  <si>
    <t>p</t>
  </si>
  <si>
    <t>Pitch Cone Angle</t>
  </si>
  <si>
    <t>γ, Γ</t>
  </si>
  <si>
    <t>Angular Addendum</t>
  </si>
  <si>
    <t>Z</t>
  </si>
  <si>
    <t>θacos(Γ,γ)</t>
  </si>
  <si>
    <t>Face Angle</t>
  </si>
  <si>
    <t>Af</t>
  </si>
  <si>
    <t>Root/Cutting Angle</t>
  </si>
  <si>
    <t>Ac</t>
  </si>
  <si>
    <t>Outside Diameter</t>
  </si>
  <si>
    <t>OD</t>
  </si>
  <si>
    <t>Pitch Apex to Crown</t>
  </si>
  <si>
    <t>X</t>
  </si>
  <si>
    <t>Overall Geometry Outputs</t>
  </si>
  <si>
    <t>1. Calculate dh check dh &lt; d max</t>
  </si>
  <si>
    <t>dh= 2*t+ 2*cb + OD (g)</t>
  </si>
  <si>
    <t>extra room</t>
  </si>
  <si>
    <t>dh</t>
  </si>
  <si>
    <t>dhmax-dh</t>
  </si>
  <si>
    <t>height of beaing C wall</t>
  </si>
  <si>
    <t>hbw</t>
  </si>
  <si>
    <t>head height</t>
  </si>
  <si>
    <t>hL</t>
  </si>
  <si>
    <t>handpiece body diameter</t>
  </si>
  <si>
    <t>2. Calculate hL  without hbw &amp; check hL&lt; hL max solve for left over room</t>
  </si>
  <si>
    <t>hLtemp = 2*t +2*cb + OGDp)</t>
  </si>
  <si>
    <t>hbw= (hLmax -hL)/2</t>
  </si>
  <si>
    <t>hLtemp</t>
  </si>
  <si>
    <t>3. calculate hL with hbw</t>
  </si>
  <si>
    <t>hL = 2*t +2*cb + OD(p) + hbw</t>
  </si>
  <si>
    <t>4.  Max lower gear bearing height = t +hbw</t>
  </si>
  <si>
    <t>5.calculate  handpiece body diameter</t>
  </si>
  <si>
    <t>d = 2t+2*cb+ds1</t>
  </si>
  <si>
    <t>6. Minimum shaft 1 length</t>
  </si>
  <si>
    <t>(Ls1)min = LAP+F/2+LBA</t>
  </si>
  <si>
    <t>Shell thickness (min)</t>
  </si>
  <si>
    <t>t</t>
  </si>
  <si>
    <t>(Ls1)</t>
  </si>
  <si>
    <t xml:space="preserve">Box clearance </t>
  </si>
  <si>
    <t>cb</t>
  </si>
  <si>
    <t>7. Minimum shaft 2 length</t>
  </si>
  <si>
    <t>(Ls2)min = LDG+LCG</t>
  </si>
  <si>
    <t>Stress Analysis</t>
  </si>
  <si>
    <t>Speed of the pinion</t>
  </si>
  <si>
    <t>Pinion bending</t>
  </si>
  <si>
    <t>Bending stress</t>
  </si>
  <si>
    <t>(St)P</t>
  </si>
  <si>
    <t>psi</t>
  </si>
  <si>
    <t>(St)P = (Wt/F)*Pd*Ko*Kv*((Ks*Km)/(Kx*JP))</t>
  </si>
  <si>
    <t>Eq. 15-3</t>
  </si>
  <si>
    <t>Allowable bending stress</t>
  </si>
  <si>
    <t>(Swt)P</t>
  </si>
  <si>
    <t>(Swt)P = (Sat*(KL)P)/(SF*KT*KR)</t>
  </si>
  <si>
    <t>Eq. 15-4</t>
  </si>
  <si>
    <t>Bending factor of safety for the pinion</t>
  </si>
  <si>
    <t>(SF)P</t>
  </si>
  <si>
    <t>(SF)P = ((Sat*(KL)P)/(KT*KR*(St)P))^0.5</t>
  </si>
  <si>
    <t>Fig. 15-15</t>
  </si>
  <si>
    <t>Pinion pitch diameter</t>
  </si>
  <si>
    <t>dp</t>
  </si>
  <si>
    <t>Gear pitch diameter</t>
  </si>
  <si>
    <t>dg</t>
  </si>
  <si>
    <t>Gear bending</t>
  </si>
  <si>
    <t>Pd</t>
  </si>
  <si>
    <t>(St)G</t>
  </si>
  <si>
    <t>(St)G = (Wt/F)*Pd*Ko*Kv*((Ks*Km)/(Kx*JG))</t>
  </si>
  <si>
    <t>Pinion tooth number</t>
  </si>
  <si>
    <t xml:space="preserve">teeth </t>
  </si>
  <si>
    <t>(Swt)G</t>
  </si>
  <si>
    <t>(Swt)G = (Sat*(KL)G)/(SF*KT*KR)</t>
  </si>
  <si>
    <t>Gear tooth number</t>
  </si>
  <si>
    <t>Bending factor of safety for the gear</t>
  </si>
  <si>
    <t>(SF)G</t>
  </si>
  <si>
    <t>(SF)G = ((Sat*(KL)G)/(KT*KR*(St)G))^0.5</t>
  </si>
  <si>
    <t>Safety Number</t>
  </si>
  <si>
    <t>n = SF</t>
  </si>
  <si>
    <t>Reliability</t>
  </si>
  <si>
    <t>Pinion wear</t>
  </si>
  <si>
    <t>Contact stress</t>
  </si>
  <si>
    <t>(Sc)P</t>
  </si>
  <si>
    <t>(Sc)P = Cp*((Wt/F*dp*I)*Ko*Kv*Km*Cs*Cxc)^.5</t>
  </si>
  <si>
    <t>Eq. 15-1</t>
  </si>
  <si>
    <t>Hardness</t>
  </si>
  <si>
    <t>Allowable contact stress</t>
  </si>
  <si>
    <t>(Swc)P</t>
  </si>
  <si>
    <t>(Swc)P = (Sac*(CL)P*CH)/(SH*KT*CR)</t>
  </si>
  <si>
    <t>Eq. 15-2</t>
  </si>
  <si>
    <t>gear ratio</t>
  </si>
  <si>
    <t>Wear factor of safety for the pinion</t>
  </si>
  <si>
    <t>(SH)P</t>
  </si>
  <si>
    <t>(SH)P= ((Sac*(CL)P*CH)/(KT*CR*(Sc)P))^0.5</t>
  </si>
  <si>
    <t>Fig. 15-14</t>
  </si>
  <si>
    <t>Needed Variables</t>
  </si>
  <si>
    <t>Gear wear</t>
  </si>
  <si>
    <t>Pitch line velocity</t>
  </si>
  <si>
    <t>V</t>
  </si>
  <si>
    <t>ft/min</t>
  </si>
  <si>
    <t xml:space="preserve">Contact stress </t>
  </si>
  <si>
    <t>(Sc)G</t>
  </si>
  <si>
    <t>(Sc)G = Cp*((Wt/F*dp*I)*Ko*Kv*Km*Cs*Cxc)^.5</t>
  </si>
  <si>
    <t>Transmitted Load</t>
  </si>
  <si>
    <t>Wt</t>
  </si>
  <si>
    <t>lbf</t>
  </si>
  <si>
    <t>(Swc)G</t>
  </si>
  <si>
    <t>(Swc)G = (Sac*(CL)G*CH)/(SH*KT*CR)</t>
  </si>
  <si>
    <t>Overload Factors</t>
  </si>
  <si>
    <t>Ko</t>
  </si>
  <si>
    <t>Table 15-2</t>
  </si>
  <si>
    <t>Wear factor of safety fot the gear</t>
  </si>
  <si>
    <t>(SH)G</t>
  </si>
  <si>
    <t>(SH)G= ((Sac*(CL)G*CH)/(KT*CR*(Sc)G))^0.5</t>
  </si>
  <si>
    <t>Dynamic Factors</t>
  </si>
  <si>
    <t>Kv</t>
  </si>
  <si>
    <t>Kv = (A+(SQRT(V))/A)^B</t>
  </si>
  <si>
    <t>A</t>
  </si>
  <si>
    <t>Eq. 15-6, A = 50 +56(1-B)</t>
  </si>
  <si>
    <t>Eq. 15-6, B = 0.25(12-Qv)^(2/3)</t>
  </si>
  <si>
    <t>Size factor</t>
  </si>
  <si>
    <t>Ks</t>
  </si>
  <si>
    <t>15-10, Pd&gt;16 teeth/in</t>
  </si>
  <si>
    <t>Kmb- needed for Km</t>
  </si>
  <si>
    <t>Kmb</t>
  </si>
  <si>
    <t>one member straddle mounted</t>
  </si>
  <si>
    <t>Load distribution factor</t>
  </si>
  <si>
    <t>Km</t>
  </si>
  <si>
    <t>Km = Kmb+0.0036*F^2</t>
  </si>
  <si>
    <t>Lengthwise curvature factor</t>
  </si>
  <si>
    <t>Kx</t>
  </si>
  <si>
    <t>15-13</t>
  </si>
  <si>
    <t>Geometry factor for Pinion</t>
  </si>
  <si>
    <t>(J)P</t>
  </si>
  <si>
    <t>Fig. 15-7</t>
  </si>
  <si>
    <t>Geometry Factor for Gear</t>
  </si>
  <si>
    <t>(J)G</t>
  </si>
  <si>
    <t>Elastic Coefficient</t>
  </si>
  <si>
    <t>Cp</t>
  </si>
  <si>
    <t>psi^0.5</t>
  </si>
  <si>
    <t>15-21, assume steel</t>
  </si>
  <si>
    <t>Geometry factor for pitting resistance</t>
  </si>
  <si>
    <t>I</t>
  </si>
  <si>
    <t>Fig. 15-6</t>
  </si>
  <si>
    <t>Size factor for piting resistance</t>
  </si>
  <si>
    <t>Cs</t>
  </si>
  <si>
    <t>Cs = 0.125F+0.4375</t>
  </si>
  <si>
    <t>Crowning factor for pitting resistance</t>
  </si>
  <si>
    <t>Cxc</t>
  </si>
  <si>
    <t>15-12</t>
  </si>
  <si>
    <t>Allowable bending stress number</t>
  </si>
  <si>
    <t>Sat</t>
  </si>
  <si>
    <t>Sat = 44(HB)+2100 psi</t>
  </si>
  <si>
    <t>Pinion Stress Cycle Factor for bending strength</t>
  </si>
  <si>
    <t>(KL)P</t>
  </si>
  <si>
    <t>1.683NL^-0.0323</t>
  </si>
  <si>
    <t>Gear Stress Cycle Factor for bending strength</t>
  </si>
  <si>
    <t>(KL)G</t>
  </si>
  <si>
    <t>1.683(NL/mG)^-.0323</t>
  </si>
  <si>
    <t>Temperature Factor</t>
  </si>
  <si>
    <t>KT</t>
  </si>
  <si>
    <t>15-18, assume t&lt;250 degrees</t>
  </si>
  <si>
    <t>Reliability Factor</t>
  </si>
  <si>
    <t>KR</t>
  </si>
  <si>
    <t>0.50-0.25log(1-R)</t>
  </si>
  <si>
    <t>Allowable contact stress number for steel gears</t>
  </si>
  <si>
    <t>Sac</t>
  </si>
  <si>
    <t>Sac = 341(HB)+23620 psi</t>
  </si>
  <si>
    <t>Pinion Stress-Cycle Factor for pitting resistance</t>
  </si>
  <si>
    <t>(CL)P</t>
  </si>
  <si>
    <t>3.4822NL^-0.0602</t>
  </si>
  <si>
    <t>Gear Stress-Cycle Factor for pitting resistance</t>
  </si>
  <si>
    <t>(CL)G</t>
  </si>
  <si>
    <t>3.4822(NL/mG)^-0.0602</t>
  </si>
  <si>
    <t>Hardness-Ratio Factor</t>
  </si>
  <si>
    <t>CH</t>
  </si>
  <si>
    <t>CH = 1+B1(mG-1)</t>
  </si>
  <si>
    <t>B1</t>
  </si>
  <si>
    <t>B1=0.00898 (HBP/HBG)-0.00829</t>
  </si>
  <si>
    <t>Contact Safety Factor</t>
  </si>
  <si>
    <t>SH</t>
  </si>
  <si>
    <t>CR</t>
  </si>
  <si>
    <t>CR= SQRT(KR)</t>
  </si>
  <si>
    <t>Shaft Outputs - For Driving Shaft</t>
  </si>
  <si>
    <t>Shaft Outputs - For Driven Shaft</t>
  </si>
  <si>
    <t>Radial Force</t>
  </si>
  <si>
    <t>Wr</t>
  </si>
  <si>
    <t>(Wt)tanΦcosΓ</t>
  </si>
  <si>
    <t>Eq 13-38</t>
  </si>
  <si>
    <t>speed of gear</t>
  </si>
  <si>
    <t>Axial Force</t>
  </si>
  <si>
    <t>Wa</t>
  </si>
  <si>
    <t>(Wt)tanΦsinΓ</t>
  </si>
  <si>
    <t>torque of pinon</t>
  </si>
  <si>
    <t>Magnitude of non-axial load</t>
  </si>
  <si>
    <t>Wtr</t>
  </si>
  <si>
    <t>sqrt(Wt^2+Wr^2)</t>
  </si>
  <si>
    <t>Wra</t>
  </si>
  <si>
    <t>sqrt(Wa^2+Wr^2)</t>
  </si>
  <si>
    <t>torque of gear</t>
  </si>
  <si>
    <t>Reaction Force from bearing B</t>
  </si>
  <si>
    <t>Wtr*LAP/LAB</t>
  </si>
  <si>
    <t>Reaction Force from bearing D</t>
  </si>
  <si>
    <t>Rd</t>
  </si>
  <si>
    <t>Wra*LCG/(LCG+LDG)</t>
  </si>
  <si>
    <t>table A-9-6</t>
  </si>
  <si>
    <t>transmitted load</t>
  </si>
  <si>
    <t>Reaction Force from bearing A</t>
  </si>
  <si>
    <t>Ra</t>
  </si>
  <si>
    <t>Wtr*(LBA+LAP)/LBA</t>
  </si>
  <si>
    <t>Reaction Force from bearing C</t>
  </si>
  <si>
    <t>Rc</t>
  </si>
  <si>
    <t>Wra*LDG/(LCG+LDG)</t>
  </si>
  <si>
    <t>pressure angle</t>
  </si>
  <si>
    <t>Max Momment (momment at A)</t>
  </si>
  <si>
    <t>Mmax</t>
  </si>
  <si>
    <t>lbf*in</t>
  </si>
  <si>
    <t>-Wtr*LAP*LBA/LBA</t>
  </si>
  <si>
    <t>Wra*LCG*LDG/(LCG+LDG)</t>
  </si>
  <si>
    <t>alternating Moment</t>
  </si>
  <si>
    <t>Ma</t>
  </si>
  <si>
    <t>|Mmax-(Mmax)|/2</t>
  </si>
  <si>
    <t>|Mmax-(-Mmax)|/2</t>
  </si>
  <si>
    <t xml:space="preserve">mean Moment </t>
  </si>
  <si>
    <t>Mm</t>
  </si>
  <si>
    <t>0 for complety reversed bending load and constant torsion</t>
  </si>
  <si>
    <t>0 for completely reversed bending load and constant torsion</t>
  </si>
  <si>
    <t>distance between bearing B and A</t>
  </si>
  <si>
    <t>alternating Torque</t>
  </si>
  <si>
    <t>Ta</t>
  </si>
  <si>
    <t>in*lbf</t>
  </si>
  <si>
    <t>distance between bearing A and pinon</t>
  </si>
  <si>
    <t>Mean Torque</t>
  </si>
  <si>
    <t>Tm</t>
  </si>
  <si>
    <t>distance between bearing D and gear</t>
  </si>
  <si>
    <t>surface factor</t>
  </si>
  <si>
    <t>ka</t>
  </si>
  <si>
    <t>ka=aSut^b</t>
  </si>
  <si>
    <t>distance between bearing C and gear</t>
  </si>
  <si>
    <t>size factor</t>
  </si>
  <si>
    <t>kb</t>
  </si>
  <si>
    <t>kb=1</t>
  </si>
  <si>
    <t>see pg. 312</t>
  </si>
  <si>
    <t>safety factor</t>
  </si>
  <si>
    <t>load factor</t>
  </si>
  <si>
    <t>kc</t>
  </si>
  <si>
    <t>kc=1</t>
  </si>
  <si>
    <t>see pg. 314</t>
  </si>
  <si>
    <t>for torsion in combination with other loading (pg.314)</t>
  </si>
  <si>
    <t>driving shaft diameter</t>
  </si>
  <si>
    <t>ds1</t>
  </si>
  <si>
    <t>temperature factor</t>
  </si>
  <si>
    <t>kd</t>
  </si>
  <si>
    <t>kd=1</t>
  </si>
  <si>
    <t>see pg.316</t>
  </si>
  <si>
    <t>kd=`</t>
  </si>
  <si>
    <t>driven shaft diameter</t>
  </si>
  <si>
    <t>ds2</t>
  </si>
  <si>
    <t>reliability factor</t>
  </si>
  <si>
    <t>ke</t>
  </si>
  <si>
    <t xml:space="preserve">0.868 for 95% reliablity </t>
  </si>
  <si>
    <t>table 6-4</t>
  </si>
  <si>
    <t xml:space="preserve">0.814 for 99% reliablity </t>
  </si>
  <si>
    <t>Tensile strength</t>
  </si>
  <si>
    <t>Sut</t>
  </si>
  <si>
    <t>Kpsi</t>
  </si>
  <si>
    <t>table A-20</t>
  </si>
  <si>
    <t>endurance limit of rotary-beam specimen</t>
  </si>
  <si>
    <t>S'e</t>
  </si>
  <si>
    <t>endurance  limit</t>
  </si>
  <si>
    <t>Se</t>
  </si>
  <si>
    <t>ka*kb*kc*kd*ke*S'e</t>
  </si>
  <si>
    <t>Kf</t>
  </si>
  <si>
    <t>Alternating stress</t>
  </si>
  <si>
    <t>σa</t>
  </si>
  <si>
    <t>Kf*32*Ma/(pi*ds^3)</t>
  </si>
  <si>
    <t>Kfs</t>
  </si>
  <si>
    <t>Mean stress</t>
  </si>
  <si>
    <t>σm</t>
  </si>
  <si>
    <t>Kf*32*Mm/(pi*ds^3)</t>
  </si>
  <si>
    <t>Factor a (for ka)</t>
  </si>
  <si>
    <t>Table 6-2</t>
  </si>
  <si>
    <t>Alternating Torsion</t>
  </si>
  <si>
    <t>τa</t>
  </si>
  <si>
    <t>Kfs*16*Ta/(pi*ds^3)</t>
  </si>
  <si>
    <t>exponent b (for ka)</t>
  </si>
  <si>
    <t>Mean Torsion</t>
  </si>
  <si>
    <t>τm</t>
  </si>
  <si>
    <t>Kfs*16*Tm/(pi*ds^3)</t>
  </si>
  <si>
    <t>Alternating von Mises stress</t>
  </si>
  <si>
    <t>σ'a</t>
  </si>
  <si>
    <t>(σa^2+ 3*τa^2)^(1/2)</t>
  </si>
  <si>
    <t>Mean von Mises Stress</t>
  </si>
  <si>
    <t>σ'm</t>
  </si>
  <si>
    <t>(σm^2+ 3*τm^2)^(1/2)</t>
  </si>
  <si>
    <t>1. Does Shaft fail DE-Goodman Criteria?</t>
  </si>
  <si>
    <t>σ'a/Se + σ'm/Sut</t>
  </si>
  <si>
    <t>2. Actual safety factor</t>
  </si>
  <si>
    <t>n = 1/(σ'a/Se + σ'm/Sut)</t>
  </si>
  <si>
    <t>Specifications</t>
  </si>
  <si>
    <t>Volume Outputs</t>
  </si>
  <si>
    <t>Gear Material</t>
  </si>
  <si>
    <t>AISI 1095</t>
  </si>
  <si>
    <t>Name</t>
  </si>
  <si>
    <t>Unit</t>
  </si>
  <si>
    <t>Shaft Material</t>
  </si>
  <si>
    <t>Bur driven shaft length</t>
  </si>
  <si>
    <t>Ldr</t>
  </si>
  <si>
    <t>Shell Material</t>
  </si>
  <si>
    <t>stainless steel 316</t>
  </si>
  <si>
    <t>Handpiece larger radius</t>
  </si>
  <si>
    <t>Bearing Material</t>
  </si>
  <si>
    <t>chrome steel</t>
  </si>
  <si>
    <t>Handpiece smaller radius</t>
  </si>
  <si>
    <t>r</t>
  </si>
  <si>
    <t>Burr Material</t>
  </si>
  <si>
    <t>tungsten carbide</t>
  </si>
  <si>
    <t>Head larger radius</t>
  </si>
  <si>
    <t>Rh</t>
  </si>
  <si>
    <t>Bearing Type</t>
  </si>
  <si>
    <t>No. 602, Miniature ball bearing</t>
  </si>
  <si>
    <t>Head smaller radius</t>
  </si>
  <si>
    <t>rh</t>
  </si>
  <si>
    <t>Height of bearing D wall</t>
  </si>
  <si>
    <t>hbwd</t>
  </si>
  <si>
    <t>Outer diameter of bearing CD hole</t>
  </si>
  <si>
    <t>Input Variable</t>
  </si>
  <si>
    <t>Inner diameter of bearing CD hole</t>
  </si>
  <si>
    <t>Bearing CD hole larger radius</t>
  </si>
  <si>
    <t>Gear Material Density</t>
  </si>
  <si>
    <t>ρg</t>
  </si>
  <si>
    <t>lb/in3</t>
  </si>
  <si>
    <t>Bearing CD hole smaller radius</t>
  </si>
  <si>
    <t>Shaft Material Density</t>
  </si>
  <si>
    <t>ρs</t>
  </si>
  <si>
    <t>Bearing D Hole Volume</t>
  </si>
  <si>
    <t>Vhd</t>
  </si>
  <si>
    <t>in3</t>
  </si>
  <si>
    <t>Shell material Density</t>
  </si>
  <si>
    <t>ρsh</t>
  </si>
  <si>
    <t>Bearing C Hole Volume</t>
  </si>
  <si>
    <t>Vhc</t>
  </si>
  <si>
    <t>Bearing material Density</t>
  </si>
  <si>
    <t>ρbe</t>
  </si>
  <si>
    <t>Total Head Shell Volume</t>
  </si>
  <si>
    <t>Vhe</t>
  </si>
  <si>
    <t>Burr material Density</t>
  </si>
  <si>
    <t>ρbu</t>
  </si>
  <si>
    <t>Total Handle Shell Volume</t>
  </si>
  <si>
    <t>Vha</t>
  </si>
  <si>
    <t>Shell thickness</t>
  </si>
  <si>
    <t>Driven Shaft Volume</t>
  </si>
  <si>
    <t>Vdr</t>
  </si>
  <si>
    <t>total handpiece length</t>
  </si>
  <si>
    <t>Lt</t>
  </si>
  <si>
    <t>Driving Shaft Volume</t>
  </si>
  <si>
    <t>Vd</t>
  </si>
  <si>
    <t>head diameter</t>
  </si>
  <si>
    <t>Bearing A Volume</t>
  </si>
  <si>
    <t>Vba</t>
  </si>
  <si>
    <t>Bearing B Volume</t>
  </si>
  <si>
    <t>Vbb</t>
  </si>
  <si>
    <t>Bur volume</t>
  </si>
  <si>
    <t>Vb</t>
  </si>
  <si>
    <t>handpiece body length</t>
  </si>
  <si>
    <t>L</t>
  </si>
  <si>
    <t>Motor input shaft volume</t>
  </si>
  <si>
    <t>Vm</t>
  </si>
  <si>
    <t>Motor input shaft length</t>
  </si>
  <si>
    <t>Lm</t>
  </si>
  <si>
    <t>Pinion volume</t>
  </si>
  <si>
    <t>Vp</t>
  </si>
  <si>
    <t>motor input shaft diameter</t>
  </si>
  <si>
    <t>dm</t>
  </si>
  <si>
    <t>Gear volume</t>
  </si>
  <si>
    <t>Vg</t>
  </si>
  <si>
    <t>Driving shaft length</t>
  </si>
  <si>
    <t>Ls1</t>
  </si>
  <si>
    <t>bur cutting surface diameter</t>
  </si>
  <si>
    <t>Dc</t>
  </si>
  <si>
    <t>bur cutting surface length</t>
  </si>
  <si>
    <t>Lc</t>
  </si>
  <si>
    <t>Mass Outputs</t>
  </si>
  <si>
    <t>bur (driven) shaft diameter</t>
  </si>
  <si>
    <t>Db</t>
  </si>
  <si>
    <t>bur total length</t>
  </si>
  <si>
    <t>Lb</t>
  </si>
  <si>
    <t>Headpiece Mass</t>
  </si>
  <si>
    <t>mhe</t>
  </si>
  <si>
    <t>lb</t>
  </si>
  <si>
    <t>g</t>
  </si>
  <si>
    <t>Driven shaft length</t>
  </si>
  <si>
    <t>Ls2</t>
  </si>
  <si>
    <t>Handpiece mass</t>
  </si>
  <si>
    <t>mha</t>
  </si>
  <si>
    <t>Driving shaft mass</t>
  </si>
  <si>
    <t>md</t>
  </si>
  <si>
    <t>A&amp;B Outer bearing diameter</t>
  </si>
  <si>
    <t>ODb (AB)</t>
  </si>
  <si>
    <t>Driven shaft mass</t>
  </si>
  <si>
    <t>mdr</t>
  </si>
  <si>
    <t>A&amp;B Inner bearing diameter</t>
  </si>
  <si>
    <t>Bd (AB)</t>
  </si>
  <si>
    <t>Burr mass</t>
  </si>
  <si>
    <t>mb</t>
  </si>
  <si>
    <t>C&amp;D Outer bearing diameter</t>
  </si>
  <si>
    <t>ODb (CD)</t>
  </si>
  <si>
    <t>Motor input shaft mass</t>
  </si>
  <si>
    <t>C&amp;D Inner bearing diameter</t>
  </si>
  <si>
    <t>Bd (CD)</t>
  </si>
  <si>
    <t>Pinion mass</t>
  </si>
  <si>
    <t>mp</t>
  </si>
  <si>
    <t>A&amp;B Bearing thickness</t>
  </si>
  <si>
    <t>Bab</t>
  </si>
  <si>
    <t>Gear mass</t>
  </si>
  <si>
    <t>mg</t>
  </si>
  <si>
    <t>C&amp;D Bearing thickness</t>
  </si>
  <si>
    <t>Bcd</t>
  </si>
  <si>
    <t>Bearing A mass</t>
  </si>
  <si>
    <t>mba</t>
  </si>
  <si>
    <t>Box clearance</t>
  </si>
  <si>
    <t>Bearing B mass</t>
  </si>
  <si>
    <t>mbb</t>
  </si>
  <si>
    <t>Height of bearing c wall</t>
  </si>
  <si>
    <t>Bearing C mass</t>
  </si>
  <si>
    <t>mbc</t>
  </si>
  <si>
    <t>Bearing D mass</t>
  </si>
  <si>
    <t>mbd</t>
  </si>
  <si>
    <t>Total mass</t>
  </si>
  <si>
    <t>mtot</t>
  </si>
  <si>
    <t>power (hp) to weight(lbs) ratio</t>
  </si>
  <si>
    <t>1:</t>
  </si>
  <si>
    <t>length of driven shaft contained in headpiece</t>
  </si>
  <si>
    <t>length of driven shaft poking out and connecting to burr</t>
  </si>
  <si>
    <t>transmitted load(pinon)max</t>
  </si>
  <si>
    <t>(Wt)max</t>
  </si>
  <si>
    <t>Tmax/rav = 2Tmax/dav</t>
  </si>
  <si>
    <t>(13-37)</t>
  </si>
  <si>
    <t>max input torque</t>
  </si>
  <si>
    <t>T/rav = 2T/dav</t>
  </si>
  <si>
    <t>input torque</t>
  </si>
  <si>
    <t>Pitch-line velcocity</t>
  </si>
  <si>
    <t>max input speed</t>
  </si>
  <si>
    <t>n2max</t>
  </si>
  <si>
    <t xml:space="preserve">Max Power </t>
  </si>
  <si>
    <t>input speed</t>
  </si>
  <si>
    <t>Power</t>
  </si>
  <si>
    <t>H</t>
  </si>
  <si>
    <t>output speed</t>
  </si>
  <si>
    <t>n3</t>
  </si>
  <si>
    <t>input angular velocity</t>
  </si>
  <si>
    <t>H*33000/(T*2*pi)</t>
  </si>
  <si>
    <t>gear train ration</t>
  </si>
  <si>
    <t>N2/N3 = ω3/ω2</t>
  </si>
  <si>
    <t>output angular velocity</t>
  </si>
  <si>
    <t>e*ω2</t>
  </si>
  <si>
    <t>output torque</t>
  </si>
  <si>
    <t>H*33000/(ω2*2*pi)</t>
  </si>
  <si>
    <t>Force Analysis</t>
  </si>
  <si>
    <t>Pitch Line Velocity</t>
  </si>
  <si>
    <t>Bearing B to Bearing A</t>
  </si>
  <si>
    <t>Bearing A to Pinion 1/2 Face</t>
  </si>
  <si>
    <t>Bearing D to Gearing 1/2 Face</t>
  </si>
  <si>
    <t xml:space="preserve">Face width </t>
  </si>
  <si>
    <t>Bearing C to Geaing 1/2 Face</t>
  </si>
  <si>
    <t>Gear 1/2 Face to Pitch Apex</t>
  </si>
  <si>
    <t>Xo (g)</t>
  </si>
  <si>
    <t>X(g)-1/2F</t>
  </si>
  <si>
    <t>Ex 13-8</t>
  </si>
  <si>
    <t>Pinion 1/2 Face to Pitch Apex</t>
  </si>
  <si>
    <t>Xo (p)</t>
  </si>
  <si>
    <t>X(p)-1/2F</t>
  </si>
  <si>
    <t>Torque of driven shaft</t>
  </si>
  <si>
    <t>T3 = Ts3</t>
  </si>
  <si>
    <t>Gear Vectors</t>
  </si>
  <si>
    <t>i</t>
  </si>
  <si>
    <t>j</t>
  </si>
  <si>
    <t>k</t>
  </si>
  <si>
    <t>Notes</t>
  </si>
  <si>
    <t>Answer</t>
  </si>
  <si>
    <t>Position vector from D to E</t>
  </si>
  <si>
    <t>RDE</t>
  </si>
  <si>
    <t>Force from Bearing A</t>
  </si>
  <si>
    <t>Fa</t>
  </si>
  <si>
    <t>Position vector from D to C</t>
  </si>
  <si>
    <t>RDC</t>
  </si>
  <si>
    <t>Force from Bearing B</t>
  </si>
  <si>
    <t>Fb</t>
  </si>
  <si>
    <t>Load vector</t>
  </si>
  <si>
    <t>W</t>
  </si>
  <si>
    <t>Force from Bearing C</t>
  </si>
  <si>
    <t>Fc</t>
  </si>
  <si>
    <t>Force from Bearing D</t>
  </si>
  <si>
    <t>Fd</t>
  </si>
  <si>
    <t>(Cross product of RDE and W)+T</t>
  </si>
  <si>
    <t>(RDE x W)+T</t>
  </si>
  <si>
    <t>Force between gears</t>
  </si>
  <si>
    <t>F32</t>
  </si>
  <si>
    <t>Force from Bearing C Vector</t>
  </si>
  <si>
    <t>Force from Bearing D Vector</t>
  </si>
  <si>
    <t>Looking at textbook ex 13-8</t>
  </si>
  <si>
    <t>Pinion Vectors</t>
  </si>
  <si>
    <t>Position of A to E</t>
  </si>
  <si>
    <t>Position of A to B</t>
  </si>
  <si>
    <t>(Cross product of RAE and W)+T</t>
  </si>
  <si>
    <t>Force from Bearing A Vector</t>
  </si>
  <si>
    <t>Force from Bearing B Vector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</si>
</sst>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0"/>
    <numFmt numFmtId="165" formatCode="0.000"/>
    <numFmt numFmtId="166" formatCode="m-d"/>
    <numFmt numFmtId="167" formatCode="0.000000"/>
    <numFmt numFmtId="168" formatCode="0.0000000"/>
    <numFmt numFmtId="169" formatCode="0.00000000"/>
    <numFmt numFmtId="170" formatCode="0.0"/>
  </numFmts>
  <fonts count="2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202124"/>
      <name val="Roboto"/>
    </font>
    <font/>
    <font>
      <color rgb="FF000000"/>
      <name val="Arial"/>
    </font>
    <font>
      <sz val="11.0"/>
      <color rgb="FF1F1F1F"/>
      <name val="Arial"/>
    </font>
    <font>
      <sz val="9.0"/>
      <color rgb="FF1F1F1F"/>
      <name val="Arial"/>
    </font>
    <font>
      <sz val="10.0"/>
      <color rgb="FF202124"/>
      <name val="Arial"/>
    </font>
    <font>
      <sz val="10.0"/>
      <color rgb="FF282828"/>
      <name val="Arial"/>
    </font>
    <font>
      <sz val="10.0"/>
      <color rgb="FF4D5156"/>
      <name val="Arial"/>
    </font>
    <font>
      <sz val="11.0"/>
      <color theme="1"/>
      <name val="Arial"/>
    </font>
    <font>
      <u/>
      <color rgb="FF0000FF"/>
    </font>
    <font>
      <color rgb="FF282828"/>
      <name val="Arial"/>
    </font>
    <font>
      <sz val="10.0"/>
      <color rgb="FF000000"/>
      <name val="Arial"/>
    </font>
    <font>
      <sz val="10.0"/>
      <color theme="1"/>
      <name val="Arial"/>
    </font>
    <font>
      <sz val="9.0"/>
      <color theme="1"/>
      <name val="Arial"/>
    </font>
    <font>
      <sz val="11.0"/>
      <color rgb="FF4D5156"/>
      <name val="Roboto"/>
    </font>
    <font>
      <sz val="11.0"/>
      <color theme="1"/>
      <name val="Calibri"/>
    </font>
    <font>
      <sz val="11.0"/>
      <color rgb="FF000000"/>
      <name val="Calibri"/>
    </font>
    <font>
      <color rgb="FF202124"/>
      <name val="Arial"/>
    </font>
    <font>
      <sz val="10.0"/>
      <color rgb="FF202124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Font="1"/>
    <xf borderId="1" fillId="0" fontId="1" numFmtId="0" xfId="0" applyBorder="1" applyFont="1"/>
    <xf borderId="1" fillId="0" fontId="2" numFmtId="0" xfId="0" applyBorder="1" applyFont="1"/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0" fillId="0" fontId="2" numFmtId="0" xfId="0" applyFont="1"/>
    <xf borderId="1" fillId="2" fontId="2" numFmtId="0" xfId="0" applyBorder="1" applyFill="1" applyFont="1"/>
    <xf borderId="1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vertical="bottom"/>
    </xf>
    <xf borderId="0" fillId="3" fontId="3" numFmtId="0" xfId="0" applyAlignment="1" applyFill="1" applyFont="1">
      <alignment horizontal="left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8" fillId="0" fontId="2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1" fillId="0" fontId="2" numFmtId="11" xfId="0" applyAlignment="1" applyBorder="1" applyFont="1" applyNumberFormat="1">
      <alignment horizontal="right"/>
    </xf>
    <xf borderId="9" fillId="2" fontId="2" numFmtId="0" xfId="0" applyBorder="1" applyFont="1"/>
    <xf borderId="9" fillId="0" fontId="2" numFmtId="0" xfId="0" applyBorder="1" applyFont="1"/>
    <xf borderId="1" fillId="0" fontId="2" numFmtId="0" xfId="0" applyAlignment="1" applyBorder="1" applyFont="1">
      <alignment horizontal="center"/>
    </xf>
    <xf borderId="10" fillId="0" fontId="1" numFmtId="0" xfId="0" applyAlignment="1" applyBorder="1" applyFont="1">
      <alignment horizontal="center" vertical="bottom"/>
    </xf>
    <xf borderId="2" fillId="0" fontId="4" numFmtId="0" xfId="0" applyBorder="1" applyFont="1"/>
    <xf borderId="10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center"/>
    </xf>
    <xf borderId="1" fillId="3" fontId="5" numFmtId="0" xfId="0" applyAlignment="1" applyBorder="1" applyFont="1">
      <alignment horizontal="left"/>
    </xf>
    <xf borderId="3" fillId="0" fontId="4" numFmtId="0" xfId="0" applyBorder="1" applyFont="1"/>
    <xf borderId="1" fillId="3" fontId="6" numFmtId="0" xfId="0" applyBorder="1" applyFont="1"/>
    <xf borderId="1" fillId="0" fontId="2" numFmtId="0" xfId="0" applyAlignment="1" applyBorder="1" applyFont="1">
      <alignment vertical="bottom"/>
    </xf>
    <xf borderId="1" fillId="4" fontId="2" numFmtId="0" xfId="0" applyBorder="1" applyFill="1" applyFont="1"/>
    <xf borderId="0" fillId="3" fontId="5" numFmtId="0" xfId="0" applyAlignment="1" applyFont="1">
      <alignment horizontal="left"/>
    </xf>
    <xf borderId="0" fillId="0" fontId="2" numFmtId="0" xfId="0" applyAlignment="1" applyFont="1">
      <alignment vertical="center"/>
    </xf>
    <xf borderId="8" fillId="0" fontId="2" numFmtId="0" xfId="0" applyAlignment="1" applyBorder="1" applyFont="1">
      <alignment shrinkToFit="0" vertical="bottom" wrapText="0"/>
    </xf>
    <xf borderId="8" fillId="3" fontId="2" numFmtId="0" xfId="0" applyAlignment="1" applyBorder="1" applyFont="1">
      <alignment shrinkToFit="0" vertical="bottom" wrapText="0"/>
    </xf>
    <xf borderId="1" fillId="0" fontId="7" numFmtId="0" xfId="0" applyBorder="1" applyFont="1"/>
    <xf borderId="0" fillId="0" fontId="7" numFmtId="0" xfId="0" applyFont="1"/>
    <xf borderId="7" fillId="0" fontId="2" numFmtId="0" xfId="0" applyBorder="1" applyFont="1"/>
    <xf borderId="0" fillId="3" fontId="8" numFmtId="0" xfId="0" applyAlignment="1" applyFont="1">
      <alignment horizontal="left"/>
    </xf>
    <xf borderId="0" fillId="3" fontId="9" numFmtId="0" xfId="0" applyFont="1"/>
    <xf borderId="0" fillId="0" fontId="5" numFmtId="0" xfId="0" applyAlignment="1" applyFont="1">
      <alignment horizontal="left"/>
    </xf>
    <xf borderId="0" fillId="3" fontId="10" numFmtId="0" xfId="0" applyFont="1"/>
    <xf borderId="0" fillId="0" fontId="11" numFmtId="0" xfId="0" applyFont="1"/>
    <xf borderId="1" fillId="0" fontId="1" numFmtId="164" xfId="0" applyBorder="1" applyFont="1" applyNumberFormat="1"/>
    <xf borderId="1" fillId="0" fontId="2" numFmtId="164" xfId="0" applyBorder="1" applyFont="1" applyNumberFormat="1"/>
    <xf borderId="1" fillId="3" fontId="8" numFmtId="0" xfId="0" applyAlignment="1" applyBorder="1" applyFont="1">
      <alignment horizontal="left"/>
    </xf>
    <xf borderId="0" fillId="0" fontId="12" numFmtId="0" xfId="0" applyFont="1"/>
    <xf borderId="1" fillId="3" fontId="9" numFmtId="0" xfId="0" applyBorder="1" applyFont="1"/>
    <xf borderId="1" fillId="3" fontId="10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3" fontId="13" numFmtId="0" xfId="0" applyAlignment="1" applyBorder="1" applyFont="1">
      <alignment horizontal="left"/>
    </xf>
    <xf borderId="9" fillId="0" fontId="2" numFmtId="164" xfId="0" applyBorder="1" applyFont="1" applyNumberFormat="1"/>
    <xf borderId="11" fillId="0" fontId="1" numFmtId="0" xfId="0" applyBorder="1" applyFont="1"/>
    <xf borderId="12" fillId="0" fontId="1" numFmtId="0" xfId="0" applyBorder="1" applyFont="1"/>
    <xf borderId="3" fillId="5" fontId="2" numFmtId="0" xfId="0" applyAlignment="1" applyBorder="1" applyFill="1" applyFont="1">
      <alignment vertical="bottom"/>
    </xf>
    <xf borderId="0" fillId="0" fontId="2" numFmtId="164" xfId="0" applyFont="1" applyNumberFormat="1"/>
    <xf borderId="1" fillId="0" fontId="2" numFmtId="4" xfId="0" applyBorder="1" applyFont="1" applyNumberFormat="1"/>
    <xf borderId="0" fillId="3" fontId="6" numFmtId="0" xfId="0" applyFont="1"/>
    <xf borderId="3" fillId="0" fontId="2" numFmtId="0" xfId="0" applyAlignment="1" applyBorder="1" applyFont="1">
      <alignment readingOrder="0" vertical="bottom"/>
    </xf>
    <xf borderId="0" fillId="0" fontId="2" numFmtId="4" xfId="0" applyFont="1" applyNumberFormat="1"/>
    <xf borderId="1" fillId="5" fontId="2" numFmtId="0" xfId="0" applyBorder="1" applyFont="1"/>
    <xf borderId="1" fillId="3" fontId="14" numFmtId="0" xfId="0" applyBorder="1" applyFont="1"/>
    <xf borderId="1" fillId="6" fontId="2" numFmtId="0" xfId="0" applyBorder="1" applyFill="1" applyFont="1"/>
    <xf borderId="1" fillId="0" fontId="2" numFmtId="4" xfId="0" applyAlignment="1" applyBorder="1" applyFont="1" applyNumberFormat="1">
      <alignment horizontal="right"/>
    </xf>
    <xf borderId="1" fillId="3" fontId="15" numFmtId="0" xfId="0" applyBorder="1" applyFont="1"/>
    <xf borderId="1" fillId="0" fontId="2" numFmtId="165" xfId="0" applyBorder="1" applyFont="1" applyNumberFormat="1"/>
    <xf borderId="11" fillId="0" fontId="1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4" fillId="0" fontId="1" numFmtId="164" xfId="0" applyAlignment="1" applyBorder="1" applyFont="1" applyNumberFormat="1">
      <alignment vertical="bottom"/>
    </xf>
    <xf borderId="0" fillId="3" fontId="16" numFmtId="0" xfId="0" applyFont="1"/>
    <xf borderId="1" fillId="3" fontId="17" numFmtId="0" xfId="0" applyAlignment="1" applyBorder="1" applyFont="1">
      <alignment horizontal="left"/>
    </xf>
    <xf borderId="1" fillId="0" fontId="2" numFmtId="166" xfId="0" applyBorder="1" applyFont="1" applyNumberFormat="1"/>
    <xf borderId="4" fillId="3" fontId="17" numFmtId="0" xfId="0" applyAlignment="1" applyBorder="1" applyFont="1">
      <alignment vertical="bottom"/>
    </xf>
    <xf borderId="4" fillId="0" fontId="2" numFmtId="166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left" vertical="bottom"/>
    </xf>
    <xf borderId="0" fillId="3" fontId="17" numFmtId="0" xfId="0" applyAlignment="1" applyFont="1">
      <alignment horizontal="left"/>
    </xf>
    <xf borderId="4" fillId="3" fontId="2" numFmtId="0" xfId="0" applyAlignment="1" applyBorder="1" applyFont="1">
      <alignment horizontal="left" vertical="bottom"/>
    </xf>
    <xf borderId="4" fillId="3" fontId="2" numFmtId="0" xfId="0" applyAlignment="1" applyBorder="1" applyFont="1">
      <alignment vertical="bottom"/>
    </xf>
    <xf borderId="1" fillId="0" fontId="18" numFmtId="0" xfId="0" applyBorder="1" applyFont="1"/>
    <xf borderId="4" fillId="0" fontId="18" numFmtId="0" xfId="0" applyAlignment="1" applyBorder="1" applyFont="1">
      <alignment vertical="bottom"/>
    </xf>
    <xf borderId="1" fillId="3" fontId="19" numFmtId="0" xfId="0" applyAlignment="1" applyBorder="1" applyFont="1">
      <alignment horizontal="left"/>
    </xf>
    <xf borderId="4" fillId="3" fontId="18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8" fillId="3" fontId="17" numFmtId="0" xfId="0" applyAlignment="1" applyBorder="1" applyFont="1">
      <alignment horizontal="left"/>
    </xf>
    <xf borderId="0" fillId="3" fontId="17" numFmtId="0" xfId="0" applyAlignment="1" applyFont="1">
      <alignment vertical="bottom"/>
    </xf>
    <xf borderId="0" fillId="7" fontId="2" numFmtId="0" xfId="0" applyAlignment="1" applyFill="1" applyFont="1">
      <alignment horizontal="right" vertical="bottom"/>
    </xf>
    <xf borderId="1" fillId="2" fontId="2" numFmtId="0" xfId="0" applyAlignment="1" applyBorder="1" applyFont="1">
      <alignment vertical="bottom"/>
    </xf>
    <xf borderId="1" fillId="0" fontId="2" numFmtId="167" xfId="0" applyBorder="1" applyFont="1" applyNumberFormat="1"/>
    <xf borderId="1" fillId="0" fontId="2" numFmtId="164" xfId="0" applyAlignment="1" applyBorder="1" applyFont="1" applyNumberFormat="1">
      <alignment vertical="bottom"/>
    </xf>
    <xf borderId="1" fillId="3" fontId="20" numFmtId="0" xfId="0" applyAlignment="1" applyBorder="1" applyFont="1">
      <alignment horizontal="left"/>
    </xf>
    <xf borderId="1" fillId="0" fontId="2" numFmtId="167" xfId="0" applyAlignment="1" applyBorder="1" applyFont="1" applyNumberFormat="1">
      <alignment vertical="bottom"/>
    </xf>
    <xf borderId="1" fillId="0" fontId="2" numFmtId="168" xfId="0" applyBorder="1" applyFont="1" applyNumberFormat="1"/>
    <xf borderId="1" fillId="0" fontId="2" numFmtId="168" xfId="0" applyAlignment="1" applyBorder="1" applyFont="1" applyNumberFormat="1">
      <alignment readingOrder="0"/>
    </xf>
    <xf borderId="1" fillId="0" fontId="2" numFmtId="169" xfId="0" applyBorder="1" applyFont="1" applyNumberFormat="1"/>
    <xf borderId="1" fillId="0" fontId="2" numFmtId="170" xfId="0" applyBorder="1" applyFont="1" applyNumberFormat="1"/>
    <xf borderId="1" fillId="8" fontId="1" numFmtId="0" xfId="0" applyBorder="1" applyFill="1" applyFont="1"/>
    <xf borderId="1" fillId="8" fontId="1" numFmtId="169" xfId="0" applyBorder="1" applyFont="1" applyNumberFormat="1"/>
    <xf borderId="1" fillId="8" fontId="1" numFmtId="168" xfId="0" applyBorder="1" applyFont="1" applyNumberForma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2" fontId="2" numFmtId="0" xfId="0" applyFont="1"/>
    <xf borderId="1" fillId="3" fontId="21" numFmtId="0" xfId="0" applyAlignment="1" applyBorder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Relationship Id="rId3" Type="http://schemas.openxmlformats.org/officeDocument/2006/relationships/image" Target="../media/image15.png"/><Relationship Id="rId4" Type="http://schemas.openxmlformats.org/officeDocument/2006/relationships/image" Target="../media/image10.png"/><Relationship Id="rId5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962025</xdr:colOff>
      <xdr:row>2</xdr:row>
      <xdr:rowOff>200025</xdr:rowOff>
    </xdr:from>
    <xdr:ext cx="384810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</xdr:row>
      <xdr:rowOff>-200025</xdr:rowOff>
    </xdr:from>
    <xdr:ext cx="4714875" cy="30765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962025</xdr:colOff>
      <xdr:row>0</xdr:row>
      <xdr:rowOff>152400</xdr:rowOff>
    </xdr:from>
    <xdr:ext cx="3848100" cy="4667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200025</xdr:rowOff>
    </xdr:from>
    <xdr:ext cx="4229100" cy="2647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4048125" cy="461962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962025</xdr:colOff>
      <xdr:row>18</xdr:row>
      <xdr:rowOff>85725</xdr:rowOff>
    </xdr:from>
    <xdr:ext cx="2752725" cy="48577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152400</xdr:colOff>
      <xdr:row>0</xdr:row>
      <xdr:rowOff>0</xdr:rowOff>
    </xdr:from>
    <xdr:ext cx="7010400" cy="3686175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</xdr:row>
      <xdr:rowOff>0</xdr:rowOff>
    </xdr:from>
    <xdr:ext cx="11010900" cy="6105525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23</xdr:row>
      <xdr:rowOff>-200025</xdr:rowOff>
    </xdr:from>
    <xdr:ext cx="4714875" cy="3076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72</xdr:row>
      <xdr:rowOff>152400</xdr:rowOff>
    </xdr:from>
    <xdr:ext cx="6181725" cy="30861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38100</xdr:rowOff>
    </xdr:from>
    <xdr:ext cx="7953375" cy="6010275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6181725" cy="2209800"/>
    <xdr:pic>
      <xdr:nvPicPr>
        <xdr:cNvPr id="0" name="image1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5781675" cy="1809750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6524625" cy="2409825"/>
    <xdr:pic>
      <xdr:nvPicPr>
        <xdr:cNvPr id="0" name="image1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180975</xdr:rowOff>
    </xdr:from>
    <xdr:ext cx="4867275" cy="3228975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8553450" cy="618172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dp-si.com/resources/elements-of-metric-gear-technology/page4.ph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38.63"/>
    <col customWidth="1" min="3" max="5" width="12.63"/>
    <col customWidth="1" hidden="1" min="6" max="6" width="16.25"/>
    <col customWidth="1" hidden="1" min="7" max="7" width="12.63"/>
    <col customWidth="1" min="8" max="8" width="4.88"/>
    <col customWidth="1" min="9" max="9" width="29.63"/>
    <col customWidth="1" min="14" max="14" width="14.63"/>
    <col customWidth="1" min="15" max="15" width="15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3"/>
      <c r="G1" s="3"/>
      <c r="H1" s="4"/>
      <c r="I1" s="5" t="s">
        <v>4</v>
      </c>
      <c r="J1" s="6"/>
      <c r="K1" s="6"/>
      <c r="L1" s="6"/>
      <c r="M1" s="6"/>
      <c r="N1" s="6"/>
    </row>
    <row r="2" ht="15.75" customHeight="1">
      <c r="A2" s="7" t="s">
        <v>5</v>
      </c>
      <c r="B2" s="8">
        <v>122.0</v>
      </c>
      <c r="C2" s="9" t="s">
        <v>6</v>
      </c>
      <c r="D2" s="10">
        <f t="shared" ref="D2:D8" si="1">B2/25.4
</f>
        <v>4.803149606</v>
      </c>
      <c r="E2" s="9" t="s">
        <v>7</v>
      </c>
      <c r="F2" s="11"/>
      <c r="G2" s="11"/>
      <c r="H2" s="4"/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</row>
    <row r="3" ht="15.75" customHeight="1">
      <c r="A3" s="7" t="s">
        <v>15</v>
      </c>
      <c r="B3" s="8">
        <v>22.0</v>
      </c>
      <c r="C3" s="9" t="s">
        <v>6</v>
      </c>
      <c r="D3" s="10">
        <f t="shared" si="1"/>
        <v>0.8661417323</v>
      </c>
      <c r="E3" s="9" t="s">
        <v>7</v>
      </c>
      <c r="F3" s="11"/>
      <c r="G3" s="11"/>
      <c r="H3" s="11"/>
      <c r="I3" s="12" t="s">
        <v>16</v>
      </c>
      <c r="J3" s="6" t="s">
        <v>17</v>
      </c>
      <c r="K3" s="6">
        <v>40.0</v>
      </c>
      <c r="L3" s="6" t="s">
        <v>18</v>
      </c>
      <c r="M3" s="6"/>
      <c r="N3" s="6"/>
      <c r="O3" s="6"/>
      <c r="P3" s="11"/>
    </row>
    <row r="4" ht="15.75" customHeight="1">
      <c r="A4" s="7" t="s">
        <v>19</v>
      </c>
      <c r="B4" s="8">
        <v>26.0</v>
      </c>
      <c r="C4" s="9" t="s">
        <v>6</v>
      </c>
      <c r="D4" s="10">
        <f t="shared" si="1"/>
        <v>1.023622047</v>
      </c>
      <c r="E4" s="9" t="s">
        <v>7</v>
      </c>
      <c r="F4" s="11"/>
      <c r="G4" s="11"/>
      <c r="H4" s="11"/>
      <c r="I4" s="6" t="s">
        <v>20</v>
      </c>
      <c r="J4" s="6" t="s">
        <v>21</v>
      </c>
      <c r="K4" s="6">
        <f>10/K3</f>
        <v>0.25</v>
      </c>
      <c r="L4" s="6" t="s">
        <v>7</v>
      </c>
      <c r="M4" s="6"/>
      <c r="N4" s="6"/>
      <c r="O4" s="6" t="s">
        <v>22</v>
      </c>
    </row>
    <row r="5" ht="15.75" customHeight="1">
      <c r="A5" s="7" t="s">
        <v>23</v>
      </c>
      <c r="B5" s="8">
        <v>20.0</v>
      </c>
      <c r="C5" s="9" t="s">
        <v>6</v>
      </c>
      <c r="D5" s="10">
        <f t="shared" si="1"/>
        <v>0.7874015748</v>
      </c>
      <c r="E5" s="9" t="s">
        <v>7</v>
      </c>
      <c r="F5" s="11"/>
      <c r="G5" s="11"/>
      <c r="H5" s="11"/>
      <c r="I5" s="12" t="s">
        <v>24</v>
      </c>
      <c r="J5" s="6" t="s">
        <v>25</v>
      </c>
      <c r="K5" s="13">
        <v>32.0</v>
      </c>
      <c r="L5" s="6" t="s">
        <v>26</v>
      </c>
      <c r="M5" s="6"/>
      <c r="N5" s="6"/>
      <c r="O5" s="6"/>
    </row>
    <row r="6" ht="15.75" customHeight="1">
      <c r="A6" s="7" t="s">
        <v>27</v>
      </c>
      <c r="B6" s="8">
        <v>100.0</v>
      </c>
      <c r="C6" s="9" t="s">
        <v>6</v>
      </c>
      <c r="D6" s="10">
        <f t="shared" si="1"/>
        <v>3.937007874</v>
      </c>
      <c r="E6" s="9" t="s">
        <v>7</v>
      </c>
      <c r="F6" s="11"/>
      <c r="G6" s="11"/>
      <c r="H6" s="11"/>
      <c r="I6" s="12" t="s">
        <v>28</v>
      </c>
      <c r="J6" s="6" t="s">
        <v>29</v>
      </c>
      <c r="K6" s="13">
        <v>32.0</v>
      </c>
      <c r="L6" s="6" t="s">
        <v>26</v>
      </c>
      <c r="M6" s="6"/>
      <c r="N6" s="6"/>
      <c r="O6" s="6"/>
    </row>
    <row r="7" ht="15.75" customHeight="1">
      <c r="A7" s="7" t="s">
        <v>30</v>
      </c>
      <c r="B7" s="14">
        <v>25.0</v>
      </c>
      <c r="C7" s="9" t="s">
        <v>6</v>
      </c>
      <c r="D7" s="10">
        <f t="shared" si="1"/>
        <v>0.9842519685</v>
      </c>
      <c r="E7" s="9" t="s">
        <v>7</v>
      </c>
      <c r="F7" s="11"/>
      <c r="G7" s="11"/>
      <c r="H7" s="11"/>
      <c r="I7" s="6" t="s">
        <v>31</v>
      </c>
      <c r="J7" s="15" t="s">
        <v>32</v>
      </c>
      <c r="K7" s="6">
        <v>20.0</v>
      </c>
      <c r="L7" s="6" t="s">
        <v>33</v>
      </c>
      <c r="M7" s="6">
        <f>K7*(pi()/180)</f>
        <v>0.3490658504</v>
      </c>
      <c r="N7" s="6" t="s">
        <v>34</v>
      </c>
      <c r="O7" s="6"/>
    </row>
    <row r="8" ht="15.75" customHeight="1">
      <c r="A8" s="7" t="s">
        <v>35</v>
      </c>
      <c r="B8" s="14">
        <v>7.0</v>
      </c>
      <c r="C8" s="9" t="s">
        <v>6</v>
      </c>
      <c r="D8" s="10">
        <f t="shared" si="1"/>
        <v>0.2755905512</v>
      </c>
      <c r="E8" s="9" t="s">
        <v>7</v>
      </c>
      <c r="F8" s="11"/>
      <c r="G8" s="11"/>
      <c r="H8" s="11"/>
      <c r="I8" s="6" t="s">
        <v>36</v>
      </c>
      <c r="J8" s="6" t="s">
        <v>37</v>
      </c>
      <c r="K8" s="6">
        <f>D9*B10/100</f>
        <v>62.83185307</v>
      </c>
      <c r="L8" s="6" t="s">
        <v>38</v>
      </c>
      <c r="M8" s="10">
        <f>B9*D10*2*pi()/33000</f>
        <v>0.08425865737</v>
      </c>
      <c r="N8" s="9" t="s">
        <v>39</v>
      </c>
      <c r="O8" s="6"/>
    </row>
    <row r="9" ht="15.75" customHeight="1">
      <c r="A9" s="7" t="s">
        <v>40</v>
      </c>
      <c r="B9" s="14">
        <v>30000.0</v>
      </c>
      <c r="C9" s="9" t="s">
        <v>41</v>
      </c>
      <c r="D9" s="10">
        <f>B9*2*pi()/60
</f>
        <v>3141.592654</v>
      </c>
      <c r="E9" s="9" t="s">
        <v>42</v>
      </c>
      <c r="F9" s="11"/>
      <c r="G9" s="11"/>
      <c r="H9" s="11"/>
      <c r="I9" s="6" t="s">
        <v>43</v>
      </c>
      <c r="J9" s="6" t="s">
        <v>44</v>
      </c>
      <c r="K9" s="6">
        <f>K5/K6</f>
        <v>1</v>
      </c>
      <c r="L9" s="6"/>
      <c r="M9" s="6"/>
      <c r="N9" s="6"/>
      <c r="O9" s="6"/>
    </row>
    <row r="10" ht="15.75" customHeight="1">
      <c r="A10" s="16" t="s">
        <v>45</v>
      </c>
      <c r="B10" s="17">
        <v>2.0</v>
      </c>
      <c r="C10" s="18" t="s">
        <v>46</v>
      </c>
      <c r="D10" s="19">
        <f>(B10/100)*0.73756</f>
        <v>0.0147512</v>
      </c>
      <c r="E10" s="18" t="s">
        <v>47</v>
      </c>
      <c r="F10" s="11"/>
      <c r="G10" s="11"/>
      <c r="H10" s="11"/>
      <c r="I10" s="12" t="s">
        <v>48</v>
      </c>
      <c r="J10" s="6" t="s">
        <v>49</v>
      </c>
      <c r="K10" s="10">
        <v>30000.0</v>
      </c>
      <c r="L10" s="9" t="s">
        <v>41</v>
      </c>
      <c r="M10" s="10">
        <f>D10</f>
        <v>0.0147512</v>
      </c>
      <c r="N10" s="9" t="s">
        <v>42</v>
      </c>
      <c r="O10" s="6"/>
    </row>
    <row r="11" ht="15.75" customHeight="1">
      <c r="A11" s="20"/>
      <c r="B11" s="21"/>
      <c r="C11" s="20"/>
      <c r="D11" s="20"/>
      <c r="E11" s="20"/>
      <c r="F11" s="11"/>
      <c r="G11" s="11"/>
      <c r="H11" s="11"/>
      <c r="I11" s="12" t="s">
        <v>50</v>
      </c>
      <c r="J11" s="6" t="s">
        <v>44</v>
      </c>
      <c r="K11" s="6">
        <v>1.0</v>
      </c>
      <c r="L11" s="6"/>
      <c r="M11" s="6"/>
      <c r="N11" s="6"/>
      <c r="O11" s="6"/>
    </row>
    <row r="12" ht="15.75" customHeight="1">
      <c r="A12" s="22"/>
      <c r="B12" s="22"/>
      <c r="C12" s="22"/>
      <c r="D12" s="22"/>
      <c r="E12" s="22"/>
      <c r="F12" s="4"/>
      <c r="G12" s="4"/>
      <c r="H12" s="11"/>
      <c r="I12" s="12" t="s">
        <v>51</v>
      </c>
      <c r="J12" s="6" t="s">
        <v>52</v>
      </c>
      <c r="K12" s="6">
        <v>11.0</v>
      </c>
      <c r="L12" s="6"/>
      <c r="M12" s="6"/>
      <c r="N12" s="6"/>
      <c r="O12" s="6"/>
    </row>
    <row r="13" ht="15.75" customHeight="1">
      <c r="A13" s="23"/>
      <c r="B13" s="23"/>
      <c r="C13" s="23"/>
      <c r="D13" s="23"/>
      <c r="E13" s="23"/>
      <c r="F13" s="4"/>
      <c r="G13" s="4"/>
      <c r="H13" s="11"/>
      <c r="I13" s="6" t="s">
        <v>50</v>
      </c>
      <c r="J13" s="6" t="s">
        <v>53</v>
      </c>
      <c r="K13" s="6">
        <f>K6/K5</f>
        <v>1</v>
      </c>
      <c r="L13" s="6"/>
      <c r="M13" s="6"/>
      <c r="N13" s="6"/>
      <c r="O13" s="6"/>
    </row>
    <row r="14" ht="15.75" customHeight="1">
      <c r="A14" s="24" t="s">
        <v>54</v>
      </c>
      <c r="B14" s="25" t="s">
        <v>1</v>
      </c>
      <c r="C14" s="25" t="s">
        <v>2</v>
      </c>
      <c r="D14" s="25" t="s">
        <v>3</v>
      </c>
      <c r="E14" s="25" t="s">
        <v>2</v>
      </c>
      <c r="F14" s="4"/>
      <c r="G14" s="4"/>
      <c r="I14" s="12" t="s">
        <v>55</v>
      </c>
      <c r="J14" s="6" t="s">
        <v>56</v>
      </c>
      <c r="K14" s="6">
        <v>0.99</v>
      </c>
      <c r="L14" s="6"/>
      <c r="M14" s="6"/>
      <c r="N14" s="6"/>
      <c r="O14" s="6"/>
    </row>
    <row r="15" ht="15.75" customHeight="1">
      <c r="A15" s="7" t="s">
        <v>57</v>
      </c>
      <c r="B15" s="14">
        <v>2.0</v>
      </c>
      <c r="C15" s="9" t="s">
        <v>6</v>
      </c>
      <c r="D15" s="10">
        <f t="shared" ref="D15:D18" si="2">B15/25.4
</f>
        <v>0.07874015748</v>
      </c>
      <c r="E15" s="9" t="s">
        <v>7</v>
      </c>
      <c r="F15" s="4"/>
      <c r="G15" s="4"/>
      <c r="I15" s="12" t="s">
        <v>58</v>
      </c>
      <c r="J15" s="6" t="s">
        <v>59</v>
      </c>
      <c r="K15" s="26">
        <v>1.0E7</v>
      </c>
      <c r="L15" s="6"/>
      <c r="M15" s="6"/>
      <c r="N15" s="6"/>
      <c r="O15" s="6"/>
    </row>
    <row r="16" ht="15.75" customHeight="1">
      <c r="A16" s="7" t="s">
        <v>60</v>
      </c>
      <c r="B16" s="14">
        <v>4.0</v>
      </c>
      <c r="C16" s="9" t="s">
        <v>6</v>
      </c>
      <c r="D16" s="10">
        <f t="shared" si="2"/>
        <v>0.157480315</v>
      </c>
      <c r="E16" s="9" t="s">
        <v>7</v>
      </c>
      <c r="I16" s="27" t="s">
        <v>61</v>
      </c>
      <c r="J16" s="28" t="s">
        <v>62</v>
      </c>
      <c r="K16" s="28">
        <v>248.0</v>
      </c>
      <c r="L16" s="28"/>
      <c r="M16" s="28"/>
      <c r="N16" s="28"/>
      <c r="O16" s="28" t="s">
        <v>63</v>
      </c>
    </row>
    <row r="17" ht="15.75" customHeight="1">
      <c r="A17" s="7" t="s">
        <v>64</v>
      </c>
      <c r="B17" s="14">
        <v>1.6</v>
      </c>
      <c r="C17" s="9" t="s">
        <v>6</v>
      </c>
      <c r="D17" s="10">
        <f t="shared" si="2"/>
        <v>0.06299212598</v>
      </c>
      <c r="E17" s="9" t="s">
        <v>7</v>
      </c>
      <c r="H17" s="4"/>
      <c r="I17" s="12" t="s">
        <v>65</v>
      </c>
      <c r="J17" s="6" t="s">
        <v>66</v>
      </c>
      <c r="K17" s="6">
        <v>0.1</v>
      </c>
      <c r="L17" s="6" t="s">
        <v>7</v>
      </c>
      <c r="M17" s="6"/>
      <c r="N17" s="6"/>
      <c r="O17" s="6"/>
    </row>
    <row r="18" ht="15.75" customHeight="1">
      <c r="A18" s="7" t="s">
        <v>67</v>
      </c>
      <c r="B18" s="14">
        <v>26.0</v>
      </c>
      <c r="C18" s="9" t="s">
        <v>6</v>
      </c>
      <c r="D18" s="10">
        <f t="shared" si="2"/>
        <v>1.023622047</v>
      </c>
      <c r="E18" s="9" t="s">
        <v>7</v>
      </c>
      <c r="I18" s="12" t="s">
        <v>68</v>
      </c>
      <c r="J18" s="6" t="s">
        <v>69</v>
      </c>
      <c r="K18" s="6">
        <v>0.1</v>
      </c>
      <c r="L18" s="6" t="s">
        <v>7</v>
      </c>
      <c r="M18" s="6"/>
      <c r="N18" s="6"/>
      <c r="O18" s="6"/>
    </row>
    <row r="19" ht="15.75" customHeight="1">
      <c r="A19" s="6" t="s">
        <v>70</v>
      </c>
      <c r="B19" s="29">
        <v>2.0</v>
      </c>
      <c r="C19" s="6"/>
      <c r="D19" s="6"/>
      <c r="E19" s="6"/>
      <c r="I19" s="12" t="s">
        <v>71</v>
      </c>
      <c r="J19" s="6" t="s">
        <v>72</v>
      </c>
      <c r="K19" s="6">
        <v>0.25</v>
      </c>
      <c r="L19" s="6" t="s">
        <v>7</v>
      </c>
      <c r="M19" s="6"/>
      <c r="N19" s="6"/>
      <c r="O19" s="6"/>
    </row>
    <row r="20" ht="15.75" customHeight="1">
      <c r="I20" s="12" t="s">
        <v>73</v>
      </c>
      <c r="J20" s="6" t="s">
        <v>74</v>
      </c>
      <c r="K20" s="6">
        <v>0.25</v>
      </c>
      <c r="L20" s="6" t="s">
        <v>7</v>
      </c>
      <c r="M20" s="6"/>
      <c r="N20" s="6"/>
      <c r="O20" s="6"/>
    </row>
    <row r="21" ht="15.75" customHeight="1">
      <c r="I21" s="12" t="s">
        <v>75</v>
      </c>
      <c r="J21" s="6" t="s">
        <v>76</v>
      </c>
      <c r="K21" s="6">
        <v>0.11</v>
      </c>
      <c r="L21" s="6" t="s">
        <v>7</v>
      </c>
      <c r="M21" s="6"/>
      <c r="N21" s="6"/>
      <c r="O21" s="6"/>
    </row>
    <row r="22" ht="15.75" customHeight="1">
      <c r="A22" s="1" t="s">
        <v>77</v>
      </c>
      <c r="B22" s="30" t="s">
        <v>78</v>
      </c>
      <c r="C22" s="31"/>
      <c r="D22" s="2" t="s">
        <v>2</v>
      </c>
      <c r="E22" s="32" t="s">
        <v>3</v>
      </c>
      <c r="F22" s="31"/>
      <c r="G22" s="2" t="s">
        <v>2</v>
      </c>
    </row>
    <row r="23" ht="15.75" customHeight="1">
      <c r="A23" s="7" t="s">
        <v>79</v>
      </c>
      <c r="B23" s="10">
        <v>16000.0</v>
      </c>
      <c r="C23" s="10">
        <v>18000.0</v>
      </c>
      <c r="D23" s="9" t="s">
        <v>41</v>
      </c>
      <c r="E23" s="10">
        <f t="shared" ref="E23:F23" si="3">B23*2*pi()/60
</f>
        <v>1675.516082</v>
      </c>
      <c r="F23" s="10">
        <f t="shared" si="3"/>
        <v>1884.955592</v>
      </c>
      <c r="G23" s="9" t="s">
        <v>80</v>
      </c>
      <c r="I23" s="11" t="s">
        <v>81</v>
      </c>
      <c r="J23" s="11" t="s">
        <v>82</v>
      </c>
      <c r="K23" s="11">
        <f>0.5*D4</f>
        <v>0.5118110236</v>
      </c>
      <c r="L23" s="11" t="s">
        <v>7</v>
      </c>
    </row>
    <row r="24" ht="15.75" customHeight="1">
      <c r="I24" s="11" t="s">
        <v>83</v>
      </c>
    </row>
    <row r="25" ht="15.75" customHeight="1">
      <c r="J25" s="11">
        <f>0.5*D3</f>
        <v>0.4330708661</v>
      </c>
    </row>
    <row r="26" ht="15.75" customHeight="1">
      <c r="A26" s="1" t="s">
        <v>84</v>
      </c>
      <c r="B26" s="33"/>
      <c r="F26" s="11" t="s">
        <v>85</v>
      </c>
      <c r="G26" s="11" t="s">
        <v>42</v>
      </c>
    </row>
    <row r="27" ht="15.75" customHeight="1">
      <c r="A27" s="7" t="s">
        <v>86</v>
      </c>
      <c r="B27" s="9" t="s">
        <v>87</v>
      </c>
      <c r="F27" s="11" t="s">
        <v>88</v>
      </c>
      <c r="G27" s="11" t="s">
        <v>41</v>
      </c>
    </row>
    <row r="28" ht="15.75" customHeight="1">
      <c r="A28" s="7" t="s">
        <v>89</v>
      </c>
      <c r="B28" s="9" t="s">
        <v>90</v>
      </c>
    </row>
    <row r="29" ht="15.75" customHeight="1">
      <c r="A29" s="7" t="s">
        <v>91</v>
      </c>
      <c r="B29" s="9" t="s">
        <v>92</v>
      </c>
    </row>
    <row r="30" ht="15.75" customHeight="1">
      <c r="A30" s="7" t="s">
        <v>93</v>
      </c>
      <c r="B30" s="9" t="s">
        <v>94</v>
      </c>
    </row>
    <row r="31" ht="15.75" customHeight="1">
      <c r="A31" s="7" t="s">
        <v>95</v>
      </c>
      <c r="B31" s="9" t="s">
        <v>96</v>
      </c>
    </row>
    <row r="32" ht="15.75" customHeight="1">
      <c r="A32" s="34" t="s">
        <v>97</v>
      </c>
      <c r="B32" s="35" t="s">
        <v>98</v>
      </c>
    </row>
    <row r="33" ht="15.75" customHeight="1">
      <c r="A33" s="36"/>
      <c r="B33" s="6" t="s">
        <v>99</v>
      </c>
      <c r="C33" s="11"/>
    </row>
    <row r="34" ht="15.75" customHeight="1">
      <c r="A34" s="6" t="s">
        <v>100</v>
      </c>
      <c r="B34" s="6" t="s">
        <v>101</v>
      </c>
    </row>
    <row r="35" ht="15.75" customHeight="1">
      <c r="A35" s="6" t="s">
        <v>102</v>
      </c>
      <c r="B35" s="6" t="s">
        <v>103</v>
      </c>
    </row>
    <row r="36" ht="15.75" customHeight="1">
      <c r="A36" s="6" t="s">
        <v>104</v>
      </c>
      <c r="B36" s="6" t="s">
        <v>105</v>
      </c>
    </row>
    <row r="37" ht="15.75" customHeight="1">
      <c r="A37" s="6" t="s">
        <v>106</v>
      </c>
      <c r="B37" s="37" t="s">
        <v>107</v>
      </c>
    </row>
    <row r="38" ht="15.75" customHeight="1">
      <c r="A38" s="6" t="s">
        <v>108</v>
      </c>
      <c r="B38" s="6" t="s">
        <v>109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2:C22"/>
    <mergeCell ref="E22:F22"/>
    <mergeCell ref="A32:A3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hidden="1" min="2" max="5" width="12.63"/>
    <col customWidth="1" min="6" max="6" width="13.38"/>
    <col customWidth="1" min="11" max="11" width="28.75"/>
    <col customWidth="1" min="15" max="15" width="14.38"/>
    <col customWidth="1" min="24" max="25" width="17.0"/>
    <col customWidth="1" min="26" max="26" width="13.88"/>
  </cols>
  <sheetData>
    <row r="1" ht="15.75" customHeight="1">
      <c r="B1" s="11"/>
      <c r="F1" s="4"/>
      <c r="J1" s="11"/>
      <c r="K1" s="4"/>
      <c r="L1" s="4"/>
      <c r="M1" s="4"/>
      <c r="N1" s="4"/>
      <c r="O1" s="4"/>
      <c r="Q1" s="11"/>
      <c r="Z1" s="11"/>
      <c r="AA1" s="11"/>
      <c r="AB1" s="11"/>
    </row>
    <row r="2" ht="15.75" customHeight="1">
      <c r="B2" s="11"/>
      <c r="F2" s="5" t="s">
        <v>110</v>
      </c>
      <c r="G2" s="6"/>
      <c r="H2" s="6"/>
      <c r="I2" s="6"/>
      <c r="J2" s="11"/>
      <c r="K2" s="5" t="s">
        <v>111</v>
      </c>
      <c r="L2" s="5"/>
      <c r="M2" s="5"/>
      <c r="N2" s="5"/>
      <c r="O2" s="38"/>
      <c r="P2" s="33"/>
      <c r="Q2" s="11"/>
      <c r="Z2" s="11"/>
      <c r="AA2" s="11"/>
      <c r="AB2" s="11"/>
    </row>
    <row r="3" ht="15.75" customHeight="1">
      <c r="B3" s="11"/>
      <c r="F3" s="5" t="s">
        <v>8</v>
      </c>
      <c r="G3" s="5" t="s">
        <v>9</v>
      </c>
      <c r="H3" s="5" t="s">
        <v>112</v>
      </c>
      <c r="I3" s="5" t="s">
        <v>13</v>
      </c>
      <c r="J3" s="11"/>
      <c r="K3" s="5" t="s">
        <v>8</v>
      </c>
      <c r="L3" s="5" t="s">
        <v>9</v>
      </c>
      <c r="M3" s="5" t="s">
        <v>112</v>
      </c>
      <c r="N3" s="5" t="s">
        <v>13</v>
      </c>
      <c r="O3" s="24" t="s">
        <v>113</v>
      </c>
      <c r="P3" s="25" t="s">
        <v>14</v>
      </c>
      <c r="Q3" s="11"/>
      <c r="R3" s="11"/>
      <c r="S3" s="11"/>
      <c r="X3" s="11"/>
      <c r="AA3" s="11"/>
      <c r="AB3" s="11"/>
    </row>
    <row r="4" ht="15.75" customHeight="1">
      <c r="B4" s="11" t="s">
        <v>114</v>
      </c>
      <c r="F4" s="6" t="s">
        <v>115</v>
      </c>
      <c r="G4" s="6" t="s">
        <v>116</v>
      </c>
      <c r="H4" s="6">
        <f>Variables!K5</f>
        <v>32</v>
      </c>
      <c r="I4" s="6"/>
      <c r="J4" s="11"/>
      <c r="K4" s="6" t="s">
        <v>117</v>
      </c>
      <c r="L4" s="6" t="s">
        <v>44</v>
      </c>
      <c r="M4" s="6">
        <f>H13</f>
        <v>1</v>
      </c>
      <c r="N4" s="6"/>
      <c r="O4" s="7" t="s">
        <v>118</v>
      </c>
      <c r="P4" s="9" t="s">
        <v>119</v>
      </c>
      <c r="Q4" s="11"/>
      <c r="R4" s="11"/>
      <c r="AA4" s="11"/>
      <c r="AB4" s="11"/>
    </row>
    <row r="5" ht="15.75" customHeight="1">
      <c r="B5" s="39" t="s">
        <v>120</v>
      </c>
      <c r="C5" s="6" t="s">
        <v>121</v>
      </c>
      <c r="D5" s="6" t="s">
        <v>11</v>
      </c>
      <c r="F5" s="6" t="s">
        <v>122</v>
      </c>
      <c r="G5" s="6" t="s">
        <v>123</v>
      </c>
      <c r="H5" s="6">
        <f>Variables!K6</f>
        <v>32</v>
      </c>
      <c r="I5" s="6"/>
      <c r="J5" s="4"/>
      <c r="K5" s="6" t="s">
        <v>124</v>
      </c>
      <c r="L5" s="40" t="s">
        <v>125</v>
      </c>
      <c r="M5" s="6">
        <f t="shared" ref="M5:N5" si="1">H16</f>
        <v>30000</v>
      </c>
      <c r="N5" s="6" t="str">
        <f t="shared" si="1"/>
        <v>rpm</v>
      </c>
      <c r="O5" s="7" t="s">
        <v>126</v>
      </c>
      <c r="P5" s="9" t="s">
        <v>127</v>
      </c>
      <c r="Q5" s="4"/>
      <c r="R5" s="4"/>
      <c r="S5" s="4"/>
      <c r="T5" s="4"/>
      <c r="U5" s="4"/>
      <c r="X5" s="11"/>
      <c r="Y5" s="11"/>
    </row>
    <row r="6" ht="15.75" customHeight="1">
      <c r="B6" s="12" t="s">
        <v>89</v>
      </c>
      <c r="C6" s="6" t="str">
        <f t="shared" ref="C6:D6" si="2">T6</f>
        <v/>
      </c>
      <c r="D6" s="6" t="str">
        <f t="shared" si="2"/>
        <v/>
      </c>
      <c r="F6" s="6" t="s">
        <v>128</v>
      </c>
      <c r="G6" s="6" t="s">
        <v>129</v>
      </c>
      <c r="H6" s="6">
        <f>Variables!B9</f>
        <v>30000</v>
      </c>
      <c r="I6" s="6" t="str">
        <f>Variables!C9</f>
        <v>rpm</v>
      </c>
      <c r="J6" s="11"/>
      <c r="K6" s="6" t="s">
        <v>130</v>
      </c>
      <c r="L6" s="6" t="s">
        <v>131</v>
      </c>
      <c r="M6" s="6">
        <f t="shared" ref="M6:N6" si="3">H19</f>
        <v>0.0147512</v>
      </c>
      <c r="N6" s="6" t="str">
        <f t="shared" si="3"/>
        <v>ft*lbf</v>
      </c>
      <c r="O6" s="7" t="s">
        <v>132</v>
      </c>
      <c r="P6" s="9" t="s">
        <v>133</v>
      </c>
      <c r="Q6" s="11"/>
      <c r="R6" s="11"/>
      <c r="S6" s="11"/>
      <c r="X6" s="41"/>
      <c r="Y6" s="41"/>
    </row>
    <row r="7" ht="15.75" customHeight="1">
      <c r="B7" s="12" t="s">
        <v>91</v>
      </c>
      <c r="C7" s="6" t="str">
        <f t="shared" ref="C7:D7" si="4">T7</f>
        <v/>
      </c>
      <c r="D7" s="6" t="str">
        <f t="shared" si="4"/>
        <v/>
      </c>
      <c r="F7" s="6" t="s">
        <v>48</v>
      </c>
      <c r="G7" s="6" t="s">
        <v>134</v>
      </c>
      <c r="H7" s="6">
        <f>Variables!K10</f>
        <v>30000</v>
      </c>
      <c r="I7" s="6" t="str">
        <f>Variables!L10</f>
        <v>rpm</v>
      </c>
      <c r="J7" s="11"/>
      <c r="K7" s="6" t="s">
        <v>135</v>
      </c>
      <c r="L7" s="6" t="s">
        <v>136</v>
      </c>
      <c r="M7" s="6">
        <f t="shared" ref="M7:N7" si="5">H22</f>
        <v>0.08425865737</v>
      </c>
      <c r="N7" s="6" t="str">
        <f t="shared" si="5"/>
        <v>hp</v>
      </c>
      <c r="O7" s="7" t="s">
        <v>137</v>
      </c>
      <c r="P7" s="42" t="s">
        <v>138</v>
      </c>
      <c r="Q7" s="11"/>
      <c r="R7" s="11"/>
      <c r="S7" s="11"/>
      <c r="X7" s="41"/>
    </row>
    <row r="8" ht="15.75" customHeight="1">
      <c r="B8" s="6" t="s">
        <v>125</v>
      </c>
      <c r="C8" s="6">
        <f>Variables!D9</f>
        <v>3141.592654</v>
      </c>
      <c r="D8" s="6" t="str">
        <f>Variables!E9</f>
        <v>rad/s</v>
      </c>
      <c r="F8" s="6" t="s">
        <v>139</v>
      </c>
      <c r="G8" s="6" t="s">
        <v>140</v>
      </c>
      <c r="H8" s="6">
        <f>Variables!D10</f>
        <v>0.0147512</v>
      </c>
      <c r="I8" s="6" t="str">
        <f>Variables!E10</f>
        <v>ft*lbf</v>
      </c>
      <c r="J8" s="11"/>
      <c r="K8" s="6" t="s">
        <v>141</v>
      </c>
      <c r="L8" s="6" t="s">
        <v>142</v>
      </c>
      <c r="M8" s="6">
        <f t="shared" ref="M8:N8" si="6">H25</f>
        <v>0.08425865737</v>
      </c>
      <c r="N8" s="6" t="str">
        <f t="shared" si="6"/>
        <v>hp</v>
      </c>
      <c r="O8" s="7" t="s">
        <v>137</v>
      </c>
      <c r="P8" s="43" t="s">
        <v>143</v>
      </c>
      <c r="Q8" s="11"/>
      <c r="R8" s="11"/>
      <c r="S8" s="11"/>
      <c r="U8" s="11"/>
    </row>
    <row r="9" ht="15.75" customHeight="1">
      <c r="B9" s="6" t="s">
        <v>134</v>
      </c>
      <c r="C9" s="6">
        <f>Variables!D9</f>
        <v>3141.592654</v>
      </c>
      <c r="D9" s="6" t="str">
        <f>Variables!G23</f>
        <v>rads/s</v>
      </c>
      <c r="F9" s="27" t="s">
        <v>144</v>
      </c>
      <c r="G9" s="28" t="s">
        <v>145</v>
      </c>
      <c r="H9" s="28">
        <f t="shared" ref="H9:I9" si="7">H8</f>
        <v>0.0147512</v>
      </c>
      <c r="I9" s="28" t="str">
        <f t="shared" si="7"/>
        <v>ft*lbf</v>
      </c>
      <c r="J9" s="11"/>
      <c r="K9" s="6" t="s">
        <v>146</v>
      </c>
      <c r="L9" s="6"/>
      <c r="M9" s="6">
        <f t="shared" ref="M9:N9" si="8">H28</f>
        <v>100</v>
      </c>
      <c r="N9" s="6" t="str">
        <f t="shared" si="8"/>
        <v>%</v>
      </c>
      <c r="O9" s="7"/>
      <c r="P9" s="9" t="s">
        <v>147</v>
      </c>
      <c r="Q9" s="11"/>
      <c r="R9" s="11"/>
      <c r="S9" s="11"/>
      <c r="T9" s="11"/>
      <c r="U9" s="11"/>
    </row>
    <row r="10" ht="15.75" customHeight="1">
      <c r="B10" s="44"/>
      <c r="C10" s="6"/>
      <c r="D10" s="6"/>
      <c r="F10" s="28" t="s">
        <v>148</v>
      </c>
      <c r="G10" s="28" t="s">
        <v>37</v>
      </c>
      <c r="H10" s="28">
        <f>Variables!M8</f>
        <v>0.08425865737</v>
      </c>
      <c r="I10" s="28" t="str">
        <f>Variables!N8</f>
        <v>hp</v>
      </c>
      <c r="J10" s="45"/>
      <c r="K10" s="11"/>
      <c r="L10" s="11"/>
      <c r="N10" s="11"/>
      <c r="O10" s="11"/>
      <c r="P10" s="11"/>
      <c r="Q10" s="45"/>
      <c r="R10" s="45"/>
      <c r="S10" s="45"/>
    </row>
    <row r="11" ht="15.75" customHeight="1">
      <c r="B11" s="44" t="s">
        <v>149</v>
      </c>
      <c r="C11" s="6">
        <f>Variables!B10/100</f>
        <v>0.02</v>
      </c>
      <c r="D11" s="6" t="s">
        <v>150</v>
      </c>
      <c r="F11" s="46"/>
      <c r="G11" s="46"/>
      <c r="H11" s="46"/>
      <c r="I11" s="46"/>
      <c r="J11" s="45"/>
      <c r="K11" s="11"/>
      <c r="L11" s="11"/>
      <c r="N11" s="11"/>
      <c r="O11" s="11"/>
      <c r="P11" s="11"/>
      <c r="Q11" s="45"/>
      <c r="R11" s="45"/>
      <c r="S11" s="45"/>
    </row>
    <row r="12" ht="15.75" customHeight="1">
      <c r="B12" s="6" t="s">
        <v>151</v>
      </c>
      <c r="C12" s="6" t="str">
        <f>Variables!B11</f>
        <v/>
      </c>
      <c r="D12" s="6" t="str">
        <f>Variables!C11</f>
        <v/>
      </c>
      <c r="F12" s="11"/>
      <c r="G12" s="11" t="s">
        <v>152</v>
      </c>
      <c r="J12" s="11"/>
      <c r="K12" s="11"/>
      <c r="L12" s="11"/>
      <c r="N12" s="11"/>
      <c r="O12" s="11"/>
      <c r="P12" s="11"/>
      <c r="Q12" s="11"/>
      <c r="R12" s="11"/>
      <c r="S12" s="11"/>
    </row>
    <row r="13" ht="15.75" customHeight="1">
      <c r="F13" s="11"/>
      <c r="G13" s="11" t="s">
        <v>44</v>
      </c>
      <c r="H13" s="11">
        <f>H4/H5</f>
        <v>1</v>
      </c>
      <c r="K13" s="11"/>
      <c r="L13" s="11"/>
      <c r="N13" s="11"/>
      <c r="O13" s="11"/>
      <c r="P13" s="11"/>
    </row>
    <row r="14" ht="15.75" customHeight="1">
      <c r="A14" s="11"/>
      <c r="B14" s="11" t="s">
        <v>152</v>
      </c>
      <c r="E14" s="11"/>
      <c r="F14" s="11"/>
      <c r="J14" s="11"/>
      <c r="Q14" s="11"/>
      <c r="R14" s="11"/>
    </row>
    <row r="15" ht="15.75" customHeight="1">
      <c r="B15" s="11" t="s">
        <v>44</v>
      </c>
      <c r="C15" s="11" t="str">
        <f>C6/C7</f>
        <v>#DIV/0!</v>
      </c>
      <c r="F15" s="11"/>
      <c r="G15" s="11" t="s">
        <v>153</v>
      </c>
      <c r="J15" s="11"/>
      <c r="L15" s="47"/>
      <c r="P15" s="11"/>
      <c r="Q15" s="11"/>
      <c r="R15" s="11"/>
    </row>
    <row r="16" ht="15.75" customHeight="1">
      <c r="G16" s="11" t="s">
        <v>125</v>
      </c>
      <c r="H16" s="11">
        <f>H7/H13</f>
        <v>30000</v>
      </c>
      <c r="I16" s="11" t="str">
        <f>I6</f>
        <v>rpm</v>
      </c>
      <c r="L16" s="48"/>
      <c r="P16" s="11"/>
    </row>
    <row r="17" ht="15.75" customHeight="1">
      <c r="B17" s="11" t="s">
        <v>153</v>
      </c>
      <c r="F17" s="11"/>
      <c r="J17" s="11"/>
      <c r="P17" s="11"/>
      <c r="Q17" s="11"/>
      <c r="R17" s="11"/>
    </row>
    <row r="18" ht="15.75" customHeight="1">
      <c r="B18" s="11" t="s">
        <v>154</v>
      </c>
      <c r="C18" s="11" t="str">
        <f>C9/C15</f>
        <v>#DIV/0!</v>
      </c>
      <c r="D18" s="11" t="str">
        <f>D8</f>
        <v>rad/s</v>
      </c>
      <c r="F18" s="11"/>
      <c r="G18" s="11" t="s">
        <v>155</v>
      </c>
      <c r="J18" s="11"/>
      <c r="P18" s="11"/>
      <c r="Q18" s="11"/>
      <c r="R18" s="11"/>
    </row>
    <row r="19" ht="15.75" customHeight="1">
      <c r="G19" s="40" t="s">
        <v>131</v>
      </c>
      <c r="H19" s="11">
        <f>H9*H16/H7</f>
        <v>0.0147512</v>
      </c>
      <c r="I19" s="11" t="str">
        <f>I8</f>
        <v>ft*lbf</v>
      </c>
      <c r="P19" s="11"/>
    </row>
    <row r="20" ht="15.75" customHeight="1">
      <c r="B20" s="11" t="s">
        <v>156</v>
      </c>
      <c r="F20" s="11"/>
      <c r="J20" s="11"/>
      <c r="Q20" s="11"/>
      <c r="R20" s="11"/>
    </row>
    <row r="21" ht="15.75" customHeight="1">
      <c r="B21" s="40" t="s">
        <v>157</v>
      </c>
      <c r="C21" s="11" t="str">
        <f>C11*C18/C9</f>
        <v>#DIV/0!</v>
      </c>
      <c r="F21" s="49"/>
      <c r="G21" s="11" t="s">
        <v>158</v>
      </c>
      <c r="J21" s="49"/>
      <c r="L21" s="50"/>
      <c r="P21" s="11"/>
      <c r="Q21" s="49"/>
      <c r="R21" s="49"/>
      <c r="S21" s="49"/>
    </row>
    <row r="22" ht="15.75" customHeight="1">
      <c r="G22" s="11" t="s">
        <v>136</v>
      </c>
      <c r="H22" s="51">
        <f>H19*H7*2*pi()/33000</f>
        <v>0.08425865737</v>
      </c>
      <c r="I22" s="11" t="str">
        <f>I10</f>
        <v>hp</v>
      </c>
      <c r="L22" s="50"/>
    </row>
    <row r="23" ht="15.75" customHeight="1">
      <c r="B23" s="11" t="s">
        <v>159</v>
      </c>
      <c r="F23" s="11"/>
      <c r="J23" s="11"/>
      <c r="Q23" s="11"/>
      <c r="R23" s="11"/>
    </row>
    <row r="24" ht="15.75" customHeight="1">
      <c r="B24" s="11"/>
      <c r="C24" s="51"/>
      <c r="F24" s="11"/>
      <c r="G24" s="11" t="s">
        <v>160</v>
      </c>
      <c r="J24" s="11"/>
      <c r="Q24" s="11"/>
      <c r="R24" s="11"/>
      <c r="T24" s="51"/>
    </row>
    <row r="25" ht="15.75" customHeight="1">
      <c r="B25" s="11"/>
      <c r="C25" s="51"/>
      <c r="F25" s="11"/>
      <c r="G25" s="11" t="s">
        <v>142</v>
      </c>
      <c r="H25" s="11">
        <f>H9*H16*2*pi()/33000</f>
        <v>0.08425865737</v>
      </c>
      <c r="I25" s="11" t="str">
        <f>I10</f>
        <v>hp</v>
      </c>
      <c r="J25" s="11"/>
      <c r="Q25" s="11"/>
      <c r="R25" s="11"/>
      <c r="T25" s="51"/>
    </row>
    <row r="26" ht="15.75" customHeight="1">
      <c r="B26" s="11"/>
      <c r="C26" s="51"/>
      <c r="F26" s="11"/>
      <c r="G26" s="11"/>
      <c r="J26" s="11"/>
      <c r="Q26" s="11"/>
      <c r="R26" s="11"/>
      <c r="T26" s="51"/>
    </row>
    <row r="27" ht="15.75" customHeight="1">
      <c r="B27" s="11" t="s">
        <v>161</v>
      </c>
      <c r="C27" s="51" t="str">
        <f>C21*C9</f>
        <v>#DIV/0!</v>
      </c>
      <c r="D27" s="11" t="str">
        <f>D12</f>
        <v/>
      </c>
      <c r="F27" s="11"/>
      <c r="G27" s="11" t="s">
        <v>162</v>
      </c>
      <c r="J27" s="11"/>
      <c r="Q27" s="11"/>
      <c r="R27" s="11"/>
      <c r="T27" s="51"/>
    </row>
    <row r="28" ht="15.75" customHeight="1">
      <c r="G28" s="11" t="s">
        <v>163</v>
      </c>
      <c r="H28" s="11">
        <f>H25/H10*100</f>
        <v>100</v>
      </c>
      <c r="I28" s="11" t="s">
        <v>164</v>
      </c>
    </row>
    <row r="29" ht="15.75" customHeight="1">
      <c r="B29" s="11" t="s">
        <v>162</v>
      </c>
      <c r="F29" s="11"/>
      <c r="G29" s="11"/>
      <c r="H29" s="11"/>
      <c r="I29" s="11"/>
      <c r="J29" s="11"/>
      <c r="Q29" s="11"/>
      <c r="R29" s="11"/>
    </row>
    <row r="30" ht="15.75" customHeight="1">
      <c r="B30" s="11" t="s">
        <v>163</v>
      </c>
      <c r="C30" s="11" t="str">
        <f>C27/C12*100</f>
        <v>#DIV/0!</v>
      </c>
      <c r="F30" s="11"/>
      <c r="G30" s="11"/>
      <c r="H30" s="11"/>
      <c r="I30" s="11"/>
      <c r="J30" s="11"/>
      <c r="Q30" s="11"/>
      <c r="R30" s="11"/>
    </row>
    <row r="31" ht="15.75" customHeight="1"/>
    <row r="32" ht="15.75" customHeight="1"/>
    <row r="33" ht="15.75" customHeight="1">
      <c r="F33" s="4"/>
      <c r="G33" s="4"/>
      <c r="H33" s="4"/>
      <c r="I33" s="4"/>
      <c r="J33" s="4"/>
      <c r="Q33" s="4"/>
      <c r="R33" s="4"/>
      <c r="S33" s="4"/>
      <c r="T33" s="4"/>
      <c r="U33" s="4"/>
    </row>
    <row r="34" ht="15.75" customHeight="1">
      <c r="F34" s="11"/>
      <c r="G34" s="11"/>
      <c r="H34" s="11"/>
      <c r="I34" s="11"/>
      <c r="J34" s="11"/>
      <c r="P34" s="11"/>
      <c r="Q34" s="11"/>
      <c r="R34" s="11"/>
      <c r="S34" s="11"/>
    </row>
    <row r="35" ht="15.75" customHeight="1"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</row>
    <row r="36" ht="15.75" customHeight="1"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</row>
    <row r="37" ht="15.75" customHeight="1"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S3:U3"/>
    <mergeCell ref="Y5:Z5"/>
    <mergeCell ref="Y6:Y7"/>
  </mergeCells>
  <conditionalFormatting sqref="C18 H16 T18">
    <cfRule type="cellIs" dxfId="0" priority="1" operator="greaterThan">
      <formula>H6</formula>
    </cfRule>
  </conditionalFormatting>
  <conditionalFormatting sqref="C18 H16 T18">
    <cfRule type="cellIs" dxfId="1" priority="2" operator="lessThanOrEqual">
      <formula>H6</formula>
    </cfRule>
  </conditionalFormatting>
  <conditionalFormatting sqref="H25">
    <cfRule type="cellIs" dxfId="1" priority="3" operator="lessThanOrEqual">
      <formula>H10</formula>
    </cfRule>
  </conditionalFormatting>
  <conditionalFormatting sqref="H25">
    <cfRule type="cellIs" dxfId="0" priority="4" operator="greaterThan">
      <formula>H10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4" width="12.63"/>
    <col customWidth="1" min="5" max="5" width="16.5"/>
    <col customWidth="1" min="6" max="6" width="25.75"/>
    <col customWidth="1" min="7" max="7" width="8.75"/>
    <col customWidth="1" min="8" max="8" width="9.38"/>
    <col customWidth="1" min="9" max="9" width="9.13"/>
    <col customWidth="1" min="10" max="10" width="12.0"/>
    <col customWidth="1" min="11" max="11" width="12.5"/>
    <col customWidth="1" min="12" max="12" width="16.0"/>
  </cols>
  <sheetData>
    <row r="1" ht="15.75" customHeight="1">
      <c r="A1" s="5" t="s">
        <v>110</v>
      </c>
      <c r="B1" s="6"/>
      <c r="C1" s="6"/>
      <c r="D1" s="6"/>
      <c r="F1" s="5" t="s">
        <v>165</v>
      </c>
      <c r="G1" s="5"/>
      <c r="H1" s="5"/>
      <c r="I1" s="5"/>
      <c r="J1" s="5"/>
      <c r="K1" s="6"/>
    </row>
    <row r="2" ht="15.75" customHeight="1">
      <c r="A2" s="5" t="s">
        <v>8</v>
      </c>
      <c r="B2" s="5" t="s">
        <v>9</v>
      </c>
      <c r="C2" s="5" t="s">
        <v>112</v>
      </c>
      <c r="D2" s="5" t="s">
        <v>13</v>
      </c>
      <c r="F2" s="5" t="s">
        <v>8</v>
      </c>
      <c r="G2" s="5" t="s">
        <v>9</v>
      </c>
      <c r="H2" s="52" t="s">
        <v>112</v>
      </c>
      <c r="I2" s="5" t="s">
        <v>13</v>
      </c>
      <c r="J2" s="5" t="s">
        <v>14</v>
      </c>
      <c r="K2" s="5" t="s">
        <v>113</v>
      </c>
    </row>
    <row r="3" ht="15.75" customHeight="1">
      <c r="A3" s="6" t="s">
        <v>115</v>
      </c>
      <c r="B3" s="6" t="s">
        <v>116</v>
      </c>
      <c r="C3" s="6">
        <f>Variables!K5</f>
        <v>32</v>
      </c>
      <c r="D3" s="6"/>
      <c r="F3" s="6" t="s">
        <v>166</v>
      </c>
      <c r="G3" s="6" t="s">
        <v>167</v>
      </c>
      <c r="H3" s="53">
        <f t="shared" ref="H3:H4" si="1">H5/C3</f>
        <v>0.025</v>
      </c>
      <c r="I3" s="6" t="s">
        <v>7</v>
      </c>
      <c r="J3" s="6" t="s">
        <v>168</v>
      </c>
      <c r="K3" s="6" t="s">
        <v>169</v>
      </c>
    </row>
    <row r="4" ht="15.75" customHeight="1">
      <c r="A4" s="6" t="s">
        <v>122</v>
      </c>
      <c r="B4" s="6" t="s">
        <v>123</v>
      </c>
      <c r="C4" s="6">
        <f>Variables!K6</f>
        <v>32</v>
      </c>
      <c r="D4" s="6"/>
      <c r="F4" s="6" t="s">
        <v>170</v>
      </c>
      <c r="G4" s="6" t="s">
        <v>171</v>
      </c>
      <c r="H4" s="53">
        <f t="shared" si="1"/>
        <v>0.025</v>
      </c>
      <c r="I4" s="6" t="s">
        <v>7</v>
      </c>
      <c r="J4" s="6" t="s">
        <v>172</v>
      </c>
      <c r="K4" s="6" t="s">
        <v>169</v>
      </c>
    </row>
    <row r="5" ht="15.75" customHeight="1">
      <c r="A5" s="6" t="s">
        <v>20</v>
      </c>
      <c r="B5" s="6" t="s">
        <v>21</v>
      </c>
      <c r="C5" s="6">
        <f>Variables!K4</f>
        <v>0.25</v>
      </c>
      <c r="D5" s="6" t="s">
        <v>7</v>
      </c>
      <c r="F5" s="6" t="s">
        <v>173</v>
      </c>
      <c r="G5" s="6" t="s">
        <v>174</v>
      </c>
      <c r="H5" s="53">
        <f>C3/C7</f>
        <v>0.8</v>
      </c>
      <c r="I5" s="6" t="s">
        <v>7</v>
      </c>
      <c r="J5" s="6" t="s">
        <v>175</v>
      </c>
      <c r="K5" s="6" t="s">
        <v>176</v>
      </c>
    </row>
    <row r="6" ht="15.75" customHeight="1">
      <c r="A6" s="6" t="s">
        <v>177</v>
      </c>
      <c r="B6" s="6" t="s">
        <v>178</v>
      </c>
      <c r="C6" s="6">
        <f>Variables!D10</f>
        <v>0.0147512</v>
      </c>
      <c r="D6" s="6" t="s">
        <v>179</v>
      </c>
      <c r="F6" s="6" t="s">
        <v>180</v>
      </c>
      <c r="G6" s="6" t="s">
        <v>181</v>
      </c>
      <c r="H6" s="53">
        <f>C4/C7</f>
        <v>0.8</v>
      </c>
      <c r="I6" s="6" t="s">
        <v>7</v>
      </c>
      <c r="J6" s="6" t="s">
        <v>182</v>
      </c>
      <c r="K6" s="6" t="s">
        <v>176</v>
      </c>
    </row>
    <row r="7" ht="15.75" customHeight="1">
      <c r="A7" s="6" t="s">
        <v>183</v>
      </c>
      <c r="B7" s="6" t="s">
        <v>17</v>
      </c>
      <c r="C7" s="6">
        <f>Variables!K3</f>
        <v>40</v>
      </c>
      <c r="D7" s="6" t="s">
        <v>18</v>
      </c>
      <c r="F7" s="6" t="s">
        <v>184</v>
      </c>
      <c r="G7" s="6" t="s">
        <v>185</v>
      </c>
      <c r="H7" s="53">
        <f>(0.188/C7)+0.002</f>
        <v>0.0067</v>
      </c>
      <c r="I7" s="6" t="s">
        <v>7</v>
      </c>
      <c r="J7" s="6" t="s">
        <v>186</v>
      </c>
      <c r="K7" s="6" t="s">
        <v>187</v>
      </c>
    </row>
    <row r="8" ht="15.75" customHeight="1">
      <c r="A8" s="6" t="s">
        <v>188</v>
      </c>
      <c r="B8" s="6" t="s">
        <v>44</v>
      </c>
      <c r="C8" s="6">
        <f>Variables!K11</f>
        <v>1</v>
      </c>
      <c r="D8" s="6"/>
      <c r="F8" s="6" t="s">
        <v>189</v>
      </c>
      <c r="G8" s="6" t="s">
        <v>190</v>
      </c>
      <c r="H8" s="53">
        <f t="shared" ref="H8:H9" si="2">pi()*H3</f>
        <v>0.07853981634</v>
      </c>
      <c r="I8" s="6" t="s">
        <v>7</v>
      </c>
      <c r="J8" s="6" t="s">
        <v>191</v>
      </c>
      <c r="K8" s="6" t="s">
        <v>192</v>
      </c>
    </row>
    <row r="9" ht="15.75" customHeight="1">
      <c r="A9" s="6" t="s">
        <v>193</v>
      </c>
      <c r="B9" s="54" t="s">
        <v>32</v>
      </c>
      <c r="C9" s="6">
        <f>Variables!K7</f>
        <v>20</v>
      </c>
      <c r="D9" s="6" t="s">
        <v>33</v>
      </c>
      <c r="F9" s="6" t="s">
        <v>194</v>
      </c>
      <c r="G9" s="6" t="s">
        <v>195</v>
      </c>
      <c r="H9" s="53">
        <f t="shared" si="2"/>
        <v>0.07853981634</v>
      </c>
      <c r="I9" s="6" t="s">
        <v>7</v>
      </c>
      <c r="J9" s="6" t="s">
        <v>196</v>
      </c>
      <c r="K9" s="6" t="s">
        <v>192</v>
      </c>
    </row>
    <row r="10" ht="15.75" customHeight="1">
      <c r="F10" s="6" t="s">
        <v>197</v>
      </c>
      <c r="G10" s="6" t="s">
        <v>198</v>
      </c>
      <c r="H10" s="53">
        <f>(0.54/C7)+(0.46/(C7*(H16)^2))</f>
        <v>0.025</v>
      </c>
      <c r="I10" s="6" t="s">
        <v>7</v>
      </c>
      <c r="J10" s="6" t="s">
        <v>199</v>
      </c>
      <c r="K10" s="6" t="s">
        <v>187</v>
      </c>
    </row>
    <row r="11" ht="15.75" customHeight="1">
      <c r="F11" s="6" t="s">
        <v>200</v>
      </c>
      <c r="G11" s="6" t="s">
        <v>201</v>
      </c>
      <c r="H11" s="53">
        <f>1.157/C7</f>
        <v>0.028925</v>
      </c>
      <c r="I11" s="6" t="s">
        <v>7</v>
      </c>
      <c r="J11" s="6" t="s">
        <v>202</v>
      </c>
      <c r="K11" s="6" t="s">
        <v>203</v>
      </c>
    </row>
    <row r="12" ht="15.75" customHeight="1">
      <c r="F12" s="6" t="s">
        <v>204</v>
      </c>
      <c r="G12" s="6" t="s">
        <v>205</v>
      </c>
      <c r="H12" s="53">
        <f>2.157/C7</f>
        <v>0.053925</v>
      </c>
      <c r="I12" s="6" t="s">
        <v>7</v>
      </c>
      <c r="J12" s="6" t="s">
        <v>206</v>
      </c>
      <c r="K12" s="6"/>
    </row>
    <row r="13" ht="15.75" customHeight="1">
      <c r="F13" s="6" t="s">
        <v>207</v>
      </c>
      <c r="G13" s="54" t="s">
        <v>208</v>
      </c>
      <c r="H13" s="53">
        <f>ATAN(C3/C4)</f>
        <v>0.7853981634</v>
      </c>
      <c r="I13" s="6" t="s">
        <v>34</v>
      </c>
      <c r="J13" s="6" t="s">
        <v>209</v>
      </c>
      <c r="K13" s="6" t="s">
        <v>210</v>
      </c>
      <c r="L13" s="11">
        <f>57.2958*ATAN(C3/C4)</f>
        <v>45.00001609</v>
      </c>
      <c r="M13" s="11" t="s">
        <v>33</v>
      </c>
    </row>
    <row r="14" ht="15.75" customHeight="1">
      <c r="A14" s="55" t="s">
        <v>211</v>
      </c>
      <c r="F14" s="6" t="s">
        <v>212</v>
      </c>
      <c r="G14" s="56" t="s">
        <v>213</v>
      </c>
      <c r="H14" s="53">
        <f>ATAN(C4/C3)</f>
        <v>0.7853981634</v>
      </c>
      <c r="I14" s="6" t="s">
        <v>34</v>
      </c>
      <c r="J14" s="6" t="s">
        <v>214</v>
      </c>
      <c r="K14" s="6" t="s">
        <v>210</v>
      </c>
      <c r="L14" s="11">
        <f>57.2958*ATAN(C4/C3)</f>
        <v>45.00001609</v>
      </c>
      <c r="M14" s="11" t="s">
        <v>33</v>
      </c>
    </row>
    <row r="15" ht="15.75" customHeight="1">
      <c r="F15" s="6" t="s">
        <v>215</v>
      </c>
      <c r="G15" s="6" t="s">
        <v>216</v>
      </c>
      <c r="H15" s="53">
        <f>2/C7</f>
        <v>0.05</v>
      </c>
      <c r="I15" s="6" t="s">
        <v>7</v>
      </c>
      <c r="J15" s="6" t="s">
        <v>217</v>
      </c>
      <c r="K15" s="6" t="s">
        <v>187</v>
      </c>
    </row>
    <row r="16" ht="15.75" customHeight="1">
      <c r="F16" s="6" t="s">
        <v>218</v>
      </c>
      <c r="G16" s="6" t="s">
        <v>219</v>
      </c>
      <c r="H16" s="53">
        <f>SQRT(C8*(COS(H13)/COS(H14)))</f>
        <v>1</v>
      </c>
      <c r="I16" s="6" t="s">
        <v>7</v>
      </c>
      <c r="J16" s="6" t="s">
        <v>220</v>
      </c>
      <c r="K16" s="6" t="s">
        <v>187</v>
      </c>
    </row>
    <row r="17" ht="15.75" customHeight="1">
      <c r="F17" s="6" t="s">
        <v>221</v>
      </c>
      <c r="G17" s="6" t="s">
        <v>222</v>
      </c>
      <c r="H17" s="53">
        <f>C5/0.3</f>
        <v>0.8333333333</v>
      </c>
      <c r="I17" s="6" t="s">
        <v>7</v>
      </c>
      <c r="J17" s="6" t="s">
        <v>223</v>
      </c>
      <c r="K17" s="6" t="s">
        <v>187</v>
      </c>
    </row>
    <row r="18" ht="15.75" customHeight="1">
      <c r="F18" s="6" t="s">
        <v>224</v>
      </c>
      <c r="G18" s="6" t="s">
        <v>225</v>
      </c>
      <c r="H18" s="53">
        <f>H17*tan(H13)</f>
        <v>0.8333333333</v>
      </c>
      <c r="I18" s="6" t="s">
        <v>7</v>
      </c>
      <c r="J18" s="6" t="s">
        <v>226</v>
      </c>
      <c r="K18" s="6"/>
    </row>
    <row r="19" ht="15.75" customHeight="1">
      <c r="F19" s="6" t="s">
        <v>227</v>
      </c>
      <c r="G19" s="57" t="s">
        <v>228</v>
      </c>
      <c r="H19" s="53">
        <f>atan(H10/H17)</f>
        <v>0.02999100486</v>
      </c>
      <c r="I19" s="6" t="s">
        <v>34</v>
      </c>
      <c r="J19" s="6" t="s">
        <v>229</v>
      </c>
      <c r="K19" s="58" t="s">
        <v>230</v>
      </c>
      <c r="L19" s="59">
        <f>57.2958*atan(H10/H17)</f>
        <v>1.718358616</v>
      </c>
      <c r="M19" s="11" t="s">
        <v>33</v>
      </c>
    </row>
    <row r="20" ht="15.75" customHeight="1">
      <c r="F20" s="6" t="s">
        <v>231</v>
      </c>
      <c r="G20" s="57" t="s">
        <v>232</v>
      </c>
      <c r="H20" s="53">
        <f>atan(H11/H17)</f>
        <v>0.03469607072</v>
      </c>
      <c r="I20" s="6" t="s">
        <v>34</v>
      </c>
      <c r="J20" s="6" t="s">
        <v>233</v>
      </c>
      <c r="K20" s="58" t="s">
        <v>230</v>
      </c>
      <c r="L20" s="59">
        <f>57.2958*atan(H11/H17)</f>
        <v>1.987939129</v>
      </c>
      <c r="M20" s="11" t="s">
        <v>33</v>
      </c>
    </row>
    <row r="21" ht="15.75" customHeight="1">
      <c r="F21" s="6" t="s">
        <v>234</v>
      </c>
      <c r="G21" s="6" t="s">
        <v>235</v>
      </c>
      <c r="H21" s="53">
        <f>H19*cos(H14)</f>
        <v>0.02120684291</v>
      </c>
      <c r="I21" s="6" t="s">
        <v>34</v>
      </c>
      <c r="J21" s="6" t="s">
        <v>236</v>
      </c>
      <c r="K21" s="6"/>
      <c r="L21" s="11">
        <f t="shared" ref="L21:L22" si="3">57.2958*H21</f>
        <v>1.21506303</v>
      </c>
      <c r="M21" s="11" t="s">
        <v>33</v>
      </c>
    </row>
    <row r="22" ht="15.75" customHeight="1">
      <c r="F22" s="6" t="s">
        <v>237</v>
      </c>
      <c r="G22" s="6" t="s">
        <v>238</v>
      </c>
      <c r="H22" s="53">
        <f>H19*cos(H13)</f>
        <v>0.02120684291</v>
      </c>
      <c r="I22" s="6" t="s">
        <v>34</v>
      </c>
      <c r="J22" s="6" t="s">
        <v>239</v>
      </c>
      <c r="K22" s="6"/>
      <c r="L22" s="11">
        <f t="shared" si="3"/>
        <v>1.21506303</v>
      </c>
      <c r="M22" s="11" t="s">
        <v>33</v>
      </c>
    </row>
    <row r="23" ht="15.75" customHeight="1">
      <c r="F23" s="6" t="s">
        <v>240</v>
      </c>
      <c r="G23" s="6" t="s">
        <v>241</v>
      </c>
      <c r="H23" s="53">
        <f>H14-H19</f>
        <v>0.7554071585</v>
      </c>
      <c r="I23" s="6" t="s">
        <v>34</v>
      </c>
      <c r="J23" s="60" t="s">
        <v>242</v>
      </c>
      <c r="K23" s="6" t="s">
        <v>230</v>
      </c>
      <c r="L23" s="59">
        <f>(H14-H19)*57.2958</f>
        <v>43.28165747</v>
      </c>
      <c r="M23" s="11" t="s">
        <v>33</v>
      </c>
    </row>
    <row r="24" ht="15.75" customHeight="1">
      <c r="F24" s="6" t="s">
        <v>243</v>
      </c>
      <c r="G24" s="6" t="s">
        <v>244</v>
      </c>
      <c r="H24" s="53">
        <f>H14-H20</f>
        <v>0.7507020927</v>
      </c>
      <c r="I24" s="6" t="s">
        <v>34</v>
      </c>
      <c r="J24" s="60" t="s">
        <v>245</v>
      </c>
      <c r="K24" s="6" t="s">
        <v>230</v>
      </c>
      <c r="L24" s="11">
        <f t="shared" ref="L24:L26" si="4">H24*57.2958</f>
        <v>43.01207696</v>
      </c>
      <c r="M24" s="11" t="s">
        <v>33</v>
      </c>
    </row>
    <row r="25" ht="15.75" customHeight="1">
      <c r="F25" s="6" t="s">
        <v>246</v>
      </c>
      <c r="G25" s="6" t="s">
        <v>247</v>
      </c>
      <c r="H25" s="53">
        <f>H13-H19</f>
        <v>0.7554071585</v>
      </c>
      <c r="I25" s="6" t="s">
        <v>34</v>
      </c>
      <c r="J25" s="60" t="s">
        <v>248</v>
      </c>
      <c r="K25" s="6"/>
      <c r="L25" s="11">
        <f t="shared" si="4"/>
        <v>43.28165747</v>
      </c>
      <c r="M25" s="11" t="s">
        <v>33</v>
      </c>
    </row>
    <row r="26" ht="15.75" customHeight="1">
      <c r="F26" s="6" t="s">
        <v>249</v>
      </c>
      <c r="G26" s="6" t="s">
        <v>250</v>
      </c>
      <c r="H26" s="53">
        <f>H13-H20</f>
        <v>0.7507020927</v>
      </c>
      <c r="I26" s="6" t="s">
        <v>34</v>
      </c>
      <c r="J26" s="60" t="s">
        <v>251</v>
      </c>
      <c r="K26" s="6"/>
      <c r="L26" s="11">
        <f t="shared" si="4"/>
        <v>43.01207696</v>
      </c>
      <c r="M26" s="11" t="s">
        <v>33</v>
      </c>
    </row>
    <row r="27" ht="15.75" customHeight="1">
      <c r="F27" s="6" t="s">
        <v>252</v>
      </c>
      <c r="G27" s="6" t="s">
        <v>253</v>
      </c>
      <c r="H27" s="53">
        <f>H6+(2*H10*cos(H14))</f>
        <v>0.8353553391</v>
      </c>
      <c r="I27" s="6" t="s">
        <v>7</v>
      </c>
      <c r="J27" s="6" t="s">
        <v>254</v>
      </c>
      <c r="K27" s="6" t="s">
        <v>230</v>
      </c>
    </row>
    <row r="28" ht="15.75" customHeight="1">
      <c r="F28" s="6" t="s">
        <v>255</v>
      </c>
      <c r="G28" s="6" t="s">
        <v>256</v>
      </c>
      <c r="H28" s="53">
        <f>H5+(2*H10*cos(H13))</f>
        <v>0.8353553391</v>
      </c>
      <c r="I28" s="6" t="s">
        <v>7</v>
      </c>
      <c r="J28" s="6" t="s">
        <v>257</v>
      </c>
      <c r="K28" s="6" t="s">
        <v>230</v>
      </c>
    </row>
    <row r="29" ht="15.75" customHeight="1">
      <c r="F29" s="6" t="s">
        <v>258</v>
      </c>
      <c r="G29" s="6" t="s">
        <v>259</v>
      </c>
      <c r="H29" s="53">
        <f>(H17*cos(H13))-(H10*sin(H13))</f>
        <v>0.5715779815</v>
      </c>
      <c r="I29" s="6" t="s">
        <v>7</v>
      </c>
      <c r="J29" s="6" t="s">
        <v>260</v>
      </c>
      <c r="K29" s="6" t="s">
        <v>230</v>
      </c>
    </row>
    <row r="30" ht="15.75" customHeight="1">
      <c r="F30" s="28" t="s">
        <v>261</v>
      </c>
      <c r="G30" s="28" t="s">
        <v>262</v>
      </c>
      <c r="H30" s="61">
        <f>(H17*cos(H14))-(H10*sin(H14))</f>
        <v>0.5715779815</v>
      </c>
      <c r="I30" s="28" t="s">
        <v>7</v>
      </c>
      <c r="J30" s="28" t="s">
        <v>263</v>
      </c>
      <c r="K30" s="28" t="s">
        <v>230</v>
      </c>
    </row>
    <row r="31" ht="15.75" customHeight="1">
      <c r="F31" s="6" t="s">
        <v>264</v>
      </c>
      <c r="G31" s="6" t="s">
        <v>265</v>
      </c>
      <c r="H31" s="53">
        <f>0.5*pi()/C7</f>
        <v>0.03926990817</v>
      </c>
      <c r="I31" s="6" t="s">
        <v>7</v>
      </c>
      <c r="J31" s="6" t="s">
        <v>266</v>
      </c>
      <c r="K31" s="6"/>
    </row>
    <row r="32" ht="15.75" customHeight="1">
      <c r="F32" s="6" t="s">
        <v>267</v>
      </c>
      <c r="G32" s="6" t="s">
        <v>268</v>
      </c>
      <c r="H32" s="53">
        <f>2*(H17-C5)*sin(H13)</f>
        <v>0.8249579114</v>
      </c>
      <c r="I32" s="6" t="s">
        <v>7</v>
      </c>
      <c r="J32" s="6" t="s">
        <v>269</v>
      </c>
      <c r="K32" s="6"/>
    </row>
    <row r="33" ht="15.75" customHeight="1">
      <c r="F33" s="6" t="s">
        <v>270</v>
      </c>
      <c r="G33" s="6" t="s">
        <v>271</v>
      </c>
      <c r="H33" s="53">
        <f>2*(H17-C5)*sin(H14)</f>
        <v>0.8249579114</v>
      </c>
      <c r="I33" s="6" t="s">
        <v>7</v>
      </c>
      <c r="J33" s="6" t="s">
        <v>272</v>
      </c>
      <c r="K33" s="6"/>
    </row>
    <row r="34" ht="15.75" customHeight="1">
      <c r="F34" s="6" t="s">
        <v>273</v>
      </c>
      <c r="G34" s="6" t="s">
        <v>274</v>
      </c>
      <c r="H34" s="53">
        <f t="shared" ref="H34:H35" si="5">0.5*pi()/(C3/H32)</f>
        <v>0.04049502678</v>
      </c>
      <c r="I34" s="6" t="s">
        <v>7</v>
      </c>
      <c r="J34" s="6" t="s">
        <v>275</v>
      </c>
      <c r="K34" s="6"/>
    </row>
    <row r="35" ht="15.75" customHeight="1">
      <c r="F35" s="6" t="s">
        <v>276</v>
      </c>
      <c r="G35" s="6" t="s">
        <v>277</v>
      </c>
      <c r="H35" s="53">
        <f t="shared" si="5"/>
        <v>0.04049502678</v>
      </c>
      <c r="I35" s="6" t="s">
        <v>7</v>
      </c>
      <c r="J35" s="6" t="s">
        <v>278</v>
      </c>
      <c r="K35" s="6"/>
    </row>
    <row r="36" ht="15.75" customHeight="1"/>
    <row r="37" ht="15.75" customHeight="1">
      <c r="F37" s="5" t="s">
        <v>279</v>
      </c>
      <c r="G37" s="5" t="s">
        <v>280</v>
      </c>
      <c r="H37" s="5"/>
      <c r="I37" s="5"/>
      <c r="J37" s="6"/>
      <c r="K37" s="58"/>
      <c r="L37" s="6"/>
    </row>
    <row r="38" ht="15.75" customHeight="1">
      <c r="F38" s="5" t="s">
        <v>8</v>
      </c>
      <c r="G38" s="5" t="s">
        <v>9</v>
      </c>
      <c r="H38" s="5" t="s">
        <v>281</v>
      </c>
      <c r="I38" s="5" t="s">
        <v>282</v>
      </c>
      <c r="J38" s="5" t="s">
        <v>283</v>
      </c>
      <c r="K38" s="62" t="s">
        <v>13</v>
      </c>
      <c r="L38" s="5" t="s">
        <v>284</v>
      </c>
    </row>
    <row r="39" ht="15.75" customHeight="1">
      <c r="F39" s="6" t="s">
        <v>184</v>
      </c>
      <c r="G39" s="6" t="s">
        <v>185</v>
      </c>
      <c r="H39" s="53"/>
      <c r="I39" s="53"/>
      <c r="J39" s="53">
        <f>H7</f>
        <v>0.0067</v>
      </c>
      <c r="K39" s="58" t="s">
        <v>7</v>
      </c>
      <c r="L39" s="6" t="s">
        <v>187</v>
      </c>
    </row>
    <row r="40" ht="15.75" customHeight="1">
      <c r="F40" s="6" t="s">
        <v>197</v>
      </c>
      <c r="G40" s="6" t="s">
        <v>198</v>
      </c>
      <c r="H40" s="53"/>
      <c r="I40" s="53"/>
      <c r="J40" s="53">
        <f t="shared" ref="J40:J42" si="6">H10</f>
        <v>0.025</v>
      </c>
      <c r="K40" s="58" t="s">
        <v>7</v>
      </c>
      <c r="L40" s="6" t="s">
        <v>187</v>
      </c>
    </row>
    <row r="41" ht="15.75" customHeight="1">
      <c r="F41" s="6" t="s">
        <v>200</v>
      </c>
      <c r="G41" s="6" t="s">
        <v>201</v>
      </c>
      <c r="H41" s="53"/>
      <c r="I41" s="53"/>
      <c r="J41" s="53">
        <f t="shared" si="6"/>
        <v>0.028925</v>
      </c>
      <c r="K41" s="58" t="s">
        <v>7</v>
      </c>
      <c r="L41" s="6" t="s">
        <v>203</v>
      </c>
    </row>
    <row r="42" ht="15.75" customHeight="1">
      <c r="F42" s="6" t="s">
        <v>204</v>
      </c>
      <c r="G42" s="6" t="s">
        <v>205</v>
      </c>
      <c r="H42" s="53"/>
      <c r="I42" s="53"/>
      <c r="J42" s="53">
        <f t="shared" si="6"/>
        <v>0.053925</v>
      </c>
      <c r="K42" s="58" t="s">
        <v>7</v>
      </c>
      <c r="L42" s="6" t="s">
        <v>206</v>
      </c>
    </row>
    <row r="43" ht="15.75" customHeight="1">
      <c r="F43" s="6" t="s">
        <v>215</v>
      </c>
      <c r="G43" s="6" t="s">
        <v>216</v>
      </c>
      <c r="H43" s="53"/>
      <c r="I43" s="53"/>
      <c r="J43" s="53">
        <f t="shared" ref="J43:J48" si="7">H15</f>
        <v>0.05</v>
      </c>
      <c r="K43" s="58" t="s">
        <v>7</v>
      </c>
      <c r="L43" s="6" t="s">
        <v>187</v>
      </c>
    </row>
    <row r="44" ht="15.75" customHeight="1">
      <c r="F44" s="6" t="s">
        <v>218</v>
      </c>
      <c r="G44" s="6" t="s">
        <v>219</v>
      </c>
      <c r="H44" s="53"/>
      <c r="I44" s="53"/>
      <c r="J44" s="53">
        <f t="shared" si="7"/>
        <v>1</v>
      </c>
      <c r="K44" s="58" t="s">
        <v>7</v>
      </c>
      <c r="L44" s="6" t="s">
        <v>187</v>
      </c>
    </row>
    <row r="45" ht="15.75" customHeight="1">
      <c r="F45" s="6" t="s">
        <v>221</v>
      </c>
      <c r="G45" s="6" t="s">
        <v>222</v>
      </c>
      <c r="H45" s="53"/>
      <c r="I45" s="53"/>
      <c r="J45" s="53">
        <f t="shared" si="7"/>
        <v>0.8333333333</v>
      </c>
      <c r="K45" s="58" t="s">
        <v>7</v>
      </c>
      <c r="L45" s="6" t="s">
        <v>187</v>
      </c>
    </row>
    <row r="46" ht="15.75" customHeight="1">
      <c r="F46" s="6" t="s">
        <v>224</v>
      </c>
      <c r="G46" s="6" t="s">
        <v>225</v>
      </c>
      <c r="H46" s="53"/>
      <c r="I46" s="53"/>
      <c r="J46" s="53">
        <f t="shared" si="7"/>
        <v>0.8333333333</v>
      </c>
      <c r="K46" s="58" t="s">
        <v>7</v>
      </c>
      <c r="L46" s="6" t="s">
        <v>226</v>
      </c>
    </row>
    <row r="47" ht="15.75" customHeight="1">
      <c r="F47" s="6" t="s">
        <v>227</v>
      </c>
      <c r="G47" s="57" t="s">
        <v>228</v>
      </c>
      <c r="H47" s="53"/>
      <c r="I47" s="53"/>
      <c r="J47" s="53">
        <f t="shared" si="7"/>
        <v>0.02999100486</v>
      </c>
      <c r="K47" s="58" t="s">
        <v>34</v>
      </c>
      <c r="L47" s="6" t="s">
        <v>230</v>
      </c>
    </row>
    <row r="48" ht="15.75" customHeight="1">
      <c r="F48" s="6" t="s">
        <v>231</v>
      </c>
      <c r="G48" s="57" t="s">
        <v>232</v>
      </c>
      <c r="H48" s="53"/>
      <c r="I48" s="53"/>
      <c r="J48" s="53">
        <f t="shared" si="7"/>
        <v>0.03469607072</v>
      </c>
      <c r="K48" s="58" t="s">
        <v>34</v>
      </c>
      <c r="L48" s="6" t="s">
        <v>230</v>
      </c>
    </row>
    <row r="49" ht="15.75" customHeight="1">
      <c r="F49" s="6" t="s">
        <v>285</v>
      </c>
      <c r="G49" s="6" t="s">
        <v>286</v>
      </c>
      <c r="H49" s="6"/>
      <c r="I49" s="6"/>
      <c r="J49" s="53">
        <f>H31</f>
        <v>0.03926990817</v>
      </c>
      <c r="K49" s="58" t="s">
        <v>7</v>
      </c>
      <c r="L49" s="6" t="s">
        <v>266</v>
      </c>
    </row>
    <row r="50" ht="15.75" customHeight="1">
      <c r="F50" s="6" t="s">
        <v>287</v>
      </c>
      <c r="G50" s="6" t="s">
        <v>288</v>
      </c>
      <c r="H50" s="53">
        <f>H34</f>
        <v>0.04049502678</v>
      </c>
      <c r="I50" s="53">
        <f>H35</f>
        <v>0.04049502678</v>
      </c>
      <c r="J50" s="6"/>
      <c r="K50" s="58" t="s">
        <v>7</v>
      </c>
      <c r="L50" s="6" t="s">
        <v>289</v>
      </c>
    </row>
    <row r="51" ht="15.75" customHeight="1">
      <c r="F51" s="6" t="s">
        <v>290</v>
      </c>
      <c r="G51" s="6" t="s">
        <v>291</v>
      </c>
      <c r="H51" s="53">
        <f>H32</f>
        <v>0.8249579114</v>
      </c>
      <c r="I51" s="53">
        <f>H33</f>
        <v>0.8249579114</v>
      </c>
      <c r="J51" s="6"/>
      <c r="K51" s="58" t="s">
        <v>7</v>
      </c>
      <c r="L51" s="6" t="s">
        <v>292</v>
      </c>
    </row>
    <row r="52" ht="15.75" customHeight="1">
      <c r="F52" s="6" t="s">
        <v>293</v>
      </c>
      <c r="G52" s="6" t="s">
        <v>294</v>
      </c>
      <c r="H52" s="53">
        <f>H3</f>
        <v>0.025</v>
      </c>
      <c r="I52" s="53">
        <f>H4</f>
        <v>0.025</v>
      </c>
      <c r="J52" s="53"/>
      <c r="K52" s="58" t="s">
        <v>7</v>
      </c>
      <c r="L52" s="6" t="s">
        <v>169</v>
      </c>
    </row>
    <row r="53" ht="15.75" customHeight="1">
      <c r="F53" s="6" t="s">
        <v>295</v>
      </c>
      <c r="G53" s="6" t="s">
        <v>296</v>
      </c>
      <c r="H53" s="53">
        <f>H5</f>
        <v>0.8</v>
      </c>
      <c r="I53" s="53">
        <f>H6</f>
        <v>0.8</v>
      </c>
      <c r="J53" s="53"/>
      <c r="K53" s="58" t="s">
        <v>7</v>
      </c>
      <c r="L53" s="6" t="s">
        <v>176</v>
      </c>
    </row>
    <row r="54" ht="15.75" customHeight="1">
      <c r="F54" s="6" t="s">
        <v>297</v>
      </c>
      <c r="G54" s="6" t="s">
        <v>298</v>
      </c>
      <c r="H54" s="53">
        <f>H8</f>
        <v>0.07853981634</v>
      </c>
      <c r="I54" s="53">
        <f>H9</f>
        <v>0.07853981634</v>
      </c>
      <c r="J54" s="53"/>
      <c r="K54" s="58" t="s">
        <v>7</v>
      </c>
      <c r="L54" s="6" t="s">
        <v>192</v>
      </c>
    </row>
    <row r="55" ht="15.75" customHeight="1">
      <c r="F55" s="6" t="s">
        <v>299</v>
      </c>
      <c r="G55" s="6" t="s">
        <v>300</v>
      </c>
      <c r="H55" s="53">
        <f>H13</f>
        <v>0.7853981634</v>
      </c>
      <c r="I55" s="53">
        <f>H14</f>
        <v>0.7853981634</v>
      </c>
      <c r="J55" s="53"/>
      <c r="K55" s="58" t="s">
        <v>34</v>
      </c>
      <c r="L55" s="6" t="s">
        <v>210</v>
      </c>
    </row>
    <row r="56" ht="15.75" customHeight="1">
      <c r="F56" s="6" t="s">
        <v>301</v>
      </c>
      <c r="G56" s="6" t="s">
        <v>302</v>
      </c>
      <c r="H56" s="53">
        <f>H22</f>
        <v>0.02120684291</v>
      </c>
      <c r="I56" s="53">
        <f>H21</f>
        <v>0.02120684291</v>
      </c>
      <c r="J56" s="53"/>
      <c r="K56" s="58" t="s">
        <v>34</v>
      </c>
      <c r="L56" s="6" t="s">
        <v>303</v>
      </c>
    </row>
    <row r="57" ht="15.75" customHeight="1">
      <c r="F57" s="6" t="s">
        <v>304</v>
      </c>
      <c r="G57" s="6" t="s">
        <v>305</v>
      </c>
      <c r="H57" s="53">
        <f t="shared" ref="H57:H58" si="8">H25</f>
        <v>0.7554071585</v>
      </c>
      <c r="I57" s="53">
        <f t="shared" ref="I57:I58" si="9">H23</f>
        <v>0.7554071585</v>
      </c>
      <c r="J57" s="53"/>
      <c r="K57" s="58" t="s">
        <v>34</v>
      </c>
      <c r="L57" s="6" t="s">
        <v>230</v>
      </c>
    </row>
    <row r="58" ht="15.75" customHeight="1">
      <c r="F58" s="6" t="s">
        <v>306</v>
      </c>
      <c r="G58" s="6" t="s">
        <v>307</v>
      </c>
      <c r="H58" s="53">
        <f t="shared" si="8"/>
        <v>0.7507020927</v>
      </c>
      <c r="I58" s="53">
        <f t="shared" si="9"/>
        <v>0.7507020927</v>
      </c>
      <c r="J58" s="53"/>
      <c r="K58" s="58" t="s">
        <v>34</v>
      </c>
      <c r="L58" s="6" t="s">
        <v>230</v>
      </c>
    </row>
    <row r="59" ht="15.75" customHeight="1">
      <c r="F59" s="6" t="s">
        <v>308</v>
      </c>
      <c r="G59" s="6" t="s">
        <v>309</v>
      </c>
      <c r="H59" s="53">
        <f t="shared" ref="H59:H60" si="10">H28</f>
        <v>0.8353553391</v>
      </c>
      <c r="I59" s="53">
        <f>H27</f>
        <v>0.8353553391</v>
      </c>
      <c r="J59" s="53"/>
      <c r="K59" s="58" t="s">
        <v>7</v>
      </c>
      <c r="L59" s="6" t="s">
        <v>230</v>
      </c>
    </row>
    <row r="60" ht="15.75" customHeight="1">
      <c r="F60" s="6" t="s">
        <v>310</v>
      </c>
      <c r="G60" s="6" t="s">
        <v>311</v>
      </c>
      <c r="H60" s="53">
        <f t="shared" si="10"/>
        <v>0.5715779815</v>
      </c>
      <c r="I60" s="53">
        <f>H30</f>
        <v>0.5715779815</v>
      </c>
      <c r="J60" s="53"/>
      <c r="K60" s="58" t="s">
        <v>7</v>
      </c>
      <c r="L60" s="6" t="s">
        <v>230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6" width="12.63"/>
    <col customWidth="1" min="8" max="8" width="30.63"/>
    <col customWidth="1" min="22" max="22" width="21.75"/>
  </cols>
  <sheetData>
    <row r="1" ht="15.75" customHeight="1">
      <c r="A1" s="4">
        <v>18.0</v>
      </c>
      <c r="B1" s="4"/>
      <c r="C1" s="4"/>
      <c r="D1" s="4"/>
      <c r="E1" s="4"/>
      <c r="H1" s="3"/>
      <c r="I1" s="3"/>
      <c r="J1" s="3"/>
      <c r="K1" s="3"/>
      <c r="L1" s="3"/>
      <c r="O1" s="11"/>
      <c r="P1" s="11"/>
      <c r="S1" s="11"/>
      <c r="V1" s="5" t="s">
        <v>312</v>
      </c>
      <c r="W1" s="5"/>
      <c r="X1" s="5"/>
      <c r="Y1" s="62"/>
      <c r="Z1" s="63"/>
    </row>
    <row r="2" ht="15.75" customHeight="1">
      <c r="A2" s="5" t="s">
        <v>165</v>
      </c>
      <c r="B2" s="5"/>
      <c r="C2" s="5"/>
      <c r="D2" s="5"/>
      <c r="E2" s="5"/>
      <c r="F2" s="6"/>
      <c r="H2" s="1" t="s">
        <v>0</v>
      </c>
      <c r="I2" s="2" t="s">
        <v>1</v>
      </c>
      <c r="J2" s="2" t="s">
        <v>2</v>
      </c>
      <c r="K2" s="2" t="s">
        <v>3</v>
      </c>
      <c r="L2" s="2" t="s">
        <v>2</v>
      </c>
      <c r="O2" s="11"/>
      <c r="P2" s="11" t="s">
        <v>313</v>
      </c>
      <c r="V2" s="5" t="s">
        <v>8</v>
      </c>
      <c r="W2" s="5" t="s">
        <v>9</v>
      </c>
      <c r="X2" s="52" t="s">
        <v>112</v>
      </c>
      <c r="Y2" s="62" t="s">
        <v>13</v>
      </c>
      <c r="Z2" s="63"/>
      <c r="AA2" s="4"/>
    </row>
    <row r="3" ht="15.75" customHeight="1">
      <c r="A3" s="5" t="s">
        <v>8</v>
      </c>
      <c r="B3" s="5" t="s">
        <v>9</v>
      </c>
      <c r="C3" s="52" t="s">
        <v>112</v>
      </c>
      <c r="D3" s="5" t="s">
        <v>13</v>
      </c>
      <c r="E3" s="5" t="s">
        <v>14</v>
      </c>
      <c r="F3" s="5" t="s">
        <v>113</v>
      </c>
      <c r="H3" s="64" t="str">
        <f>Variables!A2</f>
        <v>Lt (total handpiece length)</v>
      </c>
      <c r="I3" s="8">
        <v>122.0</v>
      </c>
      <c r="J3" s="7" t="str">
        <f>Variables!C2</f>
        <v>mm</v>
      </c>
      <c r="K3" s="7">
        <f>Variables!D2</f>
        <v>4.803149606</v>
      </c>
      <c r="L3" s="7" t="str">
        <f>Variables!E2</f>
        <v>in</v>
      </c>
      <c r="O3" s="11"/>
      <c r="P3" s="11" t="s">
        <v>314</v>
      </c>
      <c r="S3" s="11" t="s">
        <v>315</v>
      </c>
      <c r="V3" s="6" t="s">
        <v>15</v>
      </c>
      <c r="W3" s="6" t="s">
        <v>316</v>
      </c>
      <c r="X3" s="53">
        <f t="shared" ref="X3:Y3" si="1">Q4</f>
        <v>1.00070967</v>
      </c>
      <c r="Y3" s="58" t="str">
        <f t="shared" si="1"/>
        <v>in</v>
      </c>
      <c r="Z3" s="59"/>
    </row>
    <row r="4" ht="15.75" customHeight="1">
      <c r="A4" s="6" t="str">
        <f>'Gear Specifications'!F3</f>
        <v>Pinion module</v>
      </c>
      <c r="B4" s="6" t="str">
        <f>'Gear Specifications'!G3</f>
        <v>m(p)</v>
      </c>
      <c r="C4" s="53">
        <f>'Gear Specifications'!H3</f>
        <v>0.025</v>
      </c>
      <c r="D4" s="6" t="str">
        <f>'Gear Specifications'!I3</f>
        <v>in</v>
      </c>
      <c r="E4" s="6" t="str">
        <f>'Gear Specifications'!J3</f>
        <v>d/Np</v>
      </c>
      <c r="F4" s="6" t="str">
        <f>'Gear Specifications'!K3</f>
        <v>Eq 13-2</v>
      </c>
      <c r="H4" s="7" t="str">
        <f>Variables!A3</f>
        <v>dh (head diameter)</v>
      </c>
      <c r="I4" s="8">
        <v>22.0</v>
      </c>
      <c r="J4" s="7" t="str">
        <f>Variables!C3</f>
        <v>mm</v>
      </c>
      <c r="K4" s="7">
        <f>Variables!D3</f>
        <v>0.8661417323</v>
      </c>
      <c r="L4" s="7" t="str">
        <f>Variables!E3</f>
        <v>in</v>
      </c>
      <c r="O4" s="11"/>
      <c r="P4" s="11" t="s">
        <v>316</v>
      </c>
      <c r="Q4" s="65">
        <f>(2*L25)+(2*L26)+C28</f>
        <v>1.00070967</v>
      </c>
      <c r="R4" s="11" t="s">
        <v>7</v>
      </c>
      <c r="S4" s="11" t="s">
        <v>317</v>
      </c>
      <c r="T4" s="65">
        <f>K4-Q4</f>
        <v>-0.1345679375</v>
      </c>
      <c r="U4" s="11" t="s">
        <v>7</v>
      </c>
      <c r="V4" s="6" t="s">
        <v>318</v>
      </c>
      <c r="W4" s="6" t="s">
        <v>319</v>
      </c>
      <c r="X4" s="6">
        <f t="shared" ref="X4:Y4" si="2">T9</f>
        <v>0.01145618874</v>
      </c>
      <c r="Y4" s="58" t="str">
        <f t="shared" si="2"/>
        <v>in</v>
      </c>
      <c r="Z4" s="59"/>
    </row>
    <row r="5" ht="15.75" customHeight="1">
      <c r="A5" s="6" t="str">
        <f>'Gear Specifications'!F4</f>
        <v>Gear module</v>
      </c>
      <c r="B5" s="6" t="str">
        <f>'Gear Specifications'!G4</f>
        <v>m(g)</v>
      </c>
      <c r="C5" s="53">
        <f>'Gear Specifications'!H4</f>
        <v>0.025</v>
      </c>
      <c r="D5" s="6" t="str">
        <f>'Gear Specifications'!I4</f>
        <v>in</v>
      </c>
      <c r="E5" s="6" t="str">
        <f>'Gear Specifications'!J4</f>
        <v>d/Ng</v>
      </c>
      <c r="F5" s="6" t="str">
        <f>'Gear Specifications'!K4</f>
        <v>Eq 13-2</v>
      </c>
      <c r="H5" s="7" t="str">
        <f>Variables!A4</f>
        <v>hL (head height)</v>
      </c>
      <c r="I5" s="8">
        <v>26.0</v>
      </c>
      <c r="J5" s="7" t="str">
        <f>Variables!C4</f>
        <v>mm</v>
      </c>
      <c r="K5" s="7">
        <f>Variables!D4</f>
        <v>1.023622047</v>
      </c>
      <c r="L5" s="7" t="str">
        <f>Variables!E4</f>
        <v>in</v>
      </c>
      <c r="V5" s="6" t="s">
        <v>320</v>
      </c>
      <c r="W5" s="6" t="s">
        <v>321</v>
      </c>
      <c r="X5" s="53">
        <f>Q13</f>
        <v>1.012165859</v>
      </c>
      <c r="Y5" s="58" t="s">
        <v>7</v>
      </c>
      <c r="Z5" s="59"/>
    </row>
    <row r="6" ht="15.75" customHeight="1">
      <c r="A6" s="6" t="str">
        <f>'Gear Specifications'!F5</f>
        <v>Pinion Pitch Diameter</v>
      </c>
      <c r="B6" s="6" t="str">
        <f>'Gear Specifications'!G5</f>
        <v>d(p)</v>
      </c>
      <c r="C6" s="53">
        <f>'Gear Specifications'!H5</f>
        <v>0.8</v>
      </c>
      <c r="D6" s="6" t="str">
        <f>'Gear Specifications'!I5</f>
        <v>in</v>
      </c>
      <c r="E6" s="6" t="str">
        <f>'Gear Specifications'!J5</f>
        <v>Np/P</v>
      </c>
      <c r="F6" s="6" t="str">
        <f>'Gear Specifications'!K5</f>
        <v>Eq 13-1</v>
      </c>
      <c r="H6" s="7" t="str">
        <f>Variables!A5</f>
        <v>d (handpiece body diameter)</v>
      </c>
      <c r="I6" s="8">
        <v>20.0</v>
      </c>
      <c r="J6" s="7" t="str">
        <f>Variables!C5</f>
        <v>mm</v>
      </c>
      <c r="K6" s="7">
        <f>Variables!D5</f>
        <v>0.7874015748</v>
      </c>
      <c r="L6" s="7" t="str">
        <f>Variables!E5</f>
        <v>in</v>
      </c>
      <c r="V6" s="6" t="s">
        <v>322</v>
      </c>
      <c r="W6" s="6" t="s">
        <v>296</v>
      </c>
      <c r="X6" s="66">
        <f t="shared" ref="X6:X7" si="3">Q20</f>
        <v>0.4409448819</v>
      </c>
      <c r="Y6" s="58" t="s">
        <v>7</v>
      </c>
      <c r="Z6" s="59"/>
    </row>
    <row r="7" ht="15.75" customHeight="1">
      <c r="A7" s="6" t="str">
        <f>'Gear Specifications'!F6</f>
        <v>Gear Pitch Diameter</v>
      </c>
      <c r="B7" s="6" t="str">
        <f>'Gear Specifications'!G6</f>
        <v>d(g)</v>
      </c>
      <c r="C7" s="53">
        <f>'Gear Specifications'!H6</f>
        <v>0.8</v>
      </c>
      <c r="D7" s="6" t="str">
        <f>'Gear Specifications'!I6</f>
        <v>in</v>
      </c>
      <c r="E7" s="6" t="str">
        <f>'Gear Specifications'!J6</f>
        <v>Ng/P</v>
      </c>
      <c r="F7" s="6" t="str">
        <f>'Gear Specifications'!K6</f>
        <v>Eq 13-1</v>
      </c>
      <c r="H7" s="64" t="str">
        <f>Variables!A6</f>
        <v>L (handpiece body length)</v>
      </c>
      <c r="I7" s="8">
        <v>100.0</v>
      </c>
      <c r="J7" s="7" t="str">
        <f>Variables!C6</f>
        <v>mm</v>
      </c>
      <c r="K7" s="7">
        <f>Variables!D6</f>
        <v>3.937007874</v>
      </c>
      <c r="L7" s="7" t="str">
        <f>Variables!E6</f>
        <v>in</v>
      </c>
      <c r="O7" s="11"/>
      <c r="P7" s="11" t="s">
        <v>323</v>
      </c>
      <c r="S7" s="11"/>
      <c r="X7" s="11" t="str">
        <f t="shared" si="3"/>
        <v/>
      </c>
    </row>
    <row r="8" ht="15.75" customHeight="1">
      <c r="A8" s="6" t="str">
        <f>'Gear Specifications'!F7</f>
        <v>Clearance</v>
      </c>
      <c r="B8" s="6" t="str">
        <f>'Gear Specifications'!G7</f>
        <v>c</v>
      </c>
      <c r="C8" s="53">
        <f>'Gear Specifications'!H7</f>
        <v>0.0067</v>
      </c>
      <c r="D8" s="6" t="str">
        <f>'Gear Specifications'!I7</f>
        <v>in</v>
      </c>
      <c r="E8" s="6" t="str">
        <f>'Gear Specifications'!J7</f>
        <v>(0.188/P)+0.002</v>
      </c>
      <c r="F8" s="6" t="str">
        <f>'Gear Specifications'!K7</f>
        <v>Table 13-3</v>
      </c>
      <c r="H8" s="64" t="str">
        <f>Variables!A7</f>
        <v>Lm (Motor input shaft length)</v>
      </c>
      <c r="I8" s="14">
        <v>25.0</v>
      </c>
      <c r="J8" s="7" t="str">
        <f>Variables!C7</f>
        <v>mm</v>
      </c>
      <c r="K8" s="7">
        <f>Variables!D7</f>
        <v>0.9842519685</v>
      </c>
      <c r="L8" s="7" t="str">
        <f>Variables!E7</f>
        <v>in</v>
      </c>
      <c r="O8" s="11"/>
      <c r="P8" s="11" t="s">
        <v>324</v>
      </c>
      <c r="S8" s="11" t="s">
        <v>325</v>
      </c>
    </row>
    <row r="9" ht="15.75" customHeight="1">
      <c r="A9" s="6" t="str">
        <f>'Gear Specifications'!F8</f>
        <v>Pinion Circular Pitch</v>
      </c>
      <c r="B9" s="6" t="str">
        <f>'Gear Specifications'!G8</f>
        <v>p(p)</v>
      </c>
      <c r="C9" s="53">
        <f>'Gear Specifications'!H8</f>
        <v>0.07853981634</v>
      </c>
      <c r="D9" s="6" t="str">
        <f>'Gear Specifications'!I8</f>
        <v>in</v>
      </c>
      <c r="E9" s="6" t="str">
        <f>'Gear Specifications'!J8</f>
        <v>pi(mp)</v>
      </c>
      <c r="F9" s="6" t="str">
        <f>'Gear Specifications'!K8</f>
        <v>Eq 13-4</v>
      </c>
      <c r="H9" s="64" t="str">
        <f>Variables!A8</f>
        <v>dm (motor input shaft diameter)</v>
      </c>
      <c r="I9" s="14">
        <v>7.0</v>
      </c>
      <c r="J9" s="7" t="str">
        <f>Variables!C8</f>
        <v>mm</v>
      </c>
      <c r="K9" s="7">
        <f>Variables!D8</f>
        <v>0.2755905512</v>
      </c>
      <c r="L9" s="7" t="str">
        <f>Variables!E8</f>
        <v>in</v>
      </c>
      <c r="O9" s="11"/>
      <c r="P9" s="11" t="s">
        <v>326</v>
      </c>
      <c r="Q9" s="65">
        <f>2*L25+2*L26+C29</f>
        <v>1.00070967</v>
      </c>
      <c r="R9" s="11" t="s">
        <v>7</v>
      </c>
      <c r="S9" s="11" t="s">
        <v>319</v>
      </c>
      <c r="T9" s="11">
        <f>(K5-Q9)/2</f>
        <v>0.01145618874</v>
      </c>
      <c r="U9" s="11" t="s">
        <v>7</v>
      </c>
    </row>
    <row r="10" ht="15.75" customHeight="1">
      <c r="A10" s="6" t="str">
        <f>'Gear Specifications'!F9</f>
        <v>Gear Circular Pitch</v>
      </c>
      <c r="B10" s="6" t="str">
        <f>'Gear Specifications'!G9</f>
        <v>p(g)</v>
      </c>
      <c r="C10" s="53">
        <f>'Gear Specifications'!H9</f>
        <v>0.07853981634</v>
      </c>
      <c r="D10" s="6" t="str">
        <f>'Gear Specifications'!I9</f>
        <v>in</v>
      </c>
      <c r="E10" s="6" t="str">
        <f>'Gear Specifications'!J9</f>
        <v>pi(mg)</v>
      </c>
      <c r="F10" s="6" t="str">
        <f>'Gear Specifications'!K9</f>
        <v>Eq 13-4</v>
      </c>
      <c r="H10" s="7" t="str">
        <f>Variables!A9</f>
        <v>ωmax (motor input speed) </v>
      </c>
      <c r="I10" s="7">
        <f>Variables!B9</f>
        <v>30000</v>
      </c>
      <c r="J10" s="7" t="str">
        <f>Variables!C9</f>
        <v>rpm</v>
      </c>
      <c r="K10" s="7">
        <f>Variables!D9</f>
        <v>3141.592654</v>
      </c>
      <c r="L10" s="7" t="str">
        <f>Variables!E9</f>
        <v>rad/s</v>
      </c>
    </row>
    <row r="11" ht="15.75" customHeight="1">
      <c r="A11" s="6" t="str">
        <f>'Gear Specifications'!F10</f>
        <v>Addendum</v>
      </c>
      <c r="B11" s="6" t="str">
        <f>'Gear Specifications'!G10</f>
        <v>a</v>
      </c>
      <c r="C11" s="53">
        <f>'Gear Specifications'!H10</f>
        <v>0.025</v>
      </c>
      <c r="D11" s="6" t="str">
        <f>'Gear Specifications'!I10</f>
        <v>in</v>
      </c>
      <c r="E11" s="6" t="str">
        <f>'Gear Specifications'!J10</f>
        <v>0.54/P+0.460/P(e90)^2</v>
      </c>
      <c r="F11" s="6" t="str">
        <f>'Gear Specifications'!K10</f>
        <v>Table 13-3</v>
      </c>
      <c r="H11" s="16" t="str">
        <f>Variables!A10</f>
        <v>Tmax (motor input torque)</v>
      </c>
      <c r="I11" s="16">
        <f>Variables!B10</f>
        <v>2</v>
      </c>
      <c r="J11" s="16" t="str">
        <f>Variables!C10</f>
        <v>N*cm </v>
      </c>
      <c r="K11" s="16">
        <f>Variables!D10</f>
        <v>0.0147512</v>
      </c>
      <c r="L11" s="16" t="str">
        <f>Variables!E10</f>
        <v>ft*lbf</v>
      </c>
      <c r="P11" s="11" t="s">
        <v>327</v>
      </c>
    </row>
    <row r="12" ht="15.75" customHeight="1">
      <c r="A12" s="6" t="str">
        <f>'Gear Specifications'!F11</f>
        <v>Dedendum</v>
      </c>
      <c r="B12" s="6" t="str">
        <f>'Gear Specifications'!G11</f>
        <v>b</v>
      </c>
      <c r="C12" s="53">
        <f>'Gear Specifications'!H11</f>
        <v>0.028925</v>
      </c>
      <c r="D12" s="6" t="str">
        <f>'Gear Specifications'!I11</f>
        <v>in</v>
      </c>
      <c r="E12" s="6" t="str">
        <f>'Gear Specifications'!J11</f>
        <v>1.157/P</v>
      </c>
      <c r="F12" s="6" t="str">
        <f>'Gear Specifications'!K11</f>
        <v>Table 13-1</v>
      </c>
      <c r="H12" s="20" t="str">
        <f>Variables!A11</f>
        <v/>
      </c>
      <c r="I12" s="20" t="str">
        <f>Variables!B11</f>
        <v/>
      </c>
      <c r="J12" s="20" t="str">
        <f>Variables!C11</f>
        <v/>
      </c>
      <c r="K12" s="20" t="str">
        <f>Variables!D11</f>
        <v/>
      </c>
      <c r="L12" s="20" t="str">
        <f>Variables!E11</f>
        <v/>
      </c>
      <c r="P12" s="67" t="s">
        <v>328</v>
      </c>
    </row>
    <row r="13" ht="15.75" customHeight="1">
      <c r="A13" s="6" t="str">
        <f>'Gear Specifications'!F12</f>
        <v>Whole depth</v>
      </c>
      <c r="B13" s="6" t="str">
        <f>'Gear Specifications'!G12</f>
        <v>ht</v>
      </c>
      <c r="C13" s="53">
        <f>'Gear Specifications'!H12</f>
        <v>0.053925</v>
      </c>
      <c r="D13" s="6" t="str">
        <f>'Gear Specifications'!I12</f>
        <v>in</v>
      </c>
      <c r="E13" s="6" t="str">
        <f>'Gear Specifications'!J12</f>
        <v>2.157/P</v>
      </c>
      <c r="F13" s="6" t="str">
        <f>'Gear Specifications'!K12</f>
        <v/>
      </c>
      <c r="H13" s="22" t="str">
        <f>Variables!A12</f>
        <v/>
      </c>
      <c r="I13" s="22" t="str">
        <f>Variables!B12</f>
        <v/>
      </c>
      <c r="J13" s="22" t="str">
        <f>Variables!C12</f>
        <v/>
      </c>
      <c r="K13" s="22" t="str">
        <f>Variables!D12</f>
        <v/>
      </c>
      <c r="L13" s="22" t="str">
        <f>Variables!E12</f>
        <v/>
      </c>
      <c r="P13" s="11" t="s">
        <v>321</v>
      </c>
      <c r="Q13" s="65">
        <f>2*L25+2*L26+C29+T9</f>
        <v>1.012165859</v>
      </c>
      <c r="R13" s="11" t="s">
        <v>7</v>
      </c>
    </row>
    <row r="14" ht="15.75" customHeight="1">
      <c r="A14" s="6" t="str">
        <f>'Gear Specifications'!F13</f>
        <v>Pinion Pitch Cone Angle</v>
      </c>
      <c r="B14" s="6" t="str">
        <f>'Gear Specifications'!G13</f>
        <v>γ</v>
      </c>
      <c r="C14" s="53">
        <f>'Gear Specifications'!H13</f>
        <v>0.7853981634</v>
      </c>
      <c r="D14" s="6" t="str">
        <f>'Gear Specifications'!I13</f>
        <v>rad</v>
      </c>
      <c r="E14" s="6" t="str">
        <f>'Gear Specifications'!J13</f>
        <v>tan-1(Np/Ng)</v>
      </c>
      <c r="F14" s="6" t="str">
        <f>'Gear Specifications'!K13</f>
        <v>Eq 13-14</v>
      </c>
      <c r="H14" s="23" t="str">
        <f>Variables!A13</f>
        <v/>
      </c>
      <c r="I14" s="23" t="str">
        <f>Variables!B13</f>
        <v/>
      </c>
      <c r="J14" s="23" t="str">
        <f>Variables!C13</f>
        <v/>
      </c>
      <c r="K14" s="23" t="str">
        <f>Variables!D13</f>
        <v/>
      </c>
      <c r="L14" s="23" t="str">
        <f>Variables!E13</f>
        <v/>
      </c>
    </row>
    <row r="15" ht="15.75" customHeight="1">
      <c r="A15" s="6" t="str">
        <f>'Gear Specifications'!F14</f>
        <v>Gear Pitch Cone Angle</v>
      </c>
      <c r="B15" s="6" t="str">
        <f>'Gear Specifications'!G14</f>
        <v>Γ</v>
      </c>
      <c r="C15" s="53">
        <f>'Gear Specifications'!H14</f>
        <v>0.7853981634</v>
      </c>
      <c r="D15" s="6" t="str">
        <f>'Gear Specifications'!I14</f>
        <v>rad</v>
      </c>
      <c r="E15" s="6" t="str">
        <f>'Gear Specifications'!J14</f>
        <v>tan-1(Ng/Np)</v>
      </c>
      <c r="F15" s="6" t="str">
        <f>'Gear Specifications'!K14</f>
        <v>Eq 13-14</v>
      </c>
      <c r="H15" s="24" t="str">
        <f>Variables!A14</f>
        <v>Givens (Exact)</v>
      </c>
      <c r="I15" s="24" t="str">
        <f>Variables!B14</f>
        <v>value</v>
      </c>
      <c r="J15" s="24" t="str">
        <f>Variables!C14</f>
        <v>unit</v>
      </c>
      <c r="K15" s="24" t="str">
        <f>Variables!D14</f>
        <v>Conversion</v>
      </c>
      <c r="L15" s="24" t="str">
        <f>Variables!E14</f>
        <v>unit</v>
      </c>
      <c r="P15" s="11" t="s">
        <v>329</v>
      </c>
    </row>
    <row r="16" ht="15.75" customHeight="1">
      <c r="A16" s="6" t="str">
        <f>'Gear Specifications'!F15</f>
        <v>Working depth</v>
      </c>
      <c r="B16" s="6" t="str">
        <f>'Gear Specifications'!G15</f>
        <v>hk</v>
      </c>
      <c r="C16" s="53">
        <f>'Gear Specifications'!H15</f>
        <v>0.05</v>
      </c>
      <c r="D16" s="6" t="str">
        <f>'Gear Specifications'!I15</f>
        <v>in</v>
      </c>
      <c r="E16" s="6" t="str">
        <f>'Gear Specifications'!J15</f>
        <v>2/P</v>
      </c>
      <c r="F16" s="6" t="str">
        <f>'Gear Specifications'!K15</f>
        <v>Table 13-3</v>
      </c>
      <c r="H16" s="7" t="str">
        <f>Variables!A15</f>
        <v>Dc (bur cutting surface diameter)</v>
      </c>
      <c r="I16" s="7">
        <f>Variables!B15</f>
        <v>2</v>
      </c>
      <c r="J16" s="7" t="str">
        <f>Variables!C15</f>
        <v>mm</v>
      </c>
      <c r="K16" s="7">
        <f>Variables!D15</f>
        <v>0.07874015748</v>
      </c>
      <c r="L16" s="7" t="str">
        <f>Variables!E15</f>
        <v>in</v>
      </c>
      <c r="Q16" s="11">
        <f>T9+L25</f>
        <v>0.09019634622</v>
      </c>
      <c r="R16" s="11" t="s">
        <v>7</v>
      </c>
    </row>
    <row r="17" ht="15.75" customHeight="1">
      <c r="A17" s="6" t="str">
        <f>'Gear Specifications'!F16</f>
        <v>90 Equivalent Gear Ratio</v>
      </c>
      <c r="B17" s="6" t="str">
        <f>'Gear Specifications'!G16</f>
        <v>e90</v>
      </c>
      <c r="C17" s="53">
        <f>'Gear Specifications'!H16</f>
        <v>1</v>
      </c>
      <c r="D17" s="6" t="str">
        <f>'Gear Specifications'!I16</f>
        <v>in</v>
      </c>
      <c r="E17" s="6" t="str">
        <f>'Gear Specifications'!J16</f>
        <v>sqrt(e(cosγ/cosΓ)</v>
      </c>
      <c r="F17" s="6" t="str">
        <f>'Gear Specifications'!K16</f>
        <v>Table 13-3</v>
      </c>
      <c r="H17" s="7" t="str">
        <f>Variables!A16</f>
        <v>Lc (bur cutting surface length)</v>
      </c>
      <c r="I17" s="7">
        <f>Variables!B16</f>
        <v>4</v>
      </c>
      <c r="J17" s="7" t="str">
        <f>Variables!C16</f>
        <v>mm</v>
      </c>
      <c r="K17" s="7">
        <f>Variables!D16</f>
        <v>0.157480315</v>
      </c>
      <c r="L17" s="7" t="str">
        <f>Variables!E16</f>
        <v>in</v>
      </c>
    </row>
    <row r="18" ht="15.75" customHeight="1">
      <c r="A18" s="6" t="str">
        <f>'Gear Specifications'!F17</f>
        <v>Cone Distance</v>
      </c>
      <c r="B18" s="6" t="str">
        <f>'Gear Specifications'!G17</f>
        <v>Ao</v>
      </c>
      <c r="C18" s="53">
        <f>'Gear Specifications'!H17</f>
        <v>0.8333333333</v>
      </c>
      <c r="D18" s="6" t="str">
        <f>'Gear Specifications'!I17</f>
        <v>in</v>
      </c>
      <c r="E18" s="6" t="str">
        <f>'Gear Specifications'!J17</f>
        <v>F/0.3</v>
      </c>
      <c r="F18" s="6" t="str">
        <f>'Gear Specifications'!K17</f>
        <v>Table 13-3</v>
      </c>
      <c r="H18" s="7" t="str">
        <f>Variables!A17</f>
        <v>Db (bur shaft diameter)</v>
      </c>
      <c r="I18" s="7">
        <f>Variables!B17</f>
        <v>1.6</v>
      </c>
      <c r="J18" s="7" t="str">
        <f>Variables!C17</f>
        <v>mm</v>
      </c>
      <c r="K18" s="7">
        <f>Variables!D17</f>
        <v>0.06299212598</v>
      </c>
      <c r="L18" s="7" t="str">
        <f>Variables!E17</f>
        <v>in</v>
      </c>
      <c r="P18" s="11" t="s">
        <v>330</v>
      </c>
    </row>
    <row r="19" ht="15.75" customHeight="1">
      <c r="A19" s="6" t="str">
        <f>'Gear Specifications'!F18</f>
        <v>Back Cone Radius</v>
      </c>
      <c r="B19" s="6" t="str">
        <f>'Gear Specifications'!G18</f>
        <v>Rb</v>
      </c>
      <c r="C19" s="53">
        <f>'Gear Specifications'!H18</f>
        <v>0.8333333333</v>
      </c>
      <c r="D19" s="6" t="str">
        <f>'Gear Specifications'!I18</f>
        <v>in</v>
      </c>
      <c r="E19" s="6" t="str">
        <f>'Gear Specifications'!J18</f>
        <v>Ao*tan(γ)</v>
      </c>
      <c r="F19" s="6" t="str">
        <f>'Gear Specifications'!K18</f>
        <v/>
      </c>
      <c r="H19" s="7" t="str">
        <f>Variables!A18</f>
        <v>Lb (bur total length)</v>
      </c>
      <c r="I19" s="68">
        <v>34.0</v>
      </c>
      <c r="J19" s="7" t="str">
        <f>Variables!C18</f>
        <v>mm</v>
      </c>
      <c r="K19" s="7">
        <f>Variables!D18</f>
        <v>1.023622047</v>
      </c>
      <c r="L19" s="7" t="str">
        <f>Variables!E18</f>
        <v>in</v>
      </c>
      <c r="P19" s="11" t="s">
        <v>331</v>
      </c>
      <c r="Q19" s="11"/>
      <c r="R19" s="11"/>
      <c r="S19" s="11"/>
      <c r="T19" s="11"/>
      <c r="U19" s="11"/>
      <c r="V19" s="11"/>
    </row>
    <row r="20" ht="15.75" customHeight="1">
      <c r="A20" s="6" t="str">
        <f>'Gear Specifications'!F19</f>
        <v>Addendum Angle</v>
      </c>
      <c r="B20" s="6" t="str">
        <f>'Gear Specifications'!G19</f>
        <v>θa</v>
      </c>
      <c r="C20" s="53">
        <f>'Gear Specifications'!H19</f>
        <v>0.02999100486</v>
      </c>
      <c r="D20" s="6" t="str">
        <f>'Gear Specifications'!I19</f>
        <v>rad</v>
      </c>
      <c r="E20" s="6" t="str">
        <f>'Gear Specifications'!J19</f>
        <v>tan-1(a/Ao)</v>
      </c>
      <c r="F20" s="6" t="str">
        <f>'Gear Specifications'!K19</f>
        <v>SDP Table 8-3</v>
      </c>
      <c r="H20" s="7" t="str">
        <f>Variables!A19</f>
        <v>Safety Factor</v>
      </c>
      <c r="I20" s="7">
        <f>Variables!B19</f>
        <v>2</v>
      </c>
      <c r="J20" s="7" t="str">
        <f>Variables!C19</f>
        <v/>
      </c>
      <c r="K20" s="7" t="str">
        <f>Variables!D19</f>
        <v/>
      </c>
      <c r="L20" s="7" t="str">
        <f>Variables!E19</f>
        <v/>
      </c>
      <c r="P20" s="11" t="s">
        <v>296</v>
      </c>
      <c r="Q20" s="69">
        <f>2*L25+2*L26+J27</f>
        <v>0.4409448819</v>
      </c>
      <c r="R20" s="11" t="s">
        <v>7</v>
      </c>
      <c r="S20" s="11"/>
      <c r="U20" s="11"/>
    </row>
    <row r="21" ht="15.75" customHeight="1">
      <c r="A21" s="6" t="str">
        <f>'Gear Specifications'!F20</f>
        <v>Dedendum Angle</v>
      </c>
      <c r="B21" s="6" t="str">
        <f>'Gear Specifications'!G20</f>
        <v>θb</v>
      </c>
      <c r="C21" s="53">
        <f>'Gear Specifications'!H20</f>
        <v>0.03469607072</v>
      </c>
      <c r="D21" s="6" t="str">
        <f>'Gear Specifications'!I20</f>
        <v>rad</v>
      </c>
      <c r="E21" s="6" t="str">
        <f>'Gear Specifications'!J20</f>
        <v>tan-1(b/Ao)</v>
      </c>
      <c r="F21" s="6" t="str">
        <f>'Gear Specifications'!K20</f>
        <v>SDP Table 8-3</v>
      </c>
      <c r="P21" s="11"/>
      <c r="Q21" s="11"/>
      <c r="R21" s="11"/>
      <c r="S21" s="11"/>
      <c r="U21" s="11"/>
    </row>
    <row r="22" ht="15.75" customHeight="1">
      <c r="A22" s="6" t="str">
        <f>'Gear Specifications'!F21</f>
        <v>Gear Angular Addendum</v>
      </c>
      <c r="B22" s="6" t="str">
        <f>'Gear Specifications'!G21</f>
        <v>Z (g)</v>
      </c>
      <c r="C22" s="53">
        <f>'Gear Specifications'!H21</f>
        <v>0.02120684291</v>
      </c>
      <c r="D22" s="6" t="str">
        <f>'Gear Specifications'!I21</f>
        <v>rad</v>
      </c>
      <c r="E22" s="6" t="str">
        <f>'Gear Specifications'!J21</f>
        <v>θacos(Γ)</v>
      </c>
      <c r="F22" s="6" t="str">
        <f>'Gear Specifications'!K21</f>
        <v/>
      </c>
    </row>
    <row r="23" ht="15.75" customHeight="1">
      <c r="A23" s="6" t="str">
        <f>'Gear Specifications'!F22</f>
        <v>Pinion Angular Addendum</v>
      </c>
      <c r="B23" s="6" t="str">
        <f>'Gear Specifications'!G22</f>
        <v>Z (p)</v>
      </c>
      <c r="C23" s="53">
        <f>'Gear Specifications'!H22</f>
        <v>0.02120684291</v>
      </c>
      <c r="D23" s="6" t="str">
        <f>'Gear Specifications'!I22</f>
        <v>rad</v>
      </c>
      <c r="E23" s="6" t="str">
        <f>'Gear Specifications'!J22</f>
        <v>θacos(γ)</v>
      </c>
      <c r="F23" s="6" t="str">
        <f>'Gear Specifications'!K22</f>
        <v/>
      </c>
      <c r="H23" s="5" t="s">
        <v>4</v>
      </c>
      <c r="I23" s="6"/>
      <c r="J23" s="6"/>
      <c r="K23" s="6"/>
      <c r="L23" s="6"/>
      <c r="M23" s="6"/>
      <c r="N23" s="6"/>
      <c r="P23" s="11" t="s">
        <v>332</v>
      </c>
    </row>
    <row r="24" ht="15.75" customHeight="1">
      <c r="A24" s="6" t="str">
        <f>'Gear Specifications'!F23</f>
        <v>Gear Face Angle</v>
      </c>
      <c r="B24" s="6" t="str">
        <f>'Gear Specifications'!G23</f>
        <v>Af (g)</v>
      </c>
      <c r="C24" s="53">
        <f>'Gear Specifications'!H23</f>
        <v>0.7554071585</v>
      </c>
      <c r="D24" s="6" t="str">
        <f>'Gear Specifications'!I23</f>
        <v>rad</v>
      </c>
      <c r="E24" s="6" t="str">
        <f>'Gear Specifications'!J23</f>
        <v>Γ-θa</v>
      </c>
      <c r="F24" s="6" t="str">
        <f>'Gear Specifications'!K23</f>
        <v>SDP Table 8-3</v>
      </c>
      <c r="H24" s="5" t="s">
        <v>8</v>
      </c>
      <c r="I24" s="5" t="s">
        <v>9</v>
      </c>
      <c r="J24" s="5" t="s">
        <v>10</v>
      </c>
      <c r="K24" s="5" t="s">
        <v>11</v>
      </c>
      <c r="L24" s="5" t="s">
        <v>12</v>
      </c>
      <c r="M24" s="5" t="s">
        <v>13</v>
      </c>
      <c r="N24" s="5" t="s">
        <v>14</v>
      </c>
      <c r="P24" s="11" t="s">
        <v>333</v>
      </c>
    </row>
    <row r="25" ht="15.75" customHeight="1">
      <c r="A25" s="6" t="str">
        <f>'Gear Specifications'!F24</f>
        <v>Gear Root/Cutting Angle</v>
      </c>
      <c r="B25" s="6" t="str">
        <f>'Gear Specifications'!G24</f>
        <v>Ac (g)</v>
      </c>
      <c r="C25" s="53">
        <f>'Gear Specifications'!H24</f>
        <v>0.7507020927</v>
      </c>
      <c r="D25" s="6" t="str">
        <f>'Gear Specifications'!I24</f>
        <v>rad</v>
      </c>
      <c r="E25" s="6" t="str">
        <f>'Gear Specifications'!J24</f>
        <v>Γ-θb</v>
      </c>
      <c r="F25" s="6" t="str">
        <f>'Gear Specifications'!K24</f>
        <v>SDP Table 8-3</v>
      </c>
      <c r="H25" s="12" t="s">
        <v>334</v>
      </c>
      <c r="I25" s="6" t="s">
        <v>335</v>
      </c>
      <c r="J25" s="13">
        <v>2.0</v>
      </c>
      <c r="K25" s="6" t="s">
        <v>6</v>
      </c>
      <c r="L25" s="6">
        <f t="shared" ref="L25:L26" si="4">J25/25.4</f>
        <v>0.07874015748</v>
      </c>
      <c r="M25" s="6" t="s">
        <v>7</v>
      </c>
      <c r="N25" s="6"/>
      <c r="P25" s="11" t="s">
        <v>336</v>
      </c>
      <c r="Q25" s="11">
        <f>J30+J32/2+J29</f>
        <v>1.25</v>
      </c>
      <c r="R25" s="11" t="s">
        <v>7</v>
      </c>
    </row>
    <row r="26" ht="15.75" customHeight="1">
      <c r="A26" s="6" t="str">
        <f>'Gear Specifications'!F25</f>
        <v>Pinion Face Angle</v>
      </c>
      <c r="B26" s="6" t="str">
        <f>'Gear Specifications'!G25</f>
        <v>Af (p)</v>
      </c>
      <c r="C26" s="53">
        <f>'Gear Specifications'!H25</f>
        <v>0.7554071585</v>
      </c>
      <c r="D26" s="6" t="str">
        <f>'Gear Specifications'!I25</f>
        <v>rad</v>
      </c>
      <c r="E26" s="6" t="str">
        <f>'Gear Specifications'!J25</f>
        <v>γ-θa</v>
      </c>
      <c r="F26" s="6" t="str">
        <f>'Gear Specifications'!K25</f>
        <v/>
      </c>
      <c r="H26" s="12" t="s">
        <v>337</v>
      </c>
      <c r="I26" s="6" t="s">
        <v>338</v>
      </c>
      <c r="J26" s="13">
        <v>0.1</v>
      </c>
      <c r="K26" s="6" t="s">
        <v>6</v>
      </c>
      <c r="L26" s="6">
        <f t="shared" si="4"/>
        <v>0.003937007874</v>
      </c>
      <c r="M26" s="6" t="s">
        <v>7</v>
      </c>
      <c r="N26" s="6"/>
    </row>
    <row r="27" ht="15.75" customHeight="1">
      <c r="A27" s="6" t="str">
        <f>'Gear Specifications'!F26</f>
        <v>Pinion Root/Cutting Angle</v>
      </c>
      <c r="B27" s="6" t="str">
        <f>'Gear Specifications'!G26</f>
        <v>Ac (p)</v>
      </c>
      <c r="C27" s="53">
        <f>'Gear Specifications'!H26</f>
        <v>0.7507020927</v>
      </c>
      <c r="D27" s="6" t="str">
        <f>'Gear Specifications'!I26</f>
        <v>rad</v>
      </c>
      <c r="E27" s="6" t="str">
        <f>'Gear Specifications'!J26</f>
        <v>γ-θb</v>
      </c>
      <c r="F27" s="6" t="str">
        <f>'Gear Specifications'!K26</f>
        <v/>
      </c>
      <c r="H27" s="6" t="str">
        <f>'Shaft Stress Analysis'!A17</f>
        <v>driving shaft diameter</v>
      </c>
      <c r="I27" s="6" t="str">
        <f>'Shaft Stress Analysis'!B17</f>
        <v>ds1</v>
      </c>
      <c r="J27" s="66">
        <f>'Shaft Stress Analysis'!C17</f>
        <v>0.2755905512</v>
      </c>
      <c r="K27" s="6" t="str">
        <f>'Shaft Stress Analysis'!D17</f>
        <v>in</v>
      </c>
      <c r="L27" s="6"/>
      <c r="M27" s="6"/>
      <c r="N27" s="6" t="str">
        <f>'Shaft Stress Analysis'!G17</f>
        <v/>
      </c>
      <c r="P27" s="11" t="s">
        <v>339</v>
      </c>
    </row>
    <row r="28" ht="15.75" customHeight="1">
      <c r="A28" s="6" t="str">
        <f>'Gear Specifications'!F27</f>
        <v>Gear Outside Diameter</v>
      </c>
      <c r="B28" s="6" t="str">
        <f>'Gear Specifications'!G27</f>
        <v>OD (g)</v>
      </c>
      <c r="C28" s="53">
        <f>'Gear Specifications'!H27</f>
        <v>0.8353553391</v>
      </c>
      <c r="D28" s="6" t="str">
        <f>'Gear Specifications'!I27</f>
        <v>in</v>
      </c>
      <c r="E28" s="6" t="str">
        <f>'Gear Specifications'!J27</f>
        <v>d(g)+2(a)cosΓ</v>
      </c>
      <c r="F28" s="6" t="str">
        <f>'Gear Specifications'!K27</f>
        <v>SDP Table 8-3</v>
      </c>
      <c r="H28" s="6" t="str">
        <f>Variables!I19</f>
        <v>distance between bearing D and gear (center to center distance)</v>
      </c>
      <c r="I28" s="6" t="str">
        <f>Variables!J19</f>
        <v>LDG</v>
      </c>
      <c r="J28" s="6">
        <f>Variables!K19</f>
        <v>0.25</v>
      </c>
      <c r="K28" s="6" t="str">
        <f>Variables!L19</f>
        <v>in</v>
      </c>
      <c r="L28" s="6" t="str">
        <f>Variables!M19</f>
        <v/>
      </c>
      <c r="M28" s="6"/>
      <c r="N28" s="6"/>
      <c r="P28" s="11" t="s">
        <v>340</v>
      </c>
    </row>
    <row r="29" ht="15.75" customHeight="1">
      <c r="A29" s="6" t="str">
        <f>'Gear Specifications'!F28</f>
        <v>Pinion Outside Diameter</v>
      </c>
      <c r="B29" s="6" t="str">
        <f>'Gear Specifications'!G28</f>
        <v>OD (p)</v>
      </c>
      <c r="C29" s="53">
        <f>'Gear Specifications'!H28</f>
        <v>0.8353553391</v>
      </c>
      <c r="D29" s="6" t="str">
        <f>'Gear Specifications'!I28</f>
        <v>in</v>
      </c>
      <c r="E29" s="6" t="str">
        <f>'Gear Specifications'!J28</f>
        <v>d(p)+2(a)cosγ</v>
      </c>
      <c r="F29" s="6" t="str">
        <f>'Gear Specifications'!K28</f>
        <v>SDP Table 8-3</v>
      </c>
      <c r="H29" s="6" t="str">
        <f>'Shaft Stress Analysis'!A12</f>
        <v>distance between bearing B and A</v>
      </c>
      <c r="I29" s="6" t="str">
        <f>'Shaft Stress Analysis'!B12</f>
        <v>LBA</v>
      </c>
      <c r="J29" s="6">
        <f>'Shaft Stress Analysis'!C12</f>
        <v>0.5</v>
      </c>
      <c r="K29" s="6" t="str">
        <f>'Shaft Stress Analysis'!D12</f>
        <v>in</v>
      </c>
      <c r="L29" s="6" t="str">
        <f>'Shaft Stress Analysis'!E12</f>
        <v/>
      </c>
      <c r="M29" s="6" t="str">
        <f>'Shaft Stress Analysis'!F12</f>
        <v/>
      </c>
      <c r="N29" s="6" t="str">
        <f>'Shaft Stress Analysis'!G12</f>
        <v/>
      </c>
      <c r="Q29" s="11">
        <f>J31+J32</f>
        <v>1</v>
      </c>
      <c r="R29" s="11" t="s">
        <v>7</v>
      </c>
    </row>
    <row r="30" ht="15.75" customHeight="1">
      <c r="A30" s="6" t="str">
        <f>'Gear Specifications'!F29</f>
        <v>Pinion Pitch Apex to Crown</v>
      </c>
      <c r="B30" s="6" t="str">
        <f>'Gear Specifications'!G29</f>
        <v>X(p)</v>
      </c>
      <c r="C30" s="53">
        <f>'Gear Specifications'!H29</f>
        <v>0.5715779815</v>
      </c>
      <c r="D30" s="6" t="str">
        <f>'Gear Specifications'!I29</f>
        <v>in</v>
      </c>
      <c r="E30" s="6" t="str">
        <f>'Gear Specifications'!J29</f>
        <v>Aocosγ-(a)sinγ</v>
      </c>
      <c r="F30" s="6" t="str">
        <f>'Gear Specifications'!K29</f>
        <v>SDP Table 8-3</v>
      </c>
      <c r="H30" s="6" t="str">
        <f>'Shaft Stress Analysis'!A13</f>
        <v>distance between bearing A and pinon</v>
      </c>
      <c r="I30" s="6" t="str">
        <f>'Shaft Stress Analysis'!B13</f>
        <v>LAP</v>
      </c>
      <c r="J30" s="6">
        <f>'Shaft Stress Analysis'!C13</f>
        <v>0.5</v>
      </c>
      <c r="K30" s="6" t="str">
        <f>'Shaft Stress Analysis'!D13</f>
        <v>in</v>
      </c>
      <c r="L30" s="6" t="str">
        <f>'Shaft Stress Analysis'!E13</f>
        <v/>
      </c>
      <c r="M30" s="6" t="str">
        <f>'Shaft Stress Analysis'!F13</f>
        <v/>
      </c>
      <c r="N30" s="6" t="str">
        <f>'Shaft Stress Analysis'!G13</f>
        <v/>
      </c>
    </row>
    <row r="31" ht="15.75" customHeight="1">
      <c r="A31" s="6" t="str">
        <f>'Gear Specifications'!F30</f>
        <v>Gear Pitch Apex to Crown</v>
      </c>
      <c r="B31" s="6" t="str">
        <f>'Gear Specifications'!G30</f>
        <v>X(g)</v>
      </c>
      <c r="C31" s="53">
        <f>'Gear Specifications'!H30</f>
        <v>0.5715779815</v>
      </c>
      <c r="D31" s="6" t="str">
        <f>'Gear Specifications'!I30</f>
        <v>in</v>
      </c>
      <c r="E31" s="6" t="str">
        <f>'Gear Specifications'!J30</f>
        <v>AocosΓ-(a)sinΓ</v>
      </c>
      <c r="F31" s="6" t="str">
        <f>'Gear Specifications'!K30</f>
        <v>SDP Table 8-3</v>
      </c>
      <c r="H31" s="6" t="str">
        <f>'Shaft Stress Analysis'!A14</f>
        <v>distance between bearing D and gear</v>
      </c>
      <c r="I31" s="6" t="str">
        <f>'Shaft Stress Analysis'!B14</f>
        <v>LDG</v>
      </c>
      <c r="J31" s="6">
        <f>'Shaft Stress Analysis'!C14</f>
        <v>0.5</v>
      </c>
      <c r="K31" s="6" t="str">
        <f>'Shaft Stress Analysis'!D14</f>
        <v>in</v>
      </c>
      <c r="L31" s="6" t="str">
        <f>'Shaft Stress Analysis'!E14</f>
        <v/>
      </c>
      <c r="M31" s="6" t="str">
        <f>'Shaft Stress Analysis'!F14</f>
        <v/>
      </c>
      <c r="N31" s="6" t="str">
        <f>'Shaft Stress Analysis'!G14</f>
        <v/>
      </c>
    </row>
    <row r="32" ht="15.75" customHeight="1">
      <c r="A32" s="6" t="str">
        <f>'Gear Specifications'!F31</f>
        <v>Large end tooth thickness</v>
      </c>
      <c r="B32" s="6" t="str">
        <f>'Gear Specifications'!G31</f>
        <v>tt </v>
      </c>
      <c r="C32" s="53">
        <f>'Gear Specifications'!H31</f>
        <v>0.03926990817</v>
      </c>
      <c r="D32" s="6" t="str">
        <f>'Gear Specifications'!I31</f>
        <v>in</v>
      </c>
      <c r="E32" s="6" t="str">
        <f>'Gear Specifications'!J31</f>
        <v>0.5pi/P</v>
      </c>
      <c r="F32" s="6" t="str">
        <f>'Gear Specifications'!K31</f>
        <v/>
      </c>
      <c r="H32" s="6" t="str">
        <f>'Shaft Stress Analysis'!A15</f>
        <v>distance between bearing C and gear</v>
      </c>
      <c r="I32" s="6" t="str">
        <f>'Shaft Stress Analysis'!B15</f>
        <v>LCG</v>
      </c>
      <c r="J32" s="6">
        <f>'Shaft Stress Analysis'!C15</f>
        <v>0.5</v>
      </c>
      <c r="K32" s="6" t="str">
        <f>'Shaft Stress Analysis'!D15</f>
        <v>in</v>
      </c>
      <c r="L32" s="6" t="str">
        <f>'Shaft Stress Analysis'!E15</f>
        <v/>
      </c>
      <c r="M32" s="6" t="str">
        <f>'Shaft Stress Analysis'!F15</f>
        <v/>
      </c>
      <c r="N32" s="6" t="str">
        <f>'Shaft Stress Analysis'!G15</f>
        <v/>
      </c>
    </row>
    <row r="33" ht="15.75" customHeight="1">
      <c r="A33" s="6" t="str">
        <f>'Gear Specifications'!F32</f>
        <v>Pinion small end tooth diameter</v>
      </c>
      <c r="B33" s="6" t="str">
        <f>'Gear Specifications'!G32</f>
        <v>td (p)</v>
      </c>
      <c r="C33" s="53">
        <f>'Gear Specifications'!H32</f>
        <v>0.8249579114</v>
      </c>
      <c r="D33" s="6" t="str">
        <f>'Gear Specifications'!I32</f>
        <v>in</v>
      </c>
      <c r="E33" s="6" t="str">
        <f>'Gear Specifications'!J32</f>
        <v>2*(Ao-F)*sin(γ)</v>
      </c>
      <c r="F33" s="6" t="str">
        <f>'Gear Specifications'!K32</f>
        <v/>
      </c>
      <c r="H33" s="6" t="str">
        <f>Variables!I4</f>
        <v>Face width</v>
      </c>
      <c r="I33" s="6" t="str">
        <f>Variables!J4</f>
        <v>F</v>
      </c>
      <c r="J33" s="6">
        <f>Variables!K4</f>
        <v>0.25</v>
      </c>
      <c r="K33" s="6" t="str">
        <f>Variables!L4</f>
        <v>in</v>
      </c>
      <c r="L33" s="6" t="str">
        <f>Variables!M4</f>
        <v/>
      </c>
      <c r="M33" s="6" t="str">
        <f>Variables!N4</f>
        <v/>
      </c>
      <c r="N33" s="6"/>
    </row>
    <row r="34" ht="15.75" customHeight="1">
      <c r="A34" s="6" t="str">
        <f>'Gear Specifications'!F33</f>
        <v>Gear small end tooth diameter</v>
      </c>
      <c r="B34" s="6" t="str">
        <f>'Gear Specifications'!G33</f>
        <v>td (g)</v>
      </c>
      <c r="C34" s="53">
        <f>'Gear Specifications'!H33</f>
        <v>0.8249579114</v>
      </c>
      <c r="D34" s="6" t="str">
        <f>'Gear Specifications'!I33</f>
        <v>in</v>
      </c>
      <c r="E34" s="6" t="str">
        <f>'Gear Specifications'!J33</f>
        <v>2*(Ao-F)*sin(Γ)</v>
      </c>
      <c r="F34" s="6" t="str">
        <f>'Gear Specifications'!K33</f>
        <v/>
      </c>
    </row>
    <row r="35" ht="15.75" customHeight="1">
      <c r="A35" s="6" t="str">
        <f>'Gear Specifications'!F34</f>
        <v>Pinion small end tooth thickness</v>
      </c>
      <c r="B35" s="6" t="str">
        <f>'Gear Specifications'!G34</f>
        <v>tts (p)</v>
      </c>
      <c r="C35" s="53">
        <f>'Gear Specifications'!H34</f>
        <v>0.04049502678</v>
      </c>
      <c r="D35" s="6" t="str">
        <f>'Gear Specifications'!I34</f>
        <v>in</v>
      </c>
      <c r="E35" s="6" t="str">
        <f>'Gear Specifications'!J34</f>
        <v>0.5pi/(Np/tdp)</v>
      </c>
      <c r="F35" s="6" t="str">
        <f>'Gear Specifications'!K34</f>
        <v/>
      </c>
    </row>
    <row r="36" ht="15.75" customHeight="1">
      <c r="A36" s="6" t="str">
        <f>'Gear Specifications'!F35</f>
        <v>Gear small end tooth thickness</v>
      </c>
      <c r="B36" s="6" t="str">
        <f>'Gear Specifications'!G35</f>
        <v>tts (g)</v>
      </c>
      <c r="C36" s="53">
        <f>'Gear Specifications'!H35</f>
        <v>0.04049502678</v>
      </c>
      <c r="D36" s="6" t="str">
        <f>'Gear Specifications'!I35</f>
        <v>in</v>
      </c>
      <c r="E36" s="6" t="str">
        <f>'Gear Specifications'!J35</f>
        <v>0.5pi/(Ng/tdg)</v>
      </c>
      <c r="F36" s="6" t="str">
        <f>'Gear Specifications'!K35</f>
        <v/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Q4">
    <cfRule type="cellIs" dxfId="0" priority="1" operator="greaterThan">
      <formula>K4</formula>
    </cfRule>
  </conditionalFormatting>
  <conditionalFormatting sqref="Q9">
    <cfRule type="cellIs" dxfId="0" priority="2" operator="greaterThan">
      <formula>K5</formula>
    </cfRule>
  </conditionalFormatting>
  <conditionalFormatting sqref="Q4">
    <cfRule type="cellIs" dxfId="1" priority="3" operator="lessThanOrEqual">
      <formula>K4</formula>
    </cfRule>
  </conditionalFormatting>
  <conditionalFormatting sqref="Q9">
    <cfRule type="cellIs" dxfId="1" priority="4" operator="lessThanOrEqual">
      <formula>K5</formula>
    </cfRule>
  </conditionalFormatting>
  <conditionalFormatting sqref="Q13">
    <cfRule type="cellIs" dxfId="1" priority="5" operator="lessThanOrEqual">
      <formula>K5</formula>
    </cfRule>
  </conditionalFormatting>
  <conditionalFormatting sqref="Q11">
    <cfRule type="notContainsBlanks" dxfId="1" priority="6">
      <formula>LEN(TRIM(Q11))&gt;0</formula>
    </cfRule>
  </conditionalFormatting>
  <conditionalFormatting sqref="Q13">
    <cfRule type="cellIs" dxfId="0" priority="7" operator="greaterThan">
      <formula>K5</formula>
    </cfRule>
  </conditionalFormatting>
  <conditionalFormatting sqref="Q20">
    <cfRule type="cellIs" dxfId="0" priority="8" operator="greaterThan">
      <formula>"K6"</formula>
    </cfRule>
  </conditionalFormatting>
  <conditionalFormatting sqref="Q20">
    <cfRule type="cellIs" dxfId="1" priority="9" operator="lessThanOrEqual">
      <formula>"K6"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2.63"/>
    <col customWidth="1" min="3" max="3" width="13.75"/>
    <col customWidth="1" min="4" max="4" width="12.63"/>
    <col customWidth="1" min="5" max="5" width="25.25"/>
    <col customWidth="1" min="6" max="6" width="12.63"/>
    <col customWidth="1" min="7" max="7" width="27.75"/>
    <col customWidth="1" min="9" max="9" width="14.13"/>
    <col customWidth="1" min="11" max="11" width="39.75"/>
  </cols>
  <sheetData>
    <row r="1" ht="15.75" customHeight="1">
      <c r="A1" s="5" t="s">
        <v>110</v>
      </c>
      <c r="B1" s="6"/>
      <c r="C1" s="6"/>
      <c r="D1" s="6"/>
      <c r="G1" s="5" t="s">
        <v>341</v>
      </c>
      <c r="H1" s="6"/>
      <c r="I1" s="6"/>
      <c r="J1" s="6"/>
      <c r="K1" s="6"/>
      <c r="L1" s="6"/>
      <c r="N1" s="4"/>
    </row>
    <row r="2" ht="15.75" customHeight="1">
      <c r="A2" s="5" t="s">
        <v>8</v>
      </c>
      <c r="B2" s="5" t="s">
        <v>9</v>
      </c>
      <c r="C2" s="5" t="s">
        <v>112</v>
      </c>
      <c r="D2" s="5" t="s">
        <v>13</v>
      </c>
      <c r="G2" s="5" t="s">
        <v>8</v>
      </c>
      <c r="H2" s="5" t="s">
        <v>9</v>
      </c>
      <c r="I2" s="5" t="s">
        <v>112</v>
      </c>
      <c r="J2" s="5" t="s">
        <v>13</v>
      </c>
      <c r="K2" s="5" t="s">
        <v>14</v>
      </c>
      <c r="L2" s="5" t="s">
        <v>113</v>
      </c>
      <c r="N2" s="4"/>
      <c r="O2" s="4"/>
      <c r="P2" s="4"/>
      <c r="Q2" s="4"/>
      <c r="R2" s="4"/>
      <c r="S2" s="4"/>
    </row>
    <row r="3" ht="15.75" customHeight="1">
      <c r="A3" s="70" t="s">
        <v>342</v>
      </c>
      <c r="B3" s="40" t="s">
        <v>125</v>
      </c>
      <c r="C3" s="6">
        <f>'Torque&amp;Power'!M5</f>
        <v>30000</v>
      </c>
      <c r="D3" s="6" t="str">
        <f>'Torque&amp;Power'!N5</f>
        <v>rpm</v>
      </c>
      <c r="G3" s="39" t="s">
        <v>343</v>
      </c>
      <c r="H3" s="6"/>
      <c r="I3" s="6"/>
      <c r="J3" s="6"/>
      <c r="K3" s="6"/>
      <c r="L3" s="6"/>
    </row>
    <row r="4" ht="15.75" customHeight="1">
      <c r="A4" s="70" t="s">
        <v>135</v>
      </c>
      <c r="B4" s="6" t="s">
        <v>136</v>
      </c>
      <c r="C4" s="6">
        <f>'Torque&amp;Power'!M7</f>
        <v>0.08425865737</v>
      </c>
      <c r="D4" s="6" t="str">
        <f>'Torque&amp;Power'!N7</f>
        <v>hp</v>
      </c>
      <c r="G4" s="6" t="s">
        <v>344</v>
      </c>
      <c r="H4" s="6" t="s">
        <v>345</v>
      </c>
      <c r="I4" s="6">
        <f>(C20/C6)*C9*C21*C22*((C25*C27)/(C28*C29))</f>
        <v>211.6181045</v>
      </c>
      <c r="J4" s="6" t="s">
        <v>346</v>
      </c>
      <c r="K4" s="6" t="s">
        <v>347</v>
      </c>
      <c r="L4" s="6" t="s">
        <v>348</v>
      </c>
    </row>
    <row r="5" ht="15.75" customHeight="1">
      <c r="A5" s="70" t="s">
        <v>51</v>
      </c>
      <c r="B5" s="6" t="s">
        <v>52</v>
      </c>
      <c r="C5" s="6">
        <f>Variables!K12</f>
        <v>11</v>
      </c>
      <c r="D5" s="6"/>
      <c r="G5" s="6" t="s">
        <v>349</v>
      </c>
      <c r="H5" s="6" t="s">
        <v>350</v>
      </c>
      <c r="I5" s="71">
        <f>(C35*C36)/(C12*C38*C39)</f>
        <v>6505.762052</v>
      </c>
      <c r="J5" s="6" t="s">
        <v>346</v>
      </c>
      <c r="K5" s="6" t="s">
        <v>351</v>
      </c>
      <c r="L5" s="6" t="s">
        <v>352</v>
      </c>
    </row>
    <row r="6" ht="15.75" customHeight="1">
      <c r="A6" s="70" t="s">
        <v>20</v>
      </c>
      <c r="B6" s="6" t="s">
        <v>21</v>
      </c>
      <c r="C6" s="6">
        <f>Variables!K4</f>
        <v>0.25</v>
      </c>
      <c r="D6" s="6" t="s">
        <v>7</v>
      </c>
      <c r="G6" s="6" t="s">
        <v>353</v>
      </c>
      <c r="H6" s="6" t="s">
        <v>354</v>
      </c>
      <c r="I6" s="6">
        <f>((C35*C36)/(C38*C39*I4))^0.5</f>
        <v>7.841292876</v>
      </c>
      <c r="J6" s="6"/>
      <c r="K6" s="6" t="s">
        <v>355</v>
      </c>
      <c r="L6" s="6" t="s">
        <v>356</v>
      </c>
    </row>
    <row r="7" ht="15.75" customHeight="1">
      <c r="A7" s="70" t="s">
        <v>357</v>
      </c>
      <c r="B7" s="6" t="s">
        <v>358</v>
      </c>
      <c r="C7" s="53">
        <f>'Gear Specifications'!H5</f>
        <v>0.8</v>
      </c>
      <c r="D7" s="6" t="s">
        <v>7</v>
      </c>
      <c r="G7" s="6"/>
      <c r="H7" s="6"/>
      <c r="I7" s="6"/>
      <c r="J7" s="6"/>
      <c r="K7" s="6"/>
      <c r="L7" s="6"/>
    </row>
    <row r="8" ht="15.75" customHeight="1">
      <c r="A8" s="70" t="s">
        <v>359</v>
      </c>
      <c r="B8" s="6" t="s">
        <v>360</v>
      </c>
      <c r="C8" s="53">
        <f>'Gear Specifications'!H6</f>
        <v>0.8</v>
      </c>
      <c r="D8" s="6" t="s">
        <v>7</v>
      </c>
      <c r="G8" s="39" t="s">
        <v>361</v>
      </c>
      <c r="H8" s="6"/>
      <c r="I8" s="6"/>
      <c r="J8" s="6"/>
      <c r="K8" s="6"/>
      <c r="L8" s="6"/>
    </row>
    <row r="9" ht="15.75" customHeight="1">
      <c r="A9" s="70" t="s">
        <v>183</v>
      </c>
      <c r="B9" s="6" t="s">
        <v>362</v>
      </c>
      <c r="C9" s="6">
        <f> Variables!K3</f>
        <v>40</v>
      </c>
      <c r="D9" s="6" t="s">
        <v>18</v>
      </c>
      <c r="G9" s="6" t="s">
        <v>344</v>
      </c>
      <c r="H9" s="6" t="s">
        <v>363</v>
      </c>
      <c r="I9" s="6">
        <f>(C20/C6)*C9*C21*C22*((C25*C27)/(C28*C30))</f>
        <v>211.6181045</v>
      </c>
      <c r="J9" s="6" t="s">
        <v>346</v>
      </c>
      <c r="K9" s="37" t="s">
        <v>364</v>
      </c>
      <c r="L9" s="6" t="s">
        <v>348</v>
      </c>
    </row>
    <row r="10" ht="15.75" customHeight="1">
      <c r="A10" s="70" t="s">
        <v>365</v>
      </c>
      <c r="B10" s="6" t="s">
        <v>116</v>
      </c>
      <c r="C10" s="6">
        <f>Variables!K5</f>
        <v>32</v>
      </c>
      <c r="D10" s="6" t="s">
        <v>366</v>
      </c>
      <c r="G10" s="6" t="s">
        <v>349</v>
      </c>
      <c r="H10" s="6" t="s">
        <v>367</v>
      </c>
      <c r="I10" s="6">
        <f>(C35*C37)/(C12*C38*C39)</f>
        <v>6505.762052</v>
      </c>
      <c r="J10" s="6" t="s">
        <v>346</v>
      </c>
      <c r="K10" s="37" t="s">
        <v>368</v>
      </c>
      <c r="L10" s="6" t="s">
        <v>352</v>
      </c>
    </row>
    <row r="11" ht="15.75" customHeight="1">
      <c r="A11" s="70" t="s">
        <v>369</v>
      </c>
      <c r="B11" s="6" t="s">
        <v>123</v>
      </c>
      <c r="C11" s="6">
        <f>Variables!K6</f>
        <v>32</v>
      </c>
      <c r="D11" s="6" t="s">
        <v>26</v>
      </c>
      <c r="G11" s="6" t="s">
        <v>370</v>
      </c>
      <c r="H11" s="6" t="s">
        <v>371</v>
      </c>
      <c r="I11" s="72">
        <f>((C35*C37)/(C38*C39*I9))^0.5</f>
        <v>7.841292876</v>
      </c>
      <c r="J11" s="6"/>
      <c r="K11" s="37" t="s">
        <v>372</v>
      </c>
      <c r="L11" s="6" t="s">
        <v>356</v>
      </c>
    </row>
    <row r="12" ht="15.75" customHeight="1">
      <c r="A12" s="70" t="s">
        <v>373</v>
      </c>
      <c r="B12" s="6" t="s">
        <v>374</v>
      </c>
      <c r="C12" s="6">
        <f>Variables!B19</f>
        <v>2</v>
      </c>
      <c r="D12" s="6"/>
      <c r="G12" s="6"/>
      <c r="H12" s="6"/>
      <c r="I12" s="6"/>
      <c r="J12" s="6"/>
      <c r="K12" s="6"/>
      <c r="L12" s="6"/>
    </row>
    <row r="13" ht="15.75" customHeight="1">
      <c r="A13" s="70" t="s">
        <v>375</v>
      </c>
      <c r="B13" s="6" t="s">
        <v>56</v>
      </c>
      <c r="C13" s="6">
        <f>Variables!K14</f>
        <v>0.99</v>
      </c>
      <c r="D13" s="6"/>
      <c r="G13" s="39" t="s">
        <v>376</v>
      </c>
      <c r="H13" s="6"/>
      <c r="I13" s="6"/>
      <c r="J13" s="6"/>
      <c r="K13" s="6"/>
      <c r="L13" s="6"/>
    </row>
    <row r="14" ht="15.75" customHeight="1">
      <c r="A14" s="70" t="s">
        <v>58</v>
      </c>
      <c r="B14" s="6" t="s">
        <v>59</v>
      </c>
      <c r="C14" s="73">
        <f>Variables!K15</f>
        <v>10000000</v>
      </c>
      <c r="D14" s="6"/>
      <c r="G14" s="6" t="s">
        <v>377</v>
      </c>
      <c r="H14" s="6" t="s">
        <v>378</v>
      </c>
      <c r="I14" s="6">
        <f> C31*((C20/(C6*C7*C32))*C21*C22*C27*C33*C34)^0.5</f>
        <v>12700.78963</v>
      </c>
      <c r="J14" s="6" t="s">
        <v>346</v>
      </c>
      <c r="K14" s="6" t="s">
        <v>379</v>
      </c>
      <c r="L14" s="6" t="s">
        <v>380</v>
      </c>
    </row>
    <row r="15" ht="15.75" customHeight="1">
      <c r="A15" s="70" t="s">
        <v>381</v>
      </c>
      <c r="B15" s="6" t="s">
        <v>62</v>
      </c>
      <c r="C15" s="6">
        <f>Variables!K16</f>
        <v>248</v>
      </c>
      <c r="D15" s="6"/>
      <c r="G15" s="6" t="s">
        <v>382</v>
      </c>
      <c r="H15" s="6" t="s">
        <v>383</v>
      </c>
      <c r="I15" s="6">
        <f>(C40*C41*C43)/(C45*C38*C46)</f>
        <v>71384.31688</v>
      </c>
      <c r="J15" s="6" t="s">
        <v>346</v>
      </c>
      <c r="K15" s="6" t="s">
        <v>384</v>
      </c>
      <c r="L15" s="6" t="s">
        <v>385</v>
      </c>
    </row>
    <row r="16" ht="15.75" customHeight="1">
      <c r="A16" s="70" t="s">
        <v>386</v>
      </c>
      <c r="B16" s="6" t="s">
        <v>53</v>
      </c>
      <c r="C16" s="6">
        <f>Variables!K13</f>
        <v>1</v>
      </c>
      <c r="D16" s="6"/>
      <c r="G16" s="6" t="s">
        <v>387</v>
      </c>
      <c r="H16" s="6" t="s">
        <v>388</v>
      </c>
      <c r="I16" s="6">
        <f>((C40*C41*C43)/(C38*C46*I14))^0.5</f>
        <v>3.352748991</v>
      </c>
      <c r="J16" s="6"/>
      <c r="K16" s="6" t="s">
        <v>389</v>
      </c>
      <c r="L16" s="6" t="s">
        <v>390</v>
      </c>
    </row>
    <row r="17" ht="15.75" customHeight="1">
      <c r="G17" s="6"/>
      <c r="H17" s="6"/>
      <c r="I17" s="6"/>
      <c r="J17" s="6"/>
      <c r="K17" s="6"/>
      <c r="L17" s="6"/>
    </row>
    <row r="18" ht="15.75" customHeight="1">
      <c r="A18" s="5" t="s">
        <v>391</v>
      </c>
      <c r="B18" s="5" t="s">
        <v>9</v>
      </c>
      <c r="C18" s="5" t="s">
        <v>10</v>
      </c>
      <c r="D18" s="5" t="s">
        <v>11</v>
      </c>
      <c r="E18" s="5" t="s">
        <v>14</v>
      </c>
      <c r="G18" s="39" t="s">
        <v>392</v>
      </c>
      <c r="H18" s="6"/>
      <c r="I18" s="6"/>
      <c r="J18" s="6"/>
      <c r="K18" s="6"/>
      <c r="L18" s="6"/>
    </row>
    <row r="19" ht="15.75" customHeight="1">
      <c r="A19" s="6" t="s">
        <v>393</v>
      </c>
      <c r="B19" s="6" t="s">
        <v>394</v>
      </c>
      <c r="C19" s="11">
        <f>(pi()*C7*C3)/12</f>
        <v>6283.185307</v>
      </c>
      <c r="D19" s="6" t="s">
        <v>395</v>
      </c>
      <c r="E19" s="6" t="s">
        <v>101</v>
      </c>
      <c r="G19" s="6" t="s">
        <v>396</v>
      </c>
      <c r="H19" s="6" t="s">
        <v>397</v>
      </c>
      <c r="I19" s="74">
        <f> C31*((C20/(C6*C7*C32))*C21*C22*C27*C33*C34)^0.5</f>
        <v>12700.78963</v>
      </c>
      <c r="J19" s="6" t="s">
        <v>346</v>
      </c>
      <c r="K19" s="37" t="s">
        <v>398</v>
      </c>
      <c r="L19" s="6" t="s">
        <v>380</v>
      </c>
    </row>
    <row r="20" ht="15.75" customHeight="1">
      <c r="A20" s="6" t="s">
        <v>399</v>
      </c>
      <c r="B20" s="6" t="s">
        <v>400</v>
      </c>
      <c r="C20" s="6">
        <f>33000*(C4/C19)</f>
        <v>0.442536</v>
      </c>
      <c r="D20" s="6" t="s">
        <v>401</v>
      </c>
      <c r="E20" s="6" t="s">
        <v>99</v>
      </c>
      <c r="G20" s="6" t="s">
        <v>382</v>
      </c>
      <c r="H20" s="6" t="s">
        <v>402</v>
      </c>
      <c r="I20" s="6">
        <f>(C40*C42*C43)/(C45*C38*C46)</f>
        <v>71384.31688</v>
      </c>
      <c r="J20" s="6" t="s">
        <v>346</v>
      </c>
      <c r="K20" s="37" t="s">
        <v>403</v>
      </c>
      <c r="L20" s="6" t="s">
        <v>385</v>
      </c>
    </row>
    <row r="21" ht="15.75" customHeight="1">
      <c r="A21" s="6" t="s">
        <v>404</v>
      </c>
      <c r="B21" s="6" t="s">
        <v>405</v>
      </c>
      <c r="C21" s="6">
        <v>1.0</v>
      </c>
      <c r="D21" s="6"/>
      <c r="E21" s="6" t="s">
        <v>406</v>
      </c>
      <c r="G21" s="6" t="s">
        <v>407</v>
      </c>
      <c r="H21" s="6" t="s">
        <v>408</v>
      </c>
      <c r="I21" s="6">
        <f>((C40*C42*C43)/(C38*C46*I19))^0.5</f>
        <v>3.352748991</v>
      </c>
      <c r="J21" s="6"/>
      <c r="K21" s="35" t="s">
        <v>409</v>
      </c>
      <c r="L21" s="6" t="s">
        <v>390</v>
      </c>
    </row>
    <row r="22" ht="15.75" customHeight="1">
      <c r="A22" s="6" t="s">
        <v>410</v>
      </c>
      <c r="B22" s="6" t="s">
        <v>411</v>
      </c>
      <c r="C22" s="6">
        <f> ((C23+SQRT(C19))/C23)^C24</f>
        <v>1.168076208</v>
      </c>
      <c r="D22" s="6"/>
      <c r="E22" s="6" t="s">
        <v>412</v>
      </c>
    </row>
    <row r="23" ht="15.75" customHeight="1">
      <c r="A23" s="6"/>
      <c r="B23" s="6" t="s">
        <v>413</v>
      </c>
      <c r="C23" s="6">
        <f>50+56*(1-C24)</f>
        <v>92</v>
      </c>
      <c r="D23" s="6"/>
      <c r="E23" s="6" t="s">
        <v>414</v>
      </c>
    </row>
    <row r="24" ht="15.75" customHeight="1">
      <c r="A24" s="6"/>
      <c r="B24" s="6" t="s">
        <v>76</v>
      </c>
      <c r="C24" s="6">
        <f>0.25*(12-C5)^(2/3)</f>
        <v>0.25</v>
      </c>
      <c r="D24" s="6"/>
      <c r="E24" s="6" t="s">
        <v>415</v>
      </c>
      <c r="G24" s="67"/>
    </row>
    <row r="25" ht="15.75" customHeight="1">
      <c r="A25" s="6" t="s">
        <v>416</v>
      </c>
      <c r="B25" s="6" t="s">
        <v>417</v>
      </c>
      <c r="C25" s="6">
        <v>0.5</v>
      </c>
      <c r="D25" s="6"/>
      <c r="E25" s="6" t="s">
        <v>418</v>
      </c>
    </row>
    <row r="26" ht="15.75" customHeight="1">
      <c r="A26" s="6" t="s">
        <v>419</v>
      </c>
      <c r="B26" s="6" t="s">
        <v>420</v>
      </c>
      <c r="C26" s="6">
        <v>1.1</v>
      </c>
      <c r="D26" s="6"/>
      <c r="E26" s="6" t="s">
        <v>421</v>
      </c>
    </row>
    <row r="27" ht="15.75" customHeight="1">
      <c r="A27" s="6" t="s">
        <v>422</v>
      </c>
      <c r="B27" s="6" t="s">
        <v>423</v>
      </c>
      <c r="C27" s="6">
        <f>C26+0.0036*(C6^2)</f>
        <v>1.100225</v>
      </c>
      <c r="D27" s="6"/>
      <c r="E27" s="6" t="s">
        <v>424</v>
      </c>
    </row>
    <row r="28" ht="15.75" customHeight="1">
      <c r="A28" s="6" t="s">
        <v>425</v>
      </c>
      <c r="B28" s="6" t="s">
        <v>426</v>
      </c>
      <c r="C28" s="6">
        <v>1.0</v>
      </c>
      <c r="D28" s="6"/>
      <c r="E28" s="6" t="s">
        <v>427</v>
      </c>
    </row>
    <row r="29" ht="15.75" customHeight="1">
      <c r="A29" s="6" t="s">
        <v>428</v>
      </c>
      <c r="B29" s="6" t="s">
        <v>429</v>
      </c>
      <c r="C29" s="75">
        <v>0.215</v>
      </c>
      <c r="D29" s="6"/>
      <c r="E29" s="6" t="s">
        <v>430</v>
      </c>
    </row>
    <row r="30" ht="15.75" customHeight="1">
      <c r="A30" s="6" t="s">
        <v>431</v>
      </c>
      <c r="B30" s="6" t="s">
        <v>432</v>
      </c>
      <c r="C30" s="75">
        <v>0.215</v>
      </c>
      <c r="D30" s="6"/>
      <c r="E30" s="6" t="s">
        <v>430</v>
      </c>
    </row>
    <row r="31" ht="15.75" customHeight="1">
      <c r="A31" s="6" t="s">
        <v>433</v>
      </c>
      <c r="B31" s="6" t="s">
        <v>434</v>
      </c>
      <c r="C31" s="6">
        <v>2290.0</v>
      </c>
      <c r="D31" s="6" t="s">
        <v>435</v>
      </c>
      <c r="E31" s="6" t="s">
        <v>436</v>
      </c>
    </row>
    <row r="32" ht="15.75" customHeight="1">
      <c r="A32" s="6" t="s">
        <v>437</v>
      </c>
      <c r="B32" s="6" t="s">
        <v>438</v>
      </c>
      <c r="C32" s="6">
        <v>0.065</v>
      </c>
      <c r="D32" s="6"/>
      <c r="E32" s="6" t="s">
        <v>439</v>
      </c>
    </row>
    <row r="33" ht="15.75" customHeight="1">
      <c r="A33" s="6" t="s">
        <v>440</v>
      </c>
      <c r="B33" s="6" t="s">
        <v>441</v>
      </c>
      <c r="C33" s="6">
        <f>(0.125*C6)+0.4375</f>
        <v>0.46875</v>
      </c>
      <c r="D33" s="6"/>
      <c r="E33" s="6" t="s">
        <v>442</v>
      </c>
    </row>
    <row r="34" ht="15.75" customHeight="1">
      <c r="A34" s="6" t="s">
        <v>443</v>
      </c>
      <c r="B34" s="6" t="s">
        <v>444</v>
      </c>
      <c r="C34" s="6">
        <v>1.5</v>
      </c>
      <c r="D34" s="6"/>
      <c r="E34" s="6" t="s">
        <v>445</v>
      </c>
    </row>
    <row r="35" ht="15.75" customHeight="1">
      <c r="A35" s="6" t="s">
        <v>446</v>
      </c>
      <c r="B35" s="6" t="s">
        <v>447</v>
      </c>
      <c r="C35" s="6">
        <f>(44*C15)+2100</f>
        <v>13012</v>
      </c>
      <c r="D35" s="6" t="s">
        <v>346</v>
      </c>
      <c r="E35" s="6" t="s">
        <v>448</v>
      </c>
    </row>
    <row r="36" ht="15.75" customHeight="1">
      <c r="A36" s="6" t="s">
        <v>449</v>
      </c>
      <c r="B36" s="6" t="s">
        <v>450</v>
      </c>
      <c r="C36" s="6">
        <f>1.683*(C14)^-0.0323</f>
        <v>0.9999634264</v>
      </c>
      <c r="D36" s="6"/>
      <c r="E36" s="6" t="s">
        <v>451</v>
      </c>
    </row>
    <row r="37" ht="15.75" customHeight="1">
      <c r="A37" s="6" t="s">
        <v>452</v>
      </c>
      <c r="B37" s="6" t="s">
        <v>453</v>
      </c>
      <c r="C37" s="6">
        <f>1.683*(C14/C16)^-0.0323</f>
        <v>0.9999634264</v>
      </c>
      <c r="D37" s="6"/>
      <c r="E37" s="6" t="s">
        <v>454</v>
      </c>
    </row>
    <row r="38" ht="15.75" customHeight="1">
      <c r="A38" s="6" t="s">
        <v>455</v>
      </c>
      <c r="B38" s="6" t="s">
        <v>456</v>
      </c>
      <c r="C38" s="6">
        <v>1.0</v>
      </c>
      <c r="D38" s="6"/>
      <c r="E38" s="6" t="s">
        <v>457</v>
      </c>
    </row>
    <row r="39" ht="15.75" customHeight="1">
      <c r="A39" s="6" t="s">
        <v>458</v>
      </c>
      <c r="B39" s="6" t="s">
        <v>459</v>
      </c>
      <c r="C39" s="6">
        <f>0.5-0.25*log(1-C13)</f>
        <v>1</v>
      </c>
      <c r="D39" s="6"/>
      <c r="E39" s="6" t="s">
        <v>460</v>
      </c>
    </row>
    <row r="40" ht="15.75" customHeight="1">
      <c r="A40" s="6" t="s">
        <v>461</v>
      </c>
      <c r="B40" s="6" t="s">
        <v>462</v>
      </c>
      <c r="C40" s="6">
        <f>(341*C15)+23620</f>
        <v>108188</v>
      </c>
      <c r="D40" s="6" t="s">
        <v>346</v>
      </c>
      <c r="E40" s="6" t="s">
        <v>463</v>
      </c>
    </row>
    <row r="41" ht="15.75" customHeight="1">
      <c r="A41" s="6" t="s">
        <v>464</v>
      </c>
      <c r="B41" s="6" t="s">
        <v>465</v>
      </c>
      <c r="C41" s="6">
        <f>3.4822*(C14)^-0.0602</f>
        <v>1.319634652</v>
      </c>
      <c r="D41" s="6"/>
      <c r="E41" s="6" t="s">
        <v>466</v>
      </c>
    </row>
    <row r="42" ht="15.75" customHeight="1">
      <c r="A42" s="6" t="s">
        <v>467</v>
      </c>
      <c r="B42" s="6" t="s">
        <v>468</v>
      </c>
      <c r="C42" s="6">
        <f>3.4822*(C14/C16)^-0.0602</f>
        <v>1.319634652</v>
      </c>
      <c r="D42" s="6"/>
      <c r="E42" s="6" t="s">
        <v>469</v>
      </c>
    </row>
    <row r="43" ht="15.75" customHeight="1">
      <c r="A43" s="6" t="s">
        <v>470</v>
      </c>
      <c r="B43" s="6" t="s">
        <v>471</v>
      </c>
      <c r="C43" s="6">
        <f>1+C44*(C16-1)</f>
        <v>1</v>
      </c>
      <c r="D43" s="6"/>
      <c r="E43" s="6" t="s">
        <v>472</v>
      </c>
    </row>
    <row r="44" ht="15.75" customHeight="1">
      <c r="A44" s="6"/>
      <c r="B44" s="6" t="s">
        <v>473</v>
      </c>
      <c r="C44" s="37">
        <f> 0.00898*(1)-0.00829</f>
        <v>0.00069</v>
      </c>
      <c r="D44" s="6"/>
      <c r="E44" s="6" t="s">
        <v>474</v>
      </c>
    </row>
    <row r="45" ht="15.75" customHeight="1">
      <c r="A45" s="6" t="s">
        <v>475</v>
      </c>
      <c r="B45" s="6" t="s">
        <v>476</v>
      </c>
      <c r="C45" s="6">
        <v>2.0</v>
      </c>
      <c r="D45" s="6"/>
      <c r="E45" s="6"/>
    </row>
    <row r="46" ht="15.75" customHeight="1">
      <c r="A46" s="6" t="s">
        <v>458</v>
      </c>
      <c r="B46" s="6" t="s">
        <v>477</v>
      </c>
      <c r="C46" s="6">
        <f>SQRT(C39)</f>
        <v>1</v>
      </c>
      <c r="D46" s="6"/>
      <c r="E46" s="6" t="s">
        <v>478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6 I11 I16 I21">
    <cfRule type="cellIs" dxfId="0" priority="1" operator="lessThan">
      <formula>2</formula>
    </cfRule>
  </conditionalFormatting>
  <conditionalFormatting sqref="I6 I11 I16 I21">
    <cfRule type="cellIs" dxfId="1" priority="2" operator="greaterThanOrEqual">
      <formula>2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4" width="12.63"/>
    <col customWidth="1" min="5" max="5" width="13.63"/>
    <col customWidth="1" min="6" max="6" width="12.63"/>
    <col customWidth="1" min="9" max="9" width="31.13"/>
    <col customWidth="1" min="13" max="13" width="12.88"/>
    <col customWidth="1" min="14" max="14" width="9.25"/>
    <col customWidth="1" min="15" max="15" width="43.88"/>
    <col customWidth="1" min="16" max="16" width="11.38"/>
    <col customWidth="1" min="19" max="19" width="31.25"/>
    <col customWidth="1" min="25" max="25" width="43.88"/>
  </cols>
  <sheetData>
    <row r="1" ht="15.75" customHeight="1">
      <c r="A1" s="4"/>
      <c r="I1" s="4"/>
      <c r="J1" s="4"/>
      <c r="K1" s="4"/>
      <c r="L1" s="4"/>
      <c r="M1" s="4"/>
      <c r="N1" s="4"/>
      <c r="O1" s="4"/>
    </row>
    <row r="2" ht="15.75" customHeight="1">
      <c r="A2" s="5" t="s">
        <v>110</v>
      </c>
      <c r="B2" s="6"/>
      <c r="C2" s="6"/>
      <c r="D2" s="6"/>
      <c r="E2" s="6"/>
      <c r="F2" s="6"/>
      <c r="G2" s="6"/>
      <c r="I2" s="5" t="s">
        <v>479</v>
      </c>
      <c r="J2" s="5"/>
      <c r="K2" s="5"/>
      <c r="L2" s="5"/>
      <c r="M2" s="5"/>
      <c r="N2" s="5"/>
      <c r="O2" s="5"/>
      <c r="P2" s="6"/>
      <c r="S2" s="76" t="s">
        <v>480</v>
      </c>
      <c r="T2" s="77"/>
      <c r="U2" s="33"/>
      <c r="V2" s="33"/>
      <c r="W2" s="33"/>
      <c r="X2" s="33"/>
      <c r="Y2" s="33"/>
      <c r="Z2" s="33"/>
    </row>
    <row r="3" ht="15.75" customHeight="1">
      <c r="A3" s="5" t="s">
        <v>8</v>
      </c>
      <c r="B3" s="5" t="s">
        <v>9</v>
      </c>
      <c r="C3" s="5" t="s">
        <v>112</v>
      </c>
      <c r="D3" s="5" t="s">
        <v>13</v>
      </c>
      <c r="E3" s="5" t="s">
        <v>12</v>
      </c>
      <c r="F3" s="5" t="s">
        <v>13</v>
      </c>
      <c r="G3" s="5" t="s">
        <v>113</v>
      </c>
      <c r="I3" s="5" t="s">
        <v>8</v>
      </c>
      <c r="J3" s="5" t="s">
        <v>9</v>
      </c>
      <c r="K3" s="52" t="s">
        <v>112</v>
      </c>
      <c r="L3" s="5" t="s">
        <v>13</v>
      </c>
      <c r="M3" s="5" t="s">
        <v>12</v>
      </c>
      <c r="N3" s="5" t="s">
        <v>13</v>
      </c>
      <c r="O3" s="5" t="s">
        <v>14</v>
      </c>
      <c r="P3" s="5" t="s">
        <v>113</v>
      </c>
      <c r="S3" s="24" t="s">
        <v>8</v>
      </c>
      <c r="T3" s="25" t="s">
        <v>9</v>
      </c>
      <c r="U3" s="78" t="s">
        <v>112</v>
      </c>
      <c r="V3" s="25" t="s">
        <v>13</v>
      </c>
      <c r="W3" s="25" t="s">
        <v>12</v>
      </c>
      <c r="X3" s="25" t="s">
        <v>13</v>
      </c>
      <c r="Y3" s="25" t="s">
        <v>14</v>
      </c>
      <c r="Z3" s="25" t="s">
        <v>113</v>
      </c>
    </row>
    <row r="4" ht="15.75" customHeight="1">
      <c r="A4" s="6" t="s">
        <v>342</v>
      </c>
      <c r="B4" s="35" t="s">
        <v>125</v>
      </c>
      <c r="C4" s="6">
        <f>'Torque&amp;Power'!M5</f>
        <v>30000</v>
      </c>
      <c r="D4" s="6" t="str">
        <f>'Torque&amp;Power'!N5</f>
        <v>rpm</v>
      </c>
      <c r="E4" s="6"/>
      <c r="F4" s="6"/>
      <c r="G4" s="6"/>
      <c r="I4" s="6" t="s">
        <v>481</v>
      </c>
      <c r="J4" s="6" t="s">
        <v>482</v>
      </c>
      <c r="K4" s="6">
        <f>C8*tan(E9)*cos(C20)</f>
        <v>0.1138936409</v>
      </c>
      <c r="L4" s="6" t="s">
        <v>401</v>
      </c>
      <c r="M4" s="6"/>
      <c r="N4" s="6"/>
      <c r="O4" s="6" t="s">
        <v>483</v>
      </c>
      <c r="P4" s="6" t="s">
        <v>484</v>
      </c>
      <c r="S4" s="7" t="s">
        <v>481</v>
      </c>
      <c r="T4" s="9" t="s">
        <v>482</v>
      </c>
      <c r="U4" s="10">
        <f>C8*tan(E9)*cos(C20)</f>
        <v>0.1138936409</v>
      </c>
      <c r="V4" s="9" t="s">
        <v>401</v>
      </c>
      <c r="W4" s="9"/>
      <c r="X4" s="9"/>
      <c r="Y4" s="9" t="s">
        <v>483</v>
      </c>
      <c r="Z4" s="9" t="s">
        <v>484</v>
      </c>
    </row>
    <row r="5" ht="15.75" customHeight="1">
      <c r="A5" s="6" t="s">
        <v>485</v>
      </c>
      <c r="B5" s="35" t="s">
        <v>134</v>
      </c>
      <c r="C5" s="6">
        <f>Variables!K10</f>
        <v>30000</v>
      </c>
      <c r="D5" s="6" t="str">
        <f>Variables!L10</f>
        <v>rpm</v>
      </c>
      <c r="E5" s="6"/>
      <c r="F5" s="6"/>
      <c r="G5" s="6"/>
      <c r="I5" s="6" t="s">
        <v>486</v>
      </c>
      <c r="J5" s="6" t="s">
        <v>487</v>
      </c>
      <c r="K5" s="6">
        <f>C8*tan(E9)*cos(C20)</f>
        <v>0.1138936409</v>
      </c>
      <c r="L5" s="6" t="s">
        <v>401</v>
      </c>
      <c r="M5" s="6"/>
      <c r="N5" s="6"/>
      <c r="O5" s="6" t="s">
        <v>488</v>
      </c>
      <c r="P5" s="6" t="s">
        <v>484</v>
      </c>
      <c r="S5" s="7" t="s">
        <v>486</v>
      </c>
      <c r="T5" s="9" t="s">
        <v>487</v>
      </c>
      <c r="U5" s="10">
        <f>C8*tan(E9)*cos(C20)</f>
        <v>0.1138936409</v>
      </c>
      <c r="V5" s="9" t="s">
        <v>401</v>
      </c>
      <c r="W5" s="9"/>
      <c r="X5" s="9"/>
      <c r="Y5" s="9" t="s">
        <v>488</v>
      </c>
      <c r="Z5" s="9" t="s">
        <v>484</v>
      </c>
    </row>
    <row r="6" ht="15.75" customHeight="1">
      <c r="A6" s="6" t="s">
        <v>489</v>
      </c>
      <c r="B6" s="79" t="str">
        <f>'Torque&amp;Power'!G9</f>
        <v>T2</v>
      </c>
      <c r="C6" s="6">
        <f>'Torque&amp;Power'!H9</f>
        <v>0.0147512</v>
      </c>
      <c r="D6" s="6" t="str">
        <f>'Torque&amp;Power'!I9</f>
        <v>ft*lbf</v>
      </c>
      <c r="E6" s="6"/>
      <c r="F6" s="6"/>
      <c r="G6" s="6"/>
      <c r="I6" s="6" t="s">
        <v>490</v>
      </c>
      <c r="J6" s="6" t="s">
        <v>491</v>
      </c>
      <c r="K6" s="6">
        <f>sqrt(C8^2+K4^2)</f>
        <v>0.4569571892</v>
      </c>
      <c r="L6" s="6" t="str">
        <f>L4</f>
        <v>lbf</v>
      </c>
      <c r="M6" s="6"/>
      <c r="N6" s="6"/>
      <c r="O6" s="6" t="s">
        <v>492</v>
      </c>
      <c r="P6" s="6"/>
      <c r="S6" s="7" t="s">
        <v>490</v>
      </c>
      <c r="T6" s="9" t="s">
        <v>493</v>
      </c>
      <c r="U6" s="10">
        <f>sqrt(U5^2+U4^2)</f>
        <v>0.1610699316</v>
      </c>
      <c r="V6" s="9" t="str">
        <f>V4</f>
        <v>lbf</v>
      </c>
      <c r="W6" s="9"/>
      <c r="X6" s="9"/>
      <c r="Y6" s="23" t="s">
        <v>494</v>
      </c>
      <c r="Z6" s="9"/>
    </row>
    <row r="7" ht="15.75" customHeight="1">
      <c r="A7" s="6" t="s">
        <v>495</v>
      </c>
      <c r="B7" s="6" t="s">
        <v>131</v>
      </c>
      <c r="C7" s="6">
        <f>'Torque&amp;Power'!M6</f>
        <v>0.0147512</v>
      </c>
      <c r="D7" s="6" t="str">
        <f>'Torque&amp;Power'!N6</f>
        <v>ft*lbf</v>
      </c>
      <c r="E7" s="6"/>
      <c r="F7" s="6"/>
      <c r="G7" s="6"/>
      <c r="I7" s="6" t="s">
        <v>496</v>
      </c>
      <c r="J7" s="6" t="s">
        <v>225</v>
      </c>
      <c r="K7" s="6">
        <f>K6*C13/C12</f>
        <v>0.4569571892</v>
      </c>
      <c r="L7" s="6" t="str">
        <f>L6</f>
        <v>lbf</v>
      </c>
      <c r="M7" s="6"/>
      <c r="N7" s="6"/>
      <c r="O7" s="6" t="s">
        <v>497</v>
      </c>
      <c r="P7" s="6"/>
      <c r="S7" s="7" t="s">
        <v>498</v>
      </c>
      <c r="T7" s="9" t="s">
        <v>499</v>
      </c>
      <c r="U7" s="10">
        <f>U6*C15/(C14+C15)</f>
        <v>0.0805349658</v>
      </c>
      <c r="V7" s="9" t="str">
        <f>V6</f>
        <v>lbf</v>
      </c>
      <c r="W7" s="9"/>
      <c r="X7" s="9"/>
      <c r="Y7" s="9" t="s">
        <v>500</v>
      </c>
      <c r="Z7" s="9" t="s">
        <v>501</v>
      </c>
    </row>
    <row r="8" ht="15.75" customHeight="1">
      <c r="A8" s="6" t="s">
        <v>502</v>
      </c>
      <c r="B8" s="6" t="s">
        <v>400</v>
      </c>
      <c r="C8" s="6">
        <f>'Stress Analysis of Gears'!C20</f>
        <v>0.442536</v>
      </c>
      <c r="D8" s="6" t="str">
        <f>'Stress Analysis of Gears'!D20</f>
        <v>lbf</v>
      </c>
      <c r="E8" s="6"/>
      <c r="F8" s="6"/>
      <c r="G8" s="6"/>
      <c r="I8" s="6" t="s">
        <v>503</v>
      </c>
      <c r="J8" s="6" t="s">
        <v>504</v>
      </c>
      <c r="K8" s="6">
        <f>K6*(C12+C13)/C12</f>
        <v>0.9139143783</v>
      </c>
      <c r="L8" s="6" t="str">
        <f>L6</f>
        <v>lbf</v>
      </c>
      <c r="M8" s="6"/>
      <c r="N8" s="6"/>
      <c r="O8" s="6" t="s">
        <v>505</v>
      </c>
      <c r="P8" s="6"/>
      <c r="S8" s="7" t="s">
        <v>506</v>
      </c>
      <c r="T8" s="9" t="s">
        <v>507</v>
      </c>
      <c r="U8" s="10">
        <f>U6*C14/(C14+C15)</f>
        <v>0.0805349658</v>
      </c>
      <c r="V8" s="9" t="str">
        <f>V6</f>
        <v>lbf</v>
      </c>
      <c r="W8" s="9"/>
      <c r="X8" s="9"/>
      <c r="Y8" s="23" t="s">
        <v>508</v>
      </c>
      <c r="Z8" s="9" t="s">
        <v>501</v>
      </c>
    </row>
    <row r="9" ht="15.75" customHeight="1">
      <c r="A9" s="6" t="s">
        <v>509</v>
      </c>
      <c r="B9" s="15" t="s">
        <v>32</v>
      </c>
      <c r="C9" s="6">
        <f>Variables!K7</f>
        <v>20</v>
      </c>
      <c r="D9" s="6" t="str">
        <f>Variables!L7</f>
        <v>degrees</v>
      </c>
      <c r="E9" s="6">
        <f>Variables!M7</f>
        <v>0.3490658504</v>
      </c>
      <c r="F9" s="6" t="str">
        <f>Variables!N7</f>
        <v>rad</v>
      </c>
      <c r="G9" s="6"/>
      <c r="I9" s="6" t="s">
        <v>510</v>
      </c>
      <c r="J9" s="6" t="s">
        <v>511</v>
      </c>
      <c r="K9" s="6">
        <f>-K6*C13*C12/C12</f>
        <v>-0.2284785946</v>
      </c>
      <c r="L9" s="6" t="s">
        <v>512</v>
      </c>
      <c r="M9" s="6"/>
      <c r="N9" s="6"/>
      <c r="O9" s="6" t="s">
        <v>513</v>
      </c>
      <c r="P9" s="6"/>
      <c r="S9" s="7" t="s">
        <v>510</v>
      </c>
      <c r="T9" s="9" t="s">
        <v>511</v>
      </c>
      <c r="U9" s="10">
        <f>U6*C15*C14/(C14+C15)</f>
        <v>0.0402674829</v>
      </c>
      <c r="V9" s="9" t="s">
        <v>512</v>
      </c>
      <c r="W9" s="9"/>
      <c r="X9" s="9"/>
      <c r="Y9" s="23" t="s">
        <v>514</v>
      </c>
      <c r="Z9" s="9" t="s">
        <v>501</v>
      </c>
    </row>
    <row r="10" ht="15.75" customHeight="1">
      <c r="A10" s="6" t="str">
        <f>'Gear Specifications'!F5</f>
        <v>Pinion Pitch Diameter</v>
      </c>
      <c r="B10" s="6" t="str">
        <f>'Gear Specifications'!G5</f>
        <v>d(p)</v>
      </c>
      <c r="C10" s="53">
        <f>'Gear Specifications'!H5</f>
        <v>0.8</v>
      </c>
      <c r="D10" s="6" t="str">
        <f>'Gear Specifications'!I5</f>
        <v>in</v>
      </c>
      <c r="E10" s="6"/>
      <c r="F10" s="6"/>
      <c r="G10" s="6"/>
      <c r="I10" s="6" t="s">
        <v>515</v>
      </c>
      <c r="J10" s="6" t="s">
        <v>516</v>
      </c>
      <c r="K10" s="6">
        <f>ABS(K9-(-K9))/2</f>
        <v>0.2284785946</v>
      </c>
      <c r="L10" s="6" t="s">
        <v>512</v>
      </c>
      <c r="M10" s="6"/>
      <c r="N10" s="6"/>
      <c r="O10" s="6" t="s">
        <v>517</v>
      </c>
      <c r="P10" s="6"/>
      <c r="S10" s="7" t="s">
        <v>515</v>
      </c>
      <c r="T10" s="9" t="s">
        <v>516</v>
      </c>
      <c r="U10" s="10">
        <f>ABS(U9-(-U9))/2</f>
        <v>0.0402674829</v>
      </c>
      <c r="V10" s="9" t="s">
        <v>512</v>
      </c>
      <c r="W10" s="9"/>
      <c r="X10" s="9"/>
      <c r="Y10" s="23" t="s">
        <v>518</v>
      </c>
      <c r="Z10" s="9"/>
    </row>
    <row r="11" ht="15.75" customHeight="1">
      <c r="A11" s="6" t="str">
        <f>'Gear Specifications'!F6</f>
        <v>Gear Pitch Diameter</v>
      </c>
      <c r="B11" s="6" t="str">
        <f>'Gear Specifications'!G6</f>
        <v>d(g)</v>
      </c>
      <c r="C11" s="53">
        <f>'Gear Specifications'!H6</f>
        <v>0.8</v>
      </c>
      <c r="D11" s="6" t="str">
        <f>'Gear Specifications'!I6</f>
        <v>in</v>
      </c>
      <c r="E11" s="6"/>
      <c r="F11" s="6"/>
      <c r="G11" s="6"/>
      <c r="I11" s="6" t="s">
        <v>519</v>
      </c>
      <c r="J11" s="6" t="s">
        <v>520</v>
      </c>
      <c r="K11" s="6">
        <v>0.0</v>
      </c>
      <c r="L11" s="6" t="s">
        <v>512</v>
      </c>
      <c r="M11" s="6"/>
      <c r="N11" s="6"/>
      <c r="O11" s="6" t="s">
        <v>521</v>
      </c>
      <c r="P11" s="6"/>
      <c r="S11" s="7" t="s">
        <v>519</v>
      </c>
      <c r="T11" s="9" t="s">
        <v>520</v>
      </c>
      <c r="U11" s="10">
        <v>0.0</v>
      </c>
      <c r="V11" s="9" t="s">
        <v>512</v>
      </c>
      <c r="W11" s="9"/>
      <c r="X11" s="9"/>
      <c r="Y11" s="23" t="s">
        <v>522</v>
      </c>
      <c r="Z11" s="23"/>
    </row>
    <row r="12" ht="15.75" customHeight="1">
      <c r="A12" s="12" t="s">
        <v>523</v>
      </c>
      <c r="B12" s="6" t="s">
        <v>66</v>
      </c>
      <c r="C12" s="13">
        <v>0.5</v>
      </c>
      <c r="D12" s="6" t="s">
        <v>7</v>
      </c>
      <c r="E12" s="6"/>
      <c r="F12" s="6"/>
      <c r="G12" s="6"/>
      <c r="I12" s="6" t="s">
        <v>524</v>
      </c>
      <c r="J12" s="6" t="s">
        <v>525</v>
      </c>
      <c r="K12" s="6">
        <v>0.0</v>
      </c>
      <c r="L12" s="6" t="str">
        <f>D6</f>
        <v>ft*lbf</v>
      </c>
      <c r="M12" s="6">
        <f t="shared" ref="M12:M13" si="2">K12*12</f>
        <v>0</v>
      </c>
      <c r="N12" s="6" t="s">
        <v>526</v>
      </c>
      <c r="O12" s="6" t="s">
        <v>521</v>
      </c>
      <c r="P12" s="6"/>
      <c r="S12" s="7" t="s">
        <v>524</v>
      </c>
      <c r="T12" s="9" t="s">
        <v>525</v>
      </c>
      <c r="U12" s="10">
        <v>0.0</v>
      </c>
      <c r="V12" s="9" t="str">
        <f>D6</f>
        <v>ft*lbf</v>
      </c>
      <c r="W12" s="10">
        <f t="shared" ref="W12:W13" si="4">U12*12</f>
        <v>0</v>
      </c>
      <c r="X12" s="9" t="s">
        <v>526</v>
      </c>
      <c r="Y12" s="23" t="s">
        <v>522</v>
      </c>
      <c r="Z12" s="23"/>
    </row>
    <row r="13" ht="15.75" customHeight="1">
      <c r="A13" s="12" t="s">
        <v>527</v>
      </c>
      <c r="B13" s="6" t="s">
        <v>69</v>
      </c>
      <c r="C13" s="13">
        <v>0.5</v>
      </c>
      <c r="D13" s="6" t="s">
        <v>7</v>
      </c>
      <c r="E13" s="6"/>
      <c r="F13" s="6"/>
      <c r="G13" s="6"/>
      <c r="I13" s="6" t="s">
        <v>528</v>
      </c>
      <c r="J13" s="6" t="s">
        <v>529</v>
      </c>
      <c r="K13" s="6">
        <f t="shared" ref="K13:L13" si="1">C6</f>
        <v>0.0147512</v>
      </c>
      <c r="L13" s="6" t="str">
        <f t="shared" si="1"/>
        <v>ft*lbf</v>
      </c>
      <c r="M13" s="6">
        <f t="shared" si="2"/>
        <v>0.1770144</v>
      </c>
      <c r="N13" s="6" t="s">
        <v>526</v>
      </c>
      <c r="O13" s="6" t="s">
        <v>145</v>
      </c>
      <c r="P13" s="6"/>
      <c r="S13" s="7" t="s">
        <v>528</v>
      </c>
      <c r="T13" s="9" t="s">
        <v>529</v>
      </c>
      <c r="U13" s="10">
        <f t="shared" ref="U13:V13" si="3">C7</f>
        <v>0.0147512</v>
      </c>
      <c r="V13" s="9" t="str">
        <f t="shared" si="3"/>
        <v>ft*lbf</v>
      </c>
      <c r="W13" s="10">
        <f t="shared" si="4"/>
        <v>0.1770144</v>
      </c>
      <c r="X13" s="9" t="s">
        <v>526</v>
      </c>
      <c r="Y13" s="9" t="s">
        <v>131</v>
      </c>
      <c r="Z13" s="9"/>
    </row>
    <row r="14" ht="15.75" customHeight="1">
      <c r="A14" s="12" t="s">
        <v>530</v>
      </c>
      <c r="B14" s="6" t="s">
        <v>72</v>
      </c>
      <c r="C14" s="13">
        <v>0.5</v>
      </c>
      <c r="D14" s="6" t="s">
        <v>7</v>
      </c>
      <c r="E14" s="6"/>
      <c r="F14" s="6"/>
      <c r="G14" s="6"/>
      <c r="I14" s="6" t="s">
        <v>531</v>
      </c>
      <c r="J14" s="80" t="s">
        <v>532</v>
      </c>
      <c r="K14" s="6">
        <f>C23*C19^C24</f>
        <v>0.4896941042</v>
      </c>
      <c r="L14" s="6"/>
      <c r="M14" s="6"/>
      <c r="N14" s="6"/>
      <c r="O14" s="6" t="s">
        <v>533</v>
      </c>
      <c r="P14" s="81">
        <v>45095.0</v>
      </c>
      <c r="S14" s="7" t="s">
        <v>531</v>
      </c>
      <c r="T14" s="82" t="s">
        <v>532</v>
      </c>
      <c r="U14" s="10">
        <f>C23*C19^C24</f>
        <v>0.4896941042</v>
      </c>
      <c r="V14" s="9"/>
      <c r="W14" s="9"/>
      <c r="X14" s="9"/>
      <c r="Y14" s="9" t="s">
        <v>533</v>
      </c>
      <c r="Z14" s="83">
        <v>45095.0</v>
      </c>
    </row>
    <row r="15" ht="15.75" customHeight="1">
      <c r="A15" s="12" t="s">
        <v>534</v>
      </c>
      <c r="B15" s="6" t="s">
        <v>74</v>
      </c>
      <c r="C15" s="13">
        <v>0.5</v>
      </c>
      <c r="D15" s="6" t="s">
        <v>7</v>
      </c>
      <c r="E15" s="6"/>
      <c r="F15" s="6"/>
      <c r="G15" s="6"/>
      <c r="I15" s="6" t="s">
        <v>535</v>
      </c>
      <c r="J15" s="80" t="s">
        <v>536</v>
      </c>
      <c r="K15" s="6">
        <v>1.0</v>
      </c>
      <c r="L15" s="6"/>
      <c r="M15" s="6"/>
      <c r="N15" s="6"/>
      <c r="O15" s="84" t="s">
        <v>537</v>
      </c>
      <c r="P15" s="6" t="s">
        <v>538</v>
      </c>
      <c r="S15" s="7" t="s">
        <v>535</v>
      </c>
      <c r="T15" s="82" t="s">
        <v>536</v>
      </c>
      <c r="U15" s="10">
        <v>1.0</v>
      </c>
      <c r="V15" s="9"/>
      <c r="W15" s="9"/>
      <c r="X15" s="9"/>
      <c r="Y15" s="9" t="s">
        <v>537</v>
      </c>
      <c r="Z15" s="83">
        <v>45097.0</v>
      </c>
    </row>
    <row r="16" ht="15.75" customHeight="1">
      <c r="A16" s="6" t="s">
        <v>539</v>
      </c>
      <c r="B16" s="6" t="s">
        <v>88</v>
      </c>
      <c r="C16" s="6">
        <f>Variables!B19</f>
        <v>2</v>
      </c>
      <c r="D16" s="6"/>
      <c r="E16" s="6"/>
      <c r="F16" s="6"/>
      <c r="G16" s="6"/>
      <c r="I16" s="6" t="s">
        <v>540</v>
      </c>
      <c r="J16" s="85" t="s">
        <v>541</v>
      </c>
      <c r="K16" s="6">
        <v>1.0</v>
      </c>
      <c r="L16" s="6"/>
      <c r="M16" s="6"/>
      <c r="N16" s="6"/>
      <c r="O16" s="86" t="s">
        <v>542</v>
      </c>
      <c r="P16" s="6" t="s">
        <v>543</v>
      </c>
      <c r="S16" s="7" t="s">
        <v>540</v>
      </c>
      <c r="T16" s="82" t="s">
        <v>541</v>
      </c>
      <c r="U16" s="10">
        <v>1.0</v>
      </c>
      <c r="V16" s="9"/>
      <c r="W16" s="9"/>
      <c r="X16" s="9"/>
      <c r="Y16" s="87" t="s">
        <v>542</v>
      </c>
      <c r="Z16" s="23" t="s">
        <v>544</v>
      </c>
    </row>
    <row r="17" ht="15.75" customHeight="1">
      <c r="A17" s="12" t="s">
        <v>545</v>
      </c>
      <c r="B17" s="6" t="s">
        <v>546</v>
      </c>
      <c r="C17" s="73">
        <f>7/25.4</f>
        <v>0.2755905512</v>
      </c>
      <c r="D17" s="6" t="s">
        <v>7</v>
      </c>
      <c r="E17" s="6"/>
      <c r="F17" s="6"/>
      <c r="G17" s="6"/>
      <c r="I17" s="6" t="s">
        <v>547</v>
      </c>
      <c r="J17" s="88" t="s">
        <v>548</v>
      </c>
      <c r="K17" s="6">
        <v>1.0</v>
      </c>
      <c r="L17" s="6"/>
      <c r="M17" s="6"/>
      <c r="N17" s="6"/>
      <c r="O17" s="84" t="s">
        <v>549</v>
      </c>
      <c r="P17" s="6" t="s">
        <v>550</v>
      </c>
      <c r="S17" s="7" t="s">
        <v>547</v>
      </c>
      <c r="T17" s="89" t="s">
        <v>548</v>
      </c>
      <c r="U17" s="10">
        <v>1.0</v>
      </c>
      <c r="V17" s="9"/>
      <c r="W17" s="9"/>
      <c r="X17" s="9"/>
      <c r="Y17" s="9" t="s">
        <v>551</v>
      </c>
      <c r="Z17" s="9" t="s">
        <v>550</v>
      </c>
    </row>
    <row r="18" ht="15.75" customHeight="1">
      <c r="A18" s="12" t="s">
        <v>552</v>
      </c>
      <c r="B18" s="6" t="s">
        <v>553</v>
      </c>
      <c r="C18" s="6">
        <f>Variables!D17</f>
        <v>0.06299212598</v>
      </c>
      <c r="D18" s="6" t="s">
        <v>7</v>
      </c>
      <c r="E18" s="6"/>
      <c r="F18" s="6"/>
      <c r="G18" s="6"/>
      <c r="I18" s="6" t="s">
        <v>554</v>
      </c>
      <c r="J18" s="90" t="s">
        <v>555</v>
      </c>
      <c r="K18" s="13">
        <v>0.868</v>
      </c>
      <c r="L18" s="6"/>
      <c r="M18" s="6"/>
      <c r="N18" s="6"/>
      <c r="O18" s="13" t="s">
        <v>556</v>
      </c>
      <c r="P18" s="6" t="s">
        <v>557</v>
      </c>
      <c r="S18" s="7" t="s">
        <v>554</v>
      </c>
      <c r="T18" s="91" t="s">
        <v>555</v>
      </c>
      <c r="U18" s="10">
        <v>0.814</v>
      </c>
      <c r="V18" s="9"/>
      <c r="W18" s="9"/>
      <c r="X18" s="9"/>
      <c r="Y18" s="9" t="s">
        <v>558</v>
      </c>
      <c r="Z18" s="9" t="s">
        <v>557</v>
      </c>
    </row>
    <row r="19" ht="15.75" customHeight="1">
      <c r="A19" s="6" t="s">
        <v>559</v>
      </c>
      <c r="B19" s="6" t="s">
        <v>560</v>
      </c>
      <c r="C19" s="6">
        <v>120.0</v>
      </c>
      <c r="D19" s="6" t="s">
        <v>561</v>
      </c>
      <c r="E19" s="6">
        <f>C19*1000</f>
        <v>120000</v>
      </c>
      <c r="F19" s="6" t="s">
        <v>346</v>
      </c>
      <c r="G19" s="6" t="s">
        <v>562</v>
      </c>
      <c r="I19" s="6" t="s">
        <v>563</v>
      </c>
      <c r="J19" s="80" t="s">
        <v>564</v>
      </c>
      <c r="K19" s="6">
        <f>0.5*C19</f>
        <v>60</v>
      </c>
      <c r="L19" s="6" t="str">
        <f>D19</f>
        <v>Kpsi</v>
      </c>
      <c r="M19" s="6">
        <f t="shared" ref="M19:M20" si="5">K19*1000</f>
        <v>60000</v>
      </c>
      <c r="N19" s="6" t="s">
        <v>346</v>
      </c>
      <c r="O19" s="80"/>
      <c r="P19" s="81">
        <v>45111.0</v>
      </c>
      <c r="S19" s="7" t="s">
        <v>563</v>
      </c>
      <c r="T19" s="82" t="s">
        <v>564</v>
      </c>
      <c r="U19" s="10">
        <f>0.5*C19</f>
        <v>60</v>
      </c>
      <c r="V19" s="9" t="str">
        <f>D19</f>
        <v>Kpsi</v>
      </c>
      <c r="W19" s="9">
        <f t="shared" ref="W19:W20" si="6">U19*1000</f>
        <v>60000</v>
      </c>
      <c r="X19" s="9" t="s">
        <v>346</v>
      </c>
      <c r="Y19" s="87"/>
      <c r="Z19" s="83">
        <v>45111.0</v>
      </c>
    </row>
    <row r="20" ht="15.75" customHeight="1">
      <c r="A20" s="6" t="str">
        <f>'Gear Specifications'!F14</f>
        <v>Gear Pitch Cone Angle</v>
      </c>
      <c r="B20" s="6" t="str">
        <f>'Gear Specifications'!G14</f>
        <v>Γ</v>
      </c>
      <c r="C20" s="53">
        <f>'Gear Specifications'!H14</f>
        <v>0.7853981634</v>
      </c>
      <c r="D20" s="6" t="str">
        <f>'Gear Specifications'!I14</f>
        <v>rad</v>
      </c>
      <c r="E20" s="6"/>
      <c r="F20" s="6"/>
      <c r="G20" s="6"/>
      <c r="I20" s="6" t="s">
        <v>565</v>
      </c>
      <c r="J20" s="80" t="s">
        <v>566</v>
      </c>
      <c r="K20" s="6">
        <f>K14*K15*K16*K17*K18*K19</f>
        <v>25.50326895</v>
      </c>
      <c r="L20" s="6" t="str">
        <f>L19</f>
        <v>Kpsi</v>
      </c>
      <c r="M20" s="6">
        <f t="shared" si="5"/>
        <v>25503.26895</v>
      </c>
      <c r="N20" s="6" t="s">
        <v>346</v>
      </c>
      <c r="O20" s="6" t="s">
        <v>567</v>
      </c>
      <c r="P20" s="81">
        <v>45094.0</v>
      </c>
      <c r="S20" s="7" t="s">
        <v>565</v>
      </c>
      <c r="T20" s="82" t="s">
        <v>566</v>
      </c>
      <c r="U20" s="10">
        <f>U14*U15*U16*U17*U18*U19</f>
        <v>23.91666005</v>
      </c>
      <c r="V20" s="9" t="str">
        <f>V19</f>
        <v>Kpsi</v>
      </c>
      <c r="W20" s="9">
        <f t="shared" si="6"/>
        <v>23916.66005</v>
      </c>
      <c r="X20" s="9" t="s">
        <v>346</v>
      </c>
      <c r="Y20" s="9" t="s">
        <v>567</v>
      </c>
      <c r="Z20" s="83">
        <v>45094.0</v>
      </c>
    </row>
    <row r="21" ht="15.75" customHeight="1">
      <c r="B21" s="6" t="s">
        <v>568</v>
      </c>
      <c r="C21" s="6">
        <v>1.0</v>
      </c>
      <c r="D21" s="6"/>
      <c r="E21" s="6"/>
      <c r="F21" s="6"/>
      <c r="G21" s="6"/>
      <c r="I21" s="6" t="s">
        <v>569</v>
      </c>
      <c r="J21" s="80" t="s">
        <v>570</v>
      </c>
      <c r="K21" s="6">
        <f>C21*32*K10/(PI()*C17^3)</f>
        <v>111.1866522</v>
      </c>
      <c r="L21" s="6" t="s">
        <v>346</v>
      </c>
      <c r="M21" s="6"/>
      <c r="N21" s="6"/>
      <c r="O21" s="6" t="s">
        <v>571</v>
      </c>
      <c r="P21" s="81">
        <v>45109.0</v>
      </c>
      <c r="S21" s="7"/>
      <c r="T21" s="82" t="s">
        <v>570</v>
      </c>
      <c r="U21" s="10">
        <f>C21*32*U10/(PI()*C18^3)</f>
        <v>1640.951671</v>
      </c>
      <c r="V21" s="6" t="s">
        <v>346</v>
      </c>
      <c r="W21" s="9"/>
      <c r="X21" s="9"/>
      <c r="Y21" s="9" t="s">
        <v>571</v>
      </c>
      <c r="Z21" s="83">
        <v>45109.0</v>
      </c>
    </row>
    <row r="22" ht="15.75" customHeight="1">
      <c r="B22" s="6" t="s">
        <v>572</v>
      </c>
      <c r="C22" s="6">
        <v>1.0</v>
      </c>
      <c r="D22" s="6"/>
      <c r="E22" s="6"/>
      <c r="F22" s="6"/>
      <c r="G22" s="6"/>
      <c r="I22" s="6" t="s">
        <v>573</v>
      </c>
      <c r="J22" s="85" t="s">
        <v>574</v>
      </c>
      <c r="K22" s="6">
        <f>C21*32*K11/(PI()*C17^3)</f>
        <v>0</v>
      </c>
      <c r="L22" s="6" t="s">
        <v>346</v>
      </c>
      <c r="M22" s="6"/>
      <c r="N22" s="6"/>
      <c r="O22" s="40" t="s">
        <v>575</v>
      </c>
      <c r="P22" s="81">
        <v>45109.0</v>
      </c>
      <c r="S22" s="7"/>
      <c r="T22" s="82" t="s">
        <v>574</v>
      </c>
      <c r="U22" s="10">
        <f>C211*32*U11/(PI()*C18^3)</f>
        <v>0</v>
      </c>
      <c r="V22" s="6" t="s">
        <v>346</v>
      </c>
      <c r="W22" s="9"/>
      <c r="X22" s="9"/>
      <c r="Y22" s="87" t="s">
        <v>575</v>
      </c>
      <c r="Z22" s="83">
        <v>45109.0</v>
      </c>
    </row>
    <row r="23" ht="15.75" customHeight="1">
      <c r="A23" s="6" t="s">
        <v>576</v>
      </c>
      <c r="B23" s="6" t="s">
        <v>198</v>
      </c>
      <c r="C23" s="6">
        <v>11.0</v>
      </c>
      <c r="D23" s="6"/>
      <c r="E23" s="6"/>
      <c r="F23" s="6"/>
      <c r="G23" s="6" t="s">
        <v>577</v>
      </c>
      <c r="I23" s="6" t="s">
        <v>578</v>
      </c>
      <c r="J23" s="88" t="s">
        <v>579</v>
      </c>
      <c r="K23" s="6">
        <f>C22*16*K12/(PI()*C17^3)</f>
        <v>0</v>
      </c>
      <c r="L23" s="6" t="s">
        <v>346</v>
      </c>
      <c r="M23" s="6"/>
      <c r="N23" s="6"/>
      <c r="O23" s="6" t="s">
        <v>580</v>
      </c>
      <c r="P23" s="81">
        <v>45110.0</v>
      </c>
      <c r="S23" s="7"/>
      <c r="T23" s="89" t="s">
        <v>579</v>
      </c>
      <c r="U23" s="10">
        <f>C22*16*U12/(PI()*C18^3)</f>
        <v>0</v>
      </c>
      <c r="V23" s="6" t="s">
        <v>346</v>
      </c>
      <c r="W23" s="9"/>
      <c r="X23" s="9"/>
      <c r="Y23" s="9" t="s">
        <v>580</v>
      </c>
      <c r="Z23" s="83">
        <v>45110.0</v>
      </c>
    </row>
    <row r="24" ht="15.75" customHeight="1">
      <c r="A24" s="6" t="s">
        <v>581</v>
      </c>
      <c r="B24" s="6" t="s">
        <v>201</v>
      </c>
      <c r="C24" s="6">
        <v>-0.65</v>
      </c>
      <c r="D24" s="6"/>
      <c r="E24" s="6"/>
      <c r="F24" s="6"/>
      <c r="G24" s="6" t="s">
        <v>577</v>
      </c>
      <c r="I24" s="6" t="s">
        <v>582</v>
      </c>
      <c r="J24" s="90" t="s">
        <v>583</v>
      </c>
      <c r="K24" s="6">
        <f>C22*16*M13/(PI()*C17^3)</f>
        <v>43.07107756</v>
      </c>
      <c r="L24" s="6" t="s">
        <v>346</v>
      </c>
      <c r="M24" s="6"/>
      <c r="N24" s="6"/>
      <c r="O24" s="6" t="s">
        <v>584</v>
      </c>
      <c r="P24" s="81">
        <v>45110.0</v>
      </c>
      <c r="S24" s="7"/>
      <c r="T24" s="91" t="s">
        <v>583</v>
      </c>
      <c r="U24" s="10">
        <f>C22*16*W13/(PI()*C18^3)</f>
        <v>3606.782129</v>
      </c>
      <c r="V24" s="6" t="s">
        <v>346</v>
      </c>
      <c r="W24" s="9"/>
      <c r="X24" s="9"/>
      <c r="Y24" s="9" t="s">
        <v>584</v>
      </c>
      <c r="Z24" s="83">
        <v>45110.0</v>
      </c>
    </row>
    <row r="25" ht="15.75" customHeight="1">
      <c r="A25" s="11" t="str">
        <f>Variables!A8</f>
        <v>dm (motor input shaft diameter)</v>
      </c>
      <c r="B25" s="92">
        <v>25.0</v>
      </c>
      <c r="C25" s="11" t="str">
        <f>Variables!C8</f>
        <v>mm</v>
      </c>
      <c r="D25" s="11">
        <f>Variables!D8</f>
        <v>0.2755905512</v>
      </c>
      <c r="E25" s="11" t="str">
        <f>Variables!E8</f>
        <v>in</v>
      </c>
      <c r="F25" s="11" t="str">
        <f>Variables!F8</f>
        <v/>
      </c>
      <c r="I25" s="6" t="s">
        <v>585</v>
      </c>
      <c r="J25" s="80" t="s">
        <v>586</v>
      </c>
      <c r="K25" s="6">
        <f t="shared" ref="K25:K26" si="7">SQRT(K21^2+3*K23^2)</f>
        <v>111.1866522</v>
      </c>
      <c r="L25" s="6" t="s">
        <v>346</v>
      </c>
      <c r="M25" s="6"/>
      <c r="N25" s="6"/>
      <c r="O25" s="80" t="s">
        <v>587</v>
      </c>
      <c r="P25" s="81">
        <v>45111.0</v>
      </c>
      <c r="S25" s="7"/>
      <c r="T25" s="82" t="s">
        <v>586</v>
      </c>
      <c r="U25" s="10">
        <f t="shared" ref="U25:U26" si="8">SQRT(U21^2+3*U23^2)</f>
        <v>1640.951671</v>
      </c>
      <c r="V25" s="6" t="s">
        <v>346</v>
      </c>
      <c r="W25" s="9"/>
      <c r="X25" s="9"/>
      <c r="Y25" s="82" t="s">
        <v>587</v>
      </c>
      <c r="Z25" s="83">
        <v>45111.0</v>
      </c>
    </row>
    <row r="26" ht="15.75" customHeight="1">
      <c r="I26" s="6" t="s">
        <v>588</v>
      </c>
      <c r="J26" s="93" t="s">
        <v>589</v>
      </c>
      <c r="K26" s="6">
        <f t="shared" si="7"/>
        <v>74.60129467</v>
      </c>
      <c r="L26" s="6" t="s">
        <v>346</v>
      </c>
      <c r="M26" s="6"/>
      <c r="N26" s="6"/>
      <c r="O26" s="80" t="s">
        <v>590</v>
      </c>
      <c r="P26" s="81">
        <v>45112.0</v>
      </c>
      <c r="S26" s="7"/>
      <c r="T26" s="82" t="s">
        <v>589</v>
      </c>
      <c r="U26" s="10">
        <f t="shared" si="8"/>
        <v>6247.1299</v>
      </c>
      <c r="V26" s="6" t="s">
        <v>346</v>
      </c>
      <c r="W26" s="9"/>
      <c r="X26" s="9"/>
      <c r="Y26" s="82" t="s">
        <v>590</v>
      </c>
      <c r="Z26" s="83">
        <v>45112.0</v>
      </c>
    </row>
    <row r="27" ht="15.75" customHeight="1">
      <c r="S27" s="22"/>
      <c r="T27" s="22"/>
      <c r="U27" s="22"/>
      <c r="V27" s="22"/>
      <c r="W27" s="22"/>
      <c r="X27" s="22"/>
      <c r="Y27" s="22"/>
      <c r="Z27" s="22"/>
    </row>
    <row r="28" ht="15.75" customHeight="1">
      <c r="S28" s="22"/>
      <c r="T28" s="22"/>
      <c r="U28" s="22"/>
      <c r="V28" s="22"/>
      <c r="W28" s="22"/>
      <c r="X28" s="22"/>
      <c r="Y28" s="22"/>
      <c r="Z28" s="22"/>
    </row>
    <row r="29" ht="15.75" customHeight="1">
      <c r="S29" s="22"/>
      <c r="T29" s="22"/>
      <c r="U29" s="22"/>
      <c r="V29" s="22"/>
      <c r="W29" s="22"/>
      <c r="X29" s="22"/>
      <c r="Y29" s="22"/>
      <c r="Z29" s="22"/>
    </row>
    <row r="30" ht="15.75" customHeight="1">
      <c r="I30" s="11" t="s">
        <v>591</v>
      </c>
      <c r="S30" s="22" t="s">
        <v>591</v>
      </c>
      <c r="T30" s="22"/>
      <c r="U30" s="22"/>
      <c r="V30" s="22"/>
      <c r="W30" s="22"/>
      <c r="X30" s="22"/>
      <c r="Y30" s="22"/>
      <c r="Z30" s="22"/>
    </row>
    <row r="31" ht="15.75" customHeight="1">
      <c r="I31" s="85" t="s">
        <v>592</v>
      </c>
      <c r="J31" s="11">
        <f>K25/M20+K26/E19</f>
        <v>0.004981379441</v>
      </c>
      <c r="S31" s="94" t="s">
        <v>592</v>
      </c>
      <c r="T31" s="95">
        <f>U25/W20+U26/E19</f>
        <v>0.1206706545</v>
      </c>
      <c r="U31" s="22"/>
      <c r="V31" s="22"/>
      <c r="W31" s="22"/>
      <c r="X31" s="22"/>
      <c r="Y31" s="22"/>
      <c r="Z31" s="22"/>
    </row>
    <row r="32" ht="15.75" customHeight="1">
      <c r="S32" s="22"/>
      <c r="T32" s="22"/>
      <c r="U32" s="22"/>
      <c r="V32" s="22"/>
      <c r="W32" s="22"/>
      <c r="X32" s="22"/>
      <c r="Y32" s="22"/>
      <c r="Z32" s="22"/>
    </row>
    <row r="33" ht="15.75" customHeight="1">
      <c r="S33" s="22"/>
      <c r="T33" s="22"/>
      <c r="U33" s="22"/>
      <c r="V33" s="22"/>
      <c r="W33" s="22"/>
      <c r="X33" s="22"/>
      <c r="Y33" s="22"/>
      <c r="Z33" s="22"/>
    </row>
    <row r="34" ht="15.75" customHeight="1">
      <c r="S34" s="22"/>
      <c r="T34" s="22"/>
      <c r="U34" s="22"/>
      <c r="V34" s="22"/>
      <c r="W34" s="22"/>
      <c r="X34" s="22"/>
      <c r="Y34" s="22"/>
      <c r="Z34" s="22"/>
    </row>
    <row r="35" ht="15.75" customHeight="1">
      <c r="I35" s="11" t="s">
        <v>593</v>
      </c>
      <c r="S35" s="22" t="s">
        <v>593</v>
      </c>
      <c r="T35" s="22"/>
      <c r="U35" s="22"/>
      <c r="V35" s="22"/>
      <c r="W35" s="22"/>
      <c r="X35" s="22"/>
      <c r="Y35" s="22"/>
      <c r="Z35" s="22"/>
    </row>
    <row r="36" ht="15.75" customHeight="1">
      <c r="I36" s="11" t="s">
        <v>594</v>
      </c>
      <c r="J36" s="11">
        <f>1/J31</f>
        <v>200.7476065</v>
      </c>
      <c r="S36" s="22" t="s">
        <v>594</v>
      </c>
      <c r="T36" s="95">
        <f>1/T31</f>
        <v>8.287018945</v>
      </c>
      <c r="U36" s="22"/>
      <c r="V36" s="22"/>
      <c r="W36" s="22"/>
      <c r="X36" s="22"/>
      <c r="Y36" s="22"/>
      <c r="Z36" s="2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31">
    <cfRule type="cellIs" dxfId="0" priority="1" operator="greaterThanOrEqual">
      <formula>1/C16</formula>
    </cfRule>
  </conditionalFormatting>
  <conditionalFormatting sqref="C19">
    <cfRule type="cellIs" dxfId="0" priority="2" operator="greaterThan">
      <formula>200</formula>
    </cfRule>
  </conditionalFormatting>
  <conditionalFormatting sqref="J36">
    <cfRule type="cellIs" dxfId="0" priority="3" operator="lessThan">
      <formula>C16</formula>
    </cfRule>
  </conditionalFormatting>
  <conditionalFormatting sqref="J31">
    <cfRule type="cellIs" dxfId="1" priority="4" operator="lessThan">
      <formula>1/C16</formula>
    </cfRule>
  </conditionalFormatting>
  <conditionalFormatting sqref="J36">
    <cfRule type="cellIs" dxfId="1" priority="5" operator="greaterThanOrEqual">
      <formula>C16</formula>
    </cfRule>
  </conditionalFormatting>
  <conditionalFormatting sqref="T31">
    <cfRule type="cellIs" dxfId="0" priority="6" operator="greaterThanOrEqual">
      <formula>1/C16</formula>
    </cfRule>
  </conditionalFormatting>
  <conditionalFormatting sqref="T31">
    <cfRule type="cellIs" dxfId="1" priority="7" operator="lessThan">
      <formula>1/C16</formula>
    </cfRule>
  </conditionalFormatting>
  <conditionalFormatting sqref="T36">
    <cfRule type="cellIs" dxfId="1" priority="8" operator="greaterThanOrEqual">
      <formula>C16</formula>
    </cfRule>
  </conditionalFormatting>
  <conditionalFormatting sqref="T36">
    <cfRule type="cellIs" dxfId="0" priority="9" operator="lessThan">
      <formula>C16</formula>
    </cfRule>
  </conditionalFormatting>
  <conditionalFormatting sqref="C17">
    <cfRule type="cellIs" dxfId="0" priority="10" operator="greaterThan">
      <formula>D25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14.0"/>
    <col customWidth="1" min="3" max="5" width="12.63"/>
    <col customWidth="1" min="6" max="6" width="28.0"/>
  </cols>
  <sheetData>
    <row r="1" ht="15.75" customHeight="1">
      <c r="A1" s="1" t="s">
        <v>595</v>
      </c>
      <c r="B1" s="38"/>
      <c r="C1" s="38"/>
      <c r="D1" s="22"/>
      <c r="F1" s="1" t="s">
        <v>596</v>
      </c>
      <c r="G1" s="1"/>
      <c r="H1" s="1"/>
      <c r="I1" s="1"/>
    </row>
    <row r="2" ht="15.75" customHeight="1">
      <c r="A2" s="96" t="s">
        <v>597</v>
      </c>
      <c r="B2" s="38" t="s">
        <v>598</v>
      </c>
      <c r="C2" s="38"/>
      <c r="D2" s="22"/>
      <c r="F2" s="1" t="s">
        <v>599</v>
      </c>
      <c r="G2" s="1" t="s">
        <v>9</v>
      </c>
      <c r="H2" s="1" t="s">
        <v>112</v>
      </c>
      <c r="I2" s="1" t="s">
        <v>600</v>
      </c>
    </row>
    <row r="3" ht="15.75" customHeight="1">
      <c r="A3" s="96" t="s">
        <v>601</v>
      </c>
      <c r="B3" s="38" t="s">
        <v>598</v>
      </c>
      <c r="C3" s="38"/>
      <c r="D3" s="22"/>
      <c r="F3" s="6" t="s">
        <v>602</v>
      </c>
      <c r="G3" s="6" t="s">
        <v>603</v>
      </c>
      <c r="H3" s="97">
        <f>C29-C27</f>
        <v>1.811519685</v>
      </c>
      <c r="I3" s="6" t="s">
        <v>7</v>
      </c>
    </row>
    <row r="4" ht="15.75" customHeight="1">
      <c r="A4" s="96" t="s">
        <v>604</v>
      </c>
      <c r="B4" s="38" t="s">
        <v>605</v>
      </c>
      <c r="C4" s="38"/>
      <c r="D4" s="22"/>
      <c r="F4" s="6" t="s">
        <v>606</v>
      </c>
      <c r="G4" s="6" t="s">
        <v>56</v>
      </c>
      <c r="H4" s="97">
        <f>0.5*C21</f>
        <v>0.3937007874</v>
      </c>
      <c r="I4" s="6" t="s">
        <v>7</v>
      </c>
    </row>
    <row r="5" ht="15.75" customHeight="1">
      <c r="A5" s="96" t="s">
        <v>607</v>
      </c>
      <c r="B5" s="38" t="s">
        <v>608</v>
      </c>
      <c r="C5" s="38"/>
      <c r="D5" s="22"/>
      <c r="F5" s="6" t="s">
        <v>609</v>
      </c>
      <c r="G5" s="6" t="s">
        <v>610</v>
      </c>
      <c r="H5" s="97">
        <f>0.5*(C21-(2*C31))</f>
        <v>0.3149606299</v>
      </c>
      <c r="I5" s="6" t="s">
        <v>7</v>
      </c>
    </row>
    <row r="6" ht="15.75" customHeight="1">
      <c r="A6" s="96" t="s">
        <v>611</v>
      </c>
      <c r="B6" s="38" t="s">
        <v>612</v>
      </c>
      <c r="C6" s="38"/>
      <c r="D6" s="22"/>
      <c r="F6" s="6" t="s">
        <v>613</v>
      </c>
      <c r="G6" s="6" t="s">
        <v>614</v>
      </c>
      <c r="H6" s="97">
        <f>0.5*C19</f>
        <v>0.4330708661</v>
      </c>
      <c r="I6" s="6" t="s">
        <v>7</v>
      </c>
    </row>
    <row r="7" ht="15.75" customHeight="1">
      <c r="A7" s="12" t="s">
        <v>615</v>
      </c>
      <c r="B7" s="6" t="s">
        <v>616</v>
      </c>
      <c r="C7" s="6"/>
      <c r="F7" s="6" t="s">
        <v>617</v>
      </c>
      <c r="G7" s="6" t="s">
        <v>618</v>
      </c>
      <c r="H7" s="97">
        <f>0.5*(C19-(2*C31))</f>
        <v>0.3543307087</v>
      </c>
      <c r="I7" s="6" t="s">
        <v>7</v>
      </c>
    </row>
    <row r="8" ht="15.75" customHeight="1">
      <c r="F8" s="6" t="s">
        <v>619</v>
      </c>
      <c r="G8" s="6" t="s">
        <v>620</v>
      </c>
      <c r="H8" s="53">
        <v>0.216</v>
      </c>
      <c r="I8" s="6" t="s">
        <v>7</v>
      </c>
    </row>
    <row r="9" ht="15.75" customHeight="1">
      <c r="F9" s="6" t="s">
        <v>621</v>
      </c>
      <c r="G9" s="6"/>
      <c r="H9" s="97">
        <f>H10+C31</f>
        <v>0.3587401575</v>
      </c>
      <c r="I9" s="6" t="s">
        <v>7</v>
      </c>
    </row>
    <row r="10" ht="15.75" customHeight="1">
      <c r="A10" s="1" t="s">
        <v>622</v>
      </c>
      <c r="B10" s="1"/>
      <c r="C10" s="1"/>
      <c r="D10" s="1"/>
      <c r="F10" s="6" t="s">
        <v>623</v>
      </c>
      <c r="G10" s="6"/>
      <c r="H10" s="75">
        <f>C34</f>
        <v>0.28</v>
      </c>
      <c r="I10" s="6" t="s">
        <v>7</v>
      </c>
    </row>
    <row r="11" ht="15.75" customHeight="1">
      <c r="A11" s="1" t="s">
        <v>599</v>
      </c>
      <c r="B11" s="1" t="s">
        <v>9</v>
      </c>
      <c r="C11" s="1" t="s">
        <v>112</v>
      </c>
      <c r="D11" s="1" t="s">
        <v>600</v>
      </c>
      <c r="F11" s="6" t="s">
        <v>624</v>
      </c>
      <c r="G11" s="6"/>
      <c r="H11" s="97">
        <f>0.5*H9</f>
        <v>0.1793700787</v>
      </c>
      <c r="I11" s="6" t="s">
        <v>7</v>
      </c>
    </row>
    <row r="12" ht="15.75" customHeight="1">
      <c r="A12" s="38" t="s">
        <v>625</v>
      </c>
      <c r="B12" s="54" t="s">
        <v>626</v>
      </c>
      <c r="C12" s="98">
        <v>0.284</v>
      </c>
      <c r="D12" s="38" t="s">
        <v>627</v>
      </c>
      <c r="F12" s="6" t="s">
        <v>628</v>
      </c>
      <c r="G12" s="6"/>
      <c r="H12" s="97">
        <f>0.5*(H9-(2*C31))</f>
        <v>0.1006299213</v>
      </c>
      <c r="I12" s="6" t="s">
        <v>7</v>
      </c>
    </row>
    <row r="13" ht="15.75" customHeight="1">
      <c r="A13" s="38" t="s">
        <v>629</v>
      </c>
      <c r="B13" s="99" t="s">
        <v>630</v>
      </c>
      <c r="C13" s="98">
        <v>0.284</v>
      </c>
      <c r="D13" s="38" t="s">
        <v>627</v>
      </c>
      <c r="F13" s="6" t="s">
        <v>631</v>
      </c>
      <c r="G13" s="6" t="s">
        <v>632</v>
      </c>
      <c r="H13" s="97">
        <f>pi()*(H11^2-H12^2)*H8</f>
        <v>0.01496090738</v>
      </c>
      <c r="I13" s="6" t="s">
        <v>633</v>
      </c>
    </row>
    <row r="14" ht="15.75" customHeight="1">
      <c r="A14" s="38" t="s">
        <v>634</v>
      </c>
      <c r="B14" s="99" t="s">
        <v>635</v>
      </c>
      <c r="C14" s="98">
        <v>0.288</v>
      </c>
      <c r="D14" s="38" t="s">
        <v>627</v>
      </c>
      <c r="F14" s="38" t="s">
        <v>636</v>
      </c>
      <c r="G14" s="38" t="s">
        <v>637</v>
      </c>
      <c r="H14" s="100">
        <f>pi()*(H9^2-H10^2)*C39</f>
        <v>0.001810133195</v>
      </c>
      <c r="I14" s="38" t="s">
        <v>633</v>
      </c>
    </row>
    <row r="15" ht="15.75" customHeight="1">
      <c r="A15" s="6" t="s">
        <v>638</v>
      </c>
      <c r="B15" s="99" t="s">
        <v>639</v>
      </c>
      <c r="C15" s="53">
        <v>0.2835</v>
      </c>
      <c r="D15" s="6" t="s">
        <v>627</v>
      </c>
      <c r="F15" s="38" t="s">
        <v>640</v>
      </c>
      <c r="G15" s="38" t="s">
        <v>641</v>
      </c>
      <c r="H15" s="100">
        <f>(pi()*(H6^2-H7^2)*C20)+2*(pi()*H7^2*C31)+H13+H14</f>
        <v>0.2782658623</v>
      </c>
      <c r="I15" s="38" t="s">
        <v>633</v>
      </c>
    </row>
    <row r="16" ht="15.75" customHeight="1">
      <c r="A16" s="6" t="s">
        <v>642</v>
      </c>
      <c r="B16" s="99" t="s">
        <v>643</v>
      </c>
      <c r="C16" s="53">
        <v>0.567</v>
      </c>
      <c r="D16" s="6" t="s">
        <v>627</v>
      </c>
      <c r="F16" s="6" t="s">
        <v>644</v>
      </c>
      <c r="G16" s="6" t="s">
        <v>645</v>
      </c>
      <c r="H16" s="97">
        <f>(pi()*(H4^2-H5^2)*C22)+(pi()*H5^2*C31)</f>
        <v>0.7147013896</v>
      </c>
      <c r="I16" s="6" t="s">
        <v>633</v>
      </c>
    </row>
    <row r="17" ht="15.75" customHeight="1">
      <c r="A17" s="6" t="s">
        <v>646</v>
      </c>
      <c r="B17" s="6" t="s">
        <v>335</v>
      </c>
      <c r="C17" s="101">
        <f>'Geometry checks'!L25</f>
        <v>0.07874015748</v>
      </c>
      <c r="D17" s="6" t="s">
        <v>7</v>
      </c>
      <c r="F17" s="6" t="s">
        <v>647</v>
      </c>
      <c r="G17" s="6" t="s">
        <v>648</v>
      </c>
      <c r="H17" s="97">
        <f>(pi()*(0.5*C28)^2*C30)</f>
        <v>0.00564553977</v>
      </c>
      <c r="I17" s="6" t="s">
        <v>633</v>
      </c>
    </row>
    <row r="18" ht="15.75" customHeight="1">
      <c r="A18" s="38" t="s">
        <v>649</v>
      </c>
      <c r="B18" s="6" t="s">
        <v>650</v>
      </c>
      <c r="C18" s="7">
        <v>4.803149606299213</v>
      </c>
      <c r="D18" s="6" t="s">
        <v>7</v>
      </c>
      <c r="F18" s="6" t="s">
        <v>651</v>
      </c>
      <c r="G18" s="6" t="s">
        <v>652</v>
      </c>
      <c r="H18" s="97">
        <f>(pi()*(0.5*C24)^2*C25)</f>
        <v>0.176135411</v>
      </c>
      <c r="I18" s="6" t="s">
        <v>633</v>
      </c>
    </row>
    <row r="19" ht="15.75" customHeight="1">
      <c r="A19" s="38" t="s">
        <v>653</v>
      </c>
      <c r="B19" s="6" t="s">
        <v>316</v>
      </c>
      <c r="C19" s="7">
        <v>0.8661417322834646</v>
      </c>
      <c r="D19" s="6" t="s">
        <v>7</v>
      </c>
      <c r="F19" s="6" t="s">
        <v>654</v>
      </c>
      <c r="G19" s="6" t="s">
        <v>655</v>
      </c>
      <c r="H19" s="97">
        <f>pi()*((0.5*C32)^2-(0.5*C33)^2)*C36</f>
        <v>0.02771950552</v>
      </c>
      <c r="I19" s="6" t="s">
        <v>633</v>
      </c>
    </row>
    <row r="20" ht="15.75" customHeight="1">
      <c r="A20" s="38" t="s">
        <v>320</v>
      </c>
      <c r="B20" s="6" t="s">
        <v>321</v>
      </c>
      <c r="C20" s="7">
        <v>1.0236220472440944</v>
      </c>
      <c r="D20" s="6" t="s">
        <v>7</v>
      </c>
      <c r="F20" s="6" t="s">
        <v>656</v>
      </c>
      <c r="G20" s="6" t="s">
        <v>657</v>
      </c>
      <c r="H20" s="97">
        <f>H19</f>
        <v>0.02771950552</v>
      </c>
      <c r="I20" s="6" t="s">
        <v>633</v>
      </c>
    </row>
    <row r="21" ht="15.75" customHeight="1">
      <c r="A21" s="38" t="s">
        <v>322</v>
      </c>
      <c r="B21" s="6" t="s">
        <v>296</v>
      </c>
      <c r="C21" s="7">
        <v>0.7874015748031497</v>
      </c>
      <c r="D21" s="6" t="s">
        <v>7</v>
      </c>
      <c r="F21" s="6" t="s">
        <v>658</v>
      </c>
      <c r="G21" s="6" t="s">
        <v>659</v>
      </c>
      <c r="H21" s="97">
        <f>pi()*(0.5*C26)^2*C27</f>
        <v>0.0007668469846</v>
      </c>
      <c r="I21" s="6" t="s">
        <v>633</v>
      </c>
    </row>
    <row r="22" ht="15.75" customHeight="1">
      <c r="A22" s="38" t="s">
        <v>660</v>
      </c>
      <c r="B22" s="6" t="s">
        <v>661</v>
      </c>
      <c r="C22" s="7">
        <v>3.937007874015748</v>
      </c>
      <c r="D22" s="6" t="s">
        <v>7</v>
      </c>
      <c r="F22" s="6" t="s">
        <v>662</v>
      </c>
      <c r="G22" s="6" t="s">
        <v>663</v>
      </c>
      <c r="H22" s="97">
        <f>pi()*(0.5*C24)^2*C23</f>
        <v>0.05871172226</v>
      </c>
      <c r="I22" s="6" t="s">
        <v>633</v>
      </c>
    </row>
    <row r="23" ht="15.75" customHeight="1">
      <c r="A23" s="38" t="s">
        <v>664</v>
      </c>
      <c r="B23" s="6" t="s">
        <v>665</v>
      </c>
      <c r="C23" s="7">
        <v>0.984251968503937</v>
      </c>
      <c r="D23" s="6" t="s">
        <v>7</v>
      </c>
      <c r="F23" s="6" t="s">
        <v>666</v>
      </c>
      <c r="G23" s="6" t="s">
        <v>667</v>
      </c>
      <c r="H23" s="97">
        <f>(pi()*((0.5*C44)^2-(0.5*C24)^2)*C46)+C52*(0.5*(C50+C49)*(C47+C48)*C46)</f>
        <v>0.1279562252</v>
      </c>
      <c r="I23" s="6" t="s">
        <v>633</v>
      </c>
    </row>
    <row r="24" ht="15.75" customHeight="1">
      <c r="A24" s="38" t="s">
        <v>668</v>
      </c>
      <c r="B24" s="6" t="s">
        <v>669</v>
      </c>
      <c r="C24" s="7">
        <v>0.2755905511811024</v>
      </c>
      <c r="D24" s="6" t="s">
        <v>7</v>
      </c>
      <c r="F24" s="6" t="s">
        <v>670</v>
      </c>
      <c r="G24" s="6" t="s">
        <v>671</v>
      </c>
      <c r="H24" s="97">
        <f>(pi()*((0.5*C45)^2-(0.5*C28)^2)*C46)+C53*(0.5*(C51+C49)*(C47+C48)*C46)</f>
        <v>0.1420898861</v>
      </c>
      <c r="I24" s="6" t="s">
        <v>633</v>
      </c>
    </row>
    <row r="25" ht="15.75" customHeight="1">
      <c r="A25" s="6" t="s">
        <v>672</v>
      </c>
      <c r="B25" s="6" t="s">
        <v>673</v>
      </c>
      <c r="C25" s="102">
        <v>2.95276</v>
      </c>
      <c r="D25" s="6" t="s">
        <v>7</v>
      </c>
    </row>
    <row r="26" ht="15.75" customHeight="1">
      <c r="A26" s="6" t="s">
        <v>674</v>
      </c>
      <c r="B26" s="6" t="s">
        <v>675</v>
      </c>
      <c r="C26" s="101">
        <f>Variables!D15</f>
        <v>0.07874015748</v>
      </c>
      <c r="D26" s="6" t="s">
        <v>7</v>
      </c>
    </row>
    <row r="27" ht="15.75" customHeight="1">
      <c r="A27" s="6" t="s">
        <v>676</v>
      </c>
      <c r="B27" s="6" t="s">
        <v>677</v>
      </c>
      <c r="C27" s="101">
        <f>Variables!D16</f>
        <v>0.157480315</v>
      </c>
      <c r="D27" s="6" t="s">
        <v>7</v>
      </c>
      <c r="F27" s="1" t="s">
        <v>678</v>
      </c>
      <c r="G27" s="1"/>
      <c r="H27" s="1"/>
      <c r="I27" s="1"/>
      <c r="J27" s="6"/>
      <c r="K27" s="6"/>
    </row>
    <row r="28" ht="15.75" customHeight="1">
      <c r="A28" s="6" t="s">
        <v>679</v>
      </c>
      <c r="B28" s="6" t="s">
        <v>680</v>
      </c>
      <c r="C28" s="101">
        <f>'Shaft Stress Analysis'!C18</f>
        <v>0.06299212598</v>
      </c>
      <c r="D28" s="6" t="s">
        <v>7</v>
      </c>
      <c r="F28" s="1" t="s">
        <v>599</v>
      </c>
      <c r="G28" s="1" t="s">
        <v>9</v>
      </c>
      <c r="H28" s="1" t="s">
        <v>112</v>
      </c>
      <c r="I28" s="1" t="s">
        <v>600</v>
      </c>
      <c r="J28" s="5" t="s">
        <v>3</v>
      </c>
      <c r="K28" s="5" t="s">
        <v>600</v>
      </c>
    </row>
    <row r="29" ht="15.75" customHeight="1">
      <c r="A29" s="6" t="s">
        <v>681</v>
      </c>
      <c r="B29" s="6" t="s">
        <v>682</v>
      </c>
      <c r="C29" s="102">
        <v>1.969</v>
      </c>
      <c r="D29" s="6" t="s">
        <v>7</v>
      </c>
      <c r="F29" s="6" t="s">
        <v>683</v>
      </c>
      <c r="G29" s="6" t="s">
        <v>684</v>
      </c>
      <c r="H29" s="103">
        <f>H15*C14</f>
        <v>0.08014056835</v>
      </c>
      <c r="I29" s="6" t="s">
        <v>685</v>
      </c>
      <c r="J29" s="101">
        <f t="shared" ref="J29:J38" si="1">H29*453.6</f>
        <v>36.3517618</v>
      </c>
      <c r="K29" s="6" t="s">
        <v>686</v>
      </c>
    </row>
    <row r="30" ht="15.75" customHeight="1">
      <c r="A30" s="6" t="s">
        <v>687</v>
      </c>
      <c r="B30" s="6" t="s">
        <v>688</v>
      </c>
      <c r="C30" s="101">
        <f>C29-C27</f>
        <v>1.811519685</v>
      </c>
      <c r="D30" s="6" t="s">
        <v>7</v>
      </c>
      <c r="F30" s="6" t="s">
        <v>689</v>
      </c>
      <c r="G30" s="6" t="s">
        <v>690</v>
      </c>
      <c r="H30" s="103">
        <f>H16*C14</f>
        <v>0.2058340002</v>
      </c>
      <c r="I30" s="6" t="s">
        <v>685</v>
      </c>
      <c r="J30" s="101">
        <f t="shared" si="1"/>
        <v>93.3663025</v>
      </c>
      <c r="K30" s="6" t="s">
        <v>686</v>
      </c>
    </row>
    <row r="31" ht="15.75" customHeight="1">
      <c r="A31" s="6" t="s">
        <v>646</v>
      </c>
      <c r="B31" s="6" t="s">
        <v>335</v>
      </c>
      <c r="C31" s="101">
        <f>'Geometry checks'!L25</f>
        <v>0.07874015748</v>
      </c>
      <c r="D31" s="6" t="s">
        <v>7</v>
      </c>
      <c r="F31" s="6" t="s">
        <v>691</v>
      </c>
      <c r="G31" s="6" t="s">
        <v>692</v>
      </c>
      <c r="H31" s="103">
        <f>H18*C13</f>
        <v>0.05002245673</v>
      </c>
      <c r="I31" s="6" t="s">
        <v>685</v>
      </c>
      <c r="J31" s="101">
        <f t="shared" si="1"/>
        <v>22.69018637</v>
      </c>
      <c r="K31" s="6" t="s">
        <v>686</v>
      </c>
    </row>
    <row r="32" ht="15.75" customHeight="1">
      <c r="A32" s="6" t="s">
        <v>693</v>
      </c>
      <c r="B32" s="6" t="s">
        <v>694</v>
      </c>
      <c r="C32" s="101">
        <f>C21-(2*C31)</f>
        <v>0.6299212598</v>
      </c>
      <c r="D32" s="6" t="s">
        <v>7</v>
      </c>
      <c r="F32" s="6" t="s">
        <v>695</v>
      </c>
      <c r="G32" s="6" t="s">
        <v>696</v>
      </c>
      <c r="H32" s="103">
        <f>H17*C13</f>
        <v>0.001603333295</v>
      </c>
      <c r="I32" s="6" t="s">
        <v>685</v>
      </c>
      <c r="J32" s="101">
        <f t="shared" si="1"/>
        <v>0.7272719825</v>
      </c>
      <c r="K32" s="6" t="s">
        <v>686</v>
      </c>
    </row>
    <row r="33" ht="15.75" customHeight="1">
      <c r="A33" s="6" t="s">
        <v>697</v>
      </c>
      <c r="B33" s="6" t="s">
        <v>698</v>
      </c>
      <c r="C33" s="75">
        <f>C24</f>
        <v>0.2755905512</v>
      </c>
      <c r="D33" s="6" t="s">
        <v>7</v>
      </c>
      <c r="F33" s="6" t="s">
        <v>699</v>
      </c>
      <c r="G33" s="6" t="s">
        <v>700</v>
      </c>
      <c r="H33" s="103">
        <f>H21*C16</f>
        <v>0.0004348022403</v>
      </c>
      <c r="I33" s="6" t="s">
        <v>685</v>
      </c>
      <c r="J33" s="101">
        <f t="shared" si="1"/>
        <v>0.1972262962</v>
      </c>
      <c r="K33" s="6" t="s">
        <v>686</v>
      </c>
    </row>
    <row r="34" ht="15.75" customHeight="1">
      <c r="A34" s="12" t="s">
        <v>701</v>
      </c>
      <c r="B34" s="6" t="s">
        <v>702</v>
      </c>
      <c r="C34" s="75">
        <v>0.28</v>
      </c>
      <c r="D34" s="6" t="s">
        <v>7</v>
      </c>
      <c r="F34" s="6" t="s">
        <v>703</v>
      </c>
      <c r="G34" s="6" t="s">
        <v>6</v>
      </c>
      <c r="H34" s="103">
        <f>H22*C13</f>
        <v>0.01667412912</v>
      </c>
      <c r="I34" s="6" t="s">
        <v>685</v>
      </c>
      <c r="J34" s="101">
        <f t="shared" si="1"/>
        <v>7.563384969</v>
      </c>
      <c r="K34" s="6" t="s">
        <v>686</v>
      </c>
    </row>
    <row r="35" ht="15.75" customHeight="1">
      <c r="A35" s="6" t="s">
        <v>704</v>
      </c>
      <c r="B35" s="6" t="s">
        <v>705</v>
      </c>
      <c r="C35" s="101">
        <f>C28</f>
        <v>0.06299212598</v>
      </c>
      <c r="D35" s="6" t="s">
        <v>7</v>
      </c>
      <c r="F35" s="6" t="s">
        <v>706</v>
      </c>
      <c r="G35" s="6" t="s">
        <v>707</v>
      </c>
      <c r="H35" s="103">
        <f>H23*C12</f>
        <v>0.03633956795</v>
      </c>
      <c r="I35" s="6" t="s">
        <v>685</v>
      </c>
      <c r="J35" s="104">
        <f t="shared" si="1"/>
        <v>16.48362802</v>
      </c>
      <c r="K35" s="6" t="s">
        <v>686</v>
      </c>
    </row>
    <row r="36" ht="15.75" customHeight="1">
      <c r="A36" s="6" t="s">
        <v>708</v>
      </c>
      <c r="B36" s="6" t="s">
        <v>709</v>
      </c>
      <c r="C36" s="75">
        <v>0.11</v>
      </c>
      <c r="D36" s="6" t="s">
        <v>7</v>
      </c>
      <c r="F36" s="6" t="s">
        <v>710</v>
      </c>
      <c r="G36" s="6" t="s">
        <v>711</v>
      </c>
      <c r="H36" s="103">
        <f>H24*C12</f>
        <v>0.04035352765</v>
      </c>
      <c r="I36" s="6" t="s">
        <v>685</v>
      </c>
      <c r="J36" s="104">
        <f t="shared" si="1"/>
        <v>18.30436014</v>
      </c>
      <c r="K36" s="6" t="s">
        <v>686</v>
      </c>
    </row>
    <row r="37" ht="15.75" customHeight="1">
      <c r="A37" s="6" t="s">
        <v>712</v>
      </c>
      <c r="B37" s="6" t="s">
        <v>713</v>
      </c>
      <c r="C37" s="75">
        <v>0.11</v>
      </c>
      <c r="D37" s="6" t="s">
        <v>7</v>
      </c>
      <c r="F37" s="6" t="s">
        <v>714</v>
      </c>
      <c r="G37" s="6" t="s">
        <v>715</v>
      </c>
      <c r="H37" s="103">
        <f>H19*C15</f>
        <v>0.007858479815</v>
      </c>
      <c r="I37" s="6" t="s">
        <v>685</v>
      </c>
      <c r="J37" s="101">
        <f t="shared" si="1"/>
        <v>3.564606444</v>
      </c>
      <c r="K37" s="6" t="s">
        <v>686</v>
      </c>
    </row>
    <row r="38" ht="15.75" customHeight="1">
      <c r="A38" s="6" t="s">
        <v>716</v>
      </c>
      <c r="B38" s="6" t="s">
        <v>338</v>
      </c>
      <c r="C38" s="101">
        <f>'Geometry checks'!L26</f>
        <v>0.003937007874</v>
      </c>
      <c r="D38" s="6" t="s">
        <v>7</v>
      </c>
      <c r="F38" s="6" t="s">
        <v>717</v>
      </c>
      <c r="G38" s="6" t="s">
        <v>718</v>
      </c>
      <c r="H38" s="103">
        <f>H20*C15</f>
        <v>0.007858479815</v>
      </c>
      <c r="I38" s="6" t="s">
        <v>685</v>
      </c>
      <c r="J38" s="101">
        <f t="shared" si="1"/>
        <v>3.564606444</v>
      </c>
      <c r="K38" s="6" t="s">
        <v>686</v>
      </c>
    </row>
    <row r="39" ht="15.75" customHeight="1">
      <c r="A39" s="6" t="s">
        <v>719</v>
      </c>
      <c r="B39" s="6" t="s">
        <v>319</v>
      </c>
      <c r="C39" s="101">
        <f>'Geometry checks'!X4</f>
        <v>0.01145618874</v>
      </c>
      <c r="D39" s="6" t="s">
        <v>7</v>
      </c>
      <c r="F39" s="6" t="s">
        <v>720</v>
      </c>
      <c r="G39" s="6" t="s">
        <v>721</v>
      </c>
      <c r="H39" s="103">
        <f t="shared" ref="H39:H40" si="2">J39/453.6</f>
        <v>0.001102292769</v>
      </c>
      <c r="I39" s="6" t="s">
        <v>685</v>
      </c>
      <c r="J39" s="6">
        <v>0.5</v>
      </c>
      <c r="K39" s="6" t="s">
        <v>686</v>
      </c>
    </row>
    <row r="40" ht="15.75" customHeight="1">
      <c r="A40" s="6" t="s">
        <v>523</v>
      </c>
      <c r="B40" s="6" t="s">
        <v>66</v>
      </c>
      <c r="C40" s="6">
        <v>0.1</v>
      </c>
      <c r="D40" s="6" t="s">
        <v>7</v>
      </c>
      <c r="F40" s="6" t="s">
        <v>722</v>
      </c>
      <c r="G40" s="6" t="s">
        <v>723</v>
      </c>
      <c r="H40" s="103">
        <f t="shared" si="2"/>
        <v>0.001102292769</v>
      </c>
      <c r="I40" s="6" t="s">
        <v>685</v>
      </c>
      <c r="J40" s="6">
        <v>0.5</v>
      </c>
      <c r="K40" s="6" t="s">
        <v>686</v>
      </c>
    </row>
    <row r="41" ht="15.75" customHeight="1">
      <c r="A41" s="6" t="s">
        <v>527</v>
      </c>
      <c r="B41" s="6" t="s">
        <v>69</v>
      </c>
      <c r="C41" s="6">
        <v>0.1</v>
      </c>
      <c r="D41" s="6" t="s">
        <v>7</v>
      </c>
      <c r="F41" s="105" t="s">
        <v>724</v>
      </c>
      <c r="G41" s="105" t="s">
        <v>725</v>
      </c>
      <c r="H41" s="106">
        <f>sum(H29:H40)</f>
        <v>0.4493239307</v>
      </c>
      <c r="I41" s="105" t="s">
        <v>685</v>
      </c>
      <c r="J41" s="107">
        <f>sum(J29:J40)</f>
        <v>203.813335</v>
      </c>
      <c r="K41" s="105" t="s">
        <v>686</v>
      </c>
    </row>
    <row r="42" ht="15.75" customHeight="1">
      <c r="A42" s="6" t="s">
        <v>530</v>
      </c>
      <c r="B42" s="6" t="s">
        <v>72</v>
      </c>
      <c r="C42" s="6">
        <v>0.25</v>
      </c>
      <c r="D42" s="6" t="s">
        <v>7</v>
      </c>
    </row>
    <row r="43" ht="15.75" customHeight="1">
      <c r="A43" s="6" t="s">
        <v>534</v>
      </c>
      <c r="B43" s="6" t="s">
        <v>74</v>
      </c>
      <c r="C43" s="6">
        <v>0.25</v>
      </c>
      <c r="D43" s="6" t="s">
        <v>7</v>
      </c>
      <c r="F43" s="108" t="s">
        <v>726</v>
      </c>
      <c r="G43" s="109" t="s">
        <v>727</v>
      </c>
      <c r="H43" s="110">
        <f>H41/'Torque&amp;Power'!H25</f>
        <v>5.332673754</v>
      </c>
    </row>
    <row r="44" ht="15.75" customHeight="1">
      <c r="A44" s="6" t="s">
        <v>173</v>
      </c>
      <c r="B44" s="6" t="s">
        <v>174</v>
      </c>
      <c r="C44" s="53">
        <f>'Gear Specifications'!H5</f>
        <v>0.8</v>
      </c>
      <c r="D44" s="6" t="s">
        <v>7</v>
      </c>
    </row>
    <row r="45" ht="15.75" customHeight="1">
      <c r="A45" s="6" t="s">
        <v>180</v>
      </c>
      <c r="B45" s="6" t="s">
        <v>181</v>
      </c>
      <c r="C45" s="53">
        <f>'Gear Specifications'!H6</f>
        <v>0.8</v>
      </c>
      <c r="D45" s="6" t="s">
        <v>7</v>
      </c>
    </row>
    <row r="46" ht="15.75" customHeight="1">
      <c r="A46" s="6" t="s">
        <v>20</v>
      </c>
      <c r="B46" s="6" t="s">
        <v>21</v>
      </c>
      <c r="C46" s="6">
        <f>Variables!K4</f>
        <v>0.25</v>
      </c>
      <c r="D46" s="6" t="s">
        <v>7</v>
      </c>
    </row>
    <row r="47" ht="15.75" customHeight="1">
      <c r="A47" s="6" t="s">
        <v>197</v>
      </c>
      <c r="B47" s="6" t="s">
        <v>198</v>
      </c>
      <c r="C47" s="53">
        <f>'Gear Specifications'!H10</f>
        <v>0.025</v>
      </c>
      <c r="D47" s="6" t="s">
        <v>7</v>
      </c>
    </row>
    <row r="48" ht="15.75" customHeight="1">
      <c r="A48" s="6" t="s">
        <v>200</v>
      </c>
      <c r="B48" s="6" t="s">
        <v>201</v>
      </c>
      <c r="C48" s="53">
        <f>'Gear Specifications'!H11</f>
        <v>0.028925</v>
      </c>
      <c r="D48" s="6" t="s">
        <v>7</v>
      </c>
    </row>
    <row r="49" ht="15.75" customHeight="1">
      <c r="A49" s="6" t="s">
        <v>264</v>
      </c>
      <c r="B49" s="6" t="s">
        <v>265</v>
      </c>
      <c r="C49" s="53">
        <f>'Gear Specifications'!H31</f>
        <v>0.03926990817</v>
      </c>
      <c r="D49" s="6" t="s">
        <v>7</v>
      </c>
    </row>
    <row r="50" ht="15.75" customHeight="1">
      <c r="A50" s="6" t="s">
        <v>273</v>
      </c>
      <c r="B50" s="6" t="s">
        <v>274</v>
      </c>
      <c r="C50" s="53">
        <f>'Gear Specifications'!H34</f>
        <v>0.04049502678</v>
      </c>
      <c r="D50" s="6" t="s">
        <v>7</v>
      </c>
    </row>
    <row r="51" ht="15.75" customHeight="1">
      <c r="A51" s="6" t="s">
        <v>276</v>
      </c>
      <c r="B51" s="6" t="s">
        <v>277</v>
      </c>
      <c r="C51" s="53">
        <f>'Gear Specifications'!H35</f>
        <v>0.04049502678</v>
      </c>
      <c r="D51" s="6" t="s">
        <v>7</v>
      </c>
    </row>
    <row r="52" ht="15.75" customHeight="1">
      <c r="A52" s="6" t="s">
        <v>24</v>
      </c>
      <c r="B52" s="6" t="s">
        <v>25</v>
      </c>
      <c r="C52" s="6">
        <f>Variables!K5</f>
        <v>32</v>
      </c>
      <c r="D52" s="6" t="s">
        <v>26</v>
      </c>
    </row>
    <row r="53" ht="15.75" customHeight="1">
      <c r="A53" s="6" t="s">
        <v>28</v>
      </c>
      <c r="B53" s="6" t="s">
        <v>29</v>
      </c>
      <c r="C53" s="6">
        <f>Variables!K6</f>
        <v>32</v>
      </c>
      <c r="D53" s="6" t="s">
        <v>26</v>
      </c>
    </row>
    <row r="54" ht="15.75" customHeight="1"/>
    <row r="55" ht="15.75" customHeight="1">
      <c r="A55" s="11" t="s">
        <v>728</v>
      </c>
      <c r="C55" s="11">
        <v>0.716</v>
      </c>
      <c r="D55" s="11" t="s">
        <v>7</v>
      </c>
    </row>
    <row r="56" ht="15.75" customHeight="1">
      <c r="A56" s="11" t="s">
        <v>729</v>
      </c>
      <c r="C56" s="11">
        <v>0.15</v>
      </c>
      <c r="D56" s="11" t="s">
        <v>7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0"/>
    <col customWidth="1" min="3" max="6" width="12.63"/>
    <col customWidth="1" min="9" max="9" width="28.75"/>
  </cols>
  <sheetData>
    <row r="1" ht="15.75" customHeight="1"/>
    <row r="2" ht="15.75" customHeight="1">
      <c r="B2" s="5" t="s">
        <v>110</v>
      </c>
      <c r="C2" s="6"/>
      <c r="D2" s="6"/>
      <c r="E2" s="6"/>
      <c r="F2" s="11"/>
      <c r="G2" s="11"/>
      <c r="H2" s="11"/>
      <c r="I2" s="5" t="s">
        <v>111</v>
      </c>
      <c r="J2" s="5"/>
      <c r="K2" s="5"/>
      <c r="L2" s="5"/>
      <c r="M2" s="5"/>
      <c r="N2" s="6"/>
    </row>
    <row r="3" ht="15.75" customHeight="1">
      <c r="B3" s="5" t="s">
        <v>8</v>
      </c>
      <c r="C3" s="5" t="s">
        <v>9</v>
      </c>
      <c r="D3" s="5" t="s">
        <v>112</v>
      </c>
      <c r="E3" s="5" t="s">
        <v>13</v>
      </c>
      <c r="F3" s="2" t="s">
        <v>3</v>
      </c>
      <c r="G3" s="2" t="s">
        <v>2</v>
      </c>
      <c r="H3" s="11"/>
      <c r="I3" s="5" t="s">
        <v>8</v>
      </c>
      <c r="J3" s="5" t="s">
        <v>9</v>
      </c>
      <c r="K3" s="5" t="s">
        <v>112</v>
      </c>
      <c r="L3" s="5" t="s">
        <v>13</v>
      </c>
      <c r="M3" s="5" t="s">
        <v>14</v>
      </c>
      <c r="N3" s="5" t="s">
        <v>113</v>
      </c>
    </row>
    <row r="4" ht="15.75" customHeight="1">
      <c r="B4" s="11" t="str">
        <f>'Gear Specifications'!F5</f>
        <v>Pinion Pitch Diameter</v>
      </c>
      <c r="C4" s="11" t="str">
        <f>'Gear Specifications'!G5</f>
        <v>d(p)</v>
      </c>
      <c r="D4" s="65">
        <f>'Gear Specifications'!H5</f>
        <v>0.8</v>
      </c>
      <c r="E4" s="11" t="str">
        <f>'Gear Specifications'!I5</f>
        <v>in</v>
      </c>
      <c r="I4" s="11" t="s">
        <v>730</v>
      </c>
      <c r="J4" s="11" t="s">
        <v>731</v>
      </c>
      <c r="K4" s="11">
        <f>2*F5/D4</f>
        <v>0.442536</v>
      </c>
      <c r="L4" s="11" t="s">
        <v>401</v>
      </c>
      <c r="M4" s="11" t="s">
        <v>732</v>
      </c>
      <c r="N4" s="11" t="s">
        <v>733</v>
      </c>
    </row>
    <row r="5" ht="15.75" customHeight="1">
      <c r="B5" s="11" t="s">
        <v>734</v>
      </c>
      <c r="C5" s="11" t="s">
        <v>140</v>
      </c>
      <c r="D5" s="11">
        <f>Variables!D10</f>
        <v>0.0147512</v>
      </c>
      <c r="E5" s="11" t="str">
        <f>Variables!E10</f>
        <v>ft*lbf</v>
      </c>
      <c r="F5" s="11">
        <f t="shared" ref="F5:F6" si="2">D5*12</f>
        <v>0.1770144</v>
      </c>
      <c r="G5" s="11" t="s">
        <v>526</v>
      </c>
      <c r="I5" s="11" t="s">
        <v>502</v>
      </c>
      <c r="J5" s="11" t="s">
        <v>400</v>
      </c>
      <c r="K5" s="11">
        <f>2*F6/D4</f>
        <v>0.442536</v>
      </c>
      <c r="L5" s="11" t="s">
        <v>401</v>
      </c>
      <c r="M5" s="11" t="s">
        <v>735</v>
      </c>
      <c r="N5" s="11" t="s">
        <v>733</v>
      </c>
    </row>
    <row r="6" ht="15.75" customHeight="1">
      <c r="B6" s="111" t="s">
        <v>736</v>
      </c>
      <c r="C6" s="11" t="s">
        <v>145</v>
      </c>
      <c r="D6" s="11">
        <f t="shared" ref="D6:E6" si="1">D5</f>
        <v>0.0147512</v>
      </c>
      <c r="E6" s="11" t="str">
        <f t="shared" si="1"/>
        <v>ft*lbf</v>
      </c>
      <c r="F6" s="11">
        <f t="shared" si="2"/>
        <v>0.1770144</v>
      </c>
      <c r="G6" s="11" t="s">
        <v>526</v>
      </c>
      <c r="I6" s="11" t="s">
        <v>737</v>
      </c>
      <c r="J6" s="11" t="s">
        <v>394</v>
      </c>
      <c r="K6" s="11">
        <f>pi()*D4*D8/12</f>
        <v>6283.185307</v>
      </c>
      <c r="L6" s="11" t="s">
        <v>395</v>
      </c>
    </row>
    <row r="7" ht="15.75" customHeight="1">
      <c r="B7" s="11" t="s">
        <v>738</v>
      </c>
      <c r="C7" s="11" t="s">
        <v>739</v>
      </c>
      <c r="D7" s="11">
        <f>Variables!B9</f>
        <v>30000</v>
      </c>
      <c r="E7" s="11" t="str">
        <f>Variables!C9</f>
        <v>rpm</v>
      </c>
      <c r="I7" s="11" t="s">
        <v>740</v>
      </c>
      <c r="J7" s="11" t="s">
        <v>37</v>
      </c>
      <c r="K7" s="11">
        <f>K4*K6/33000</f>
        <v>0.08425865737</v>
      </c>
      <c r="L7" s="11" t="s">
        <v>39</v>
      </c>
    </row>
    <row r="8" ht="15.75" customHeight="1">
      <c r="B8" s="111" t="s">
        <v>741</v>
      </c>
      <c r="C8" s="11" t="s">
        <v>154</v>
      </c>
      <c r="D8" s="11">
        <f>D7</f>
        <v>30000</v>
      </c>
      <c r="E8" s="11" t="s">
        <v>41</v>
      </c>
      <c r="I8" s="11" t="s">
        <v>742</v>
      </c>
      <c r="J8" s="11" t="s">
        <v>743</v>
      </c>
      <c r="K8" s="11">
        <f>K5*K6/33000</f>
        <v>0.08425865737</v>
      </c>
      <c r="L8" s="11" t="s">
        <v>39</v>
      </c>
    </row>
    <row r="9" ht="15.75" customHeight="1">
      <c r="B9" s="11" t="s">
        <v>744</v>
      </c>
      <c r="C9" s="11" t="s">
        <v>745</v>
      </c>
      <c r="D9" s="11">
        <f>Variables!K10</f>
        <v>30000</v>
      </c>
      <c r="E9" s="11" t="str">
        <f>Variables!L10</f>
        <v>rpm</v>
      </c>
      <c r="I9" s="11" t="s">
        <v>746</v>
      </c>
      <c r="J9" s="11" t="s">
        <v>125</v>
      </c>
      <c r="K9" s="11">
        <f>K8*33000/(D6*2*PI())</f>
        <v>30000</v>
      </c>
      <c r="L9" s="11" t="s">
        <v>41</v>
      </c>
      <c r="M9" s="11" t="s">
        <v>747</v>
      </c>
    </row>
    <row r="10" ht="15.75" customHeight="1">
      <c r="B10" s="11" t="str">
        <f>Variables!I5</f>
        <v>Pinion tooth</v>
      </c>
      <c r="C10" s="11" t="str">
        <f>Variables!J5</f>
        <v>Np = N2</v>
      </c>
      <c r="D10" s="11">
        <f>Variables!K5</f>
        <v>32</v>
      </c>
      <c r="E10" s="11" t="str">
        <f>Variables!L5</f>
        <v>teeth</v>
      </c>
      <c r="I10" s="11" t="s">
        <v>748</v>
      </c>
      <c r="J10" s="11" t="s">
        <v>44</v>
      </c>
      <c r="K10" s="11">
        <f>D10/D11</f>
        <v>1</v>
      </c>
      <c r="M10" s="11" t="s">
        <v>749</v>
      </c>
    </row>
    <row r="11" ht="15.75" customHeight="1">
      <c r="B11" s="11" t="str">
        <f>Variables!I6</f>
        <v>Gear tooth</v>
      </c>
      <c r="C11" s="11" t="str">
        <f>Variables!J6</f>
        <v>Ng = N3</v>
      </c>
      <c r="D11" s="11">
        <f>Variables!K6</f>
        <v>32</v>
      </c>
      <c r="E11" s="11" t="str">
        <f>Variables!L6</f>
        <v>teeth</v>
      </c>
      <c r="I11" s="11" t="s">
        <v>750</v>
      </c>
      <c r="J11" s="11" t="s">
        <v>134</v>
      </c>
      <c r="K11" s="11">
        <f>K9*K10</f>
        <v>30000</v>
      </c>
      <c r="L11" s="11" t="s">
        <v>41</v>
      </c>
      <c r="M11" s="11" t="s">
        <v>751</v>
      </c>
    </row>
    <row r="12" ht="15.75" customHeight="1">
      <c r="I12" s="11" t="s">
        <v>752</v>
      </c>
      <c r="J12" s="11" t="s">
        <v>131</v>
      </c>
      <c r="M12" s="67" t="s">
        <v>753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6">
    <cfRule type="cellIs" dxfId="0" priority="1" operator="greaterThan">
      <formula>"D5"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6" width="12.63"/>
    <col customWidth="1" min="8" max="8" width="25.63"/>
  </cols>
  <sheetData>
    <row r="1" ht="15.75" customHeight="1">
      <c r="A1" s="5" t="s">
        <v>110</v>
      </c>
      <c r="B1" s="6"/>
      <c r="C1" s="6"/>
      <c r="D1" s="6"/>
      <c r="H1" s="5" t="s">
        <v>754</v>
      </c>
      <c r="I1" s="5"/>
      <c r="J1" s="5"/>
      <c r="K1" s="5"/>
      <c r="L1" s="5"/>
      <c r="M1" s="6"/>
    </row>
    <row r="2" ht="15.75" customHeight="1">
      <c r="A2" s="5" t="s">
        <v>8</v>
      </c>
      <c r="B2" s="5" t="s">
        <v>9</v>
      </c>
      <c r="C2" s="5" t="s">
        <v>112</v>
      </c>
      <c r="D2" s="5" t="s">
        <v>13</v>
      </c>
      <c r="E2" s="2" t="s">
        <v>3</v>
      </c>
      <c r="F2" s="2" t="s">
        <v>2</v>
      </c>
      <c r="H2" s="5" t="s">
        <v>8</v>
      </c>
      <c r="I2" s="5" t="s">
        <v>9</v>
      </c>
      <c r="J2" s="52" t="s">
        <v>112</v>
      </c>
      <c r="K2" s="5" t="s">
        <v>13</v>
      </c>
      <c r="L2" s="5" t="s">
        <v>14</v>
      </c>
      <c r="M2" s="5" t="s">
        <v>113</v>
      </c>
    </row>
    <row r="3" ht="15.75" customHeight="1">
      <c r="A3" s="6" t="s">
        <v>207</v>
      </c>
      <c r="B3" s="54" t="s">
        <v>208</v>
      </c>
      <c r="C3" s="53">
        <f>'Gear Specifications'!H13</f>
        <v>0.7853981634</v>
      </c>
      <c r="D3" s="6" t="s">
        <v>34</v>
      </c>
      <c r="E3" s="6"/>
      <c r="F3" s="6"/>
      <c r="H3" s="6" t="s">
        <v>481</v>
      </c>
      <c r="I3" s="6" t="s">
        <v>482</v>
      </c>
      <c r="J3" s="6">
        <f>C6*tan(C7)*cos(C4)</f>
        <v>0.1138936409</v>
      </c>
      <c r="K3" s="6" t="s">
        <v>401</v>
      </c>
      <c r="L3" s="6" t="s">
        <v>483</v>
      </c>
      <c r="M3" s="6" t="s">
        <v>484</v>
      </c>
    </row>
    <row r="4" ht="15.75" customHeight="1">
      <c r="A4" s="6" t="s">
        <v>212</v>
      </c>
      <c r="B4" s="56" t="s">
        <v>213</v>
      </c>
      <c r="C4" s="53">
        <f>'Gear Specifications'!H14</f>
        <v>0.7853981634</v>
      </c>
      <c r="D4" s="6" t="s">
        <v>34</v>
      </c>
      <c r="E4" s="6"/>
      <c r="F4" s="6"/>
      <c r="H4" s="6" t="s">
        <v>486</v>
      </c>
      <c r="I4" s="6" t="s">
        <v>487</v>
      </c>
      <c r="J4" s="6">
        <f>C6*tan(C7)*sin(C4)</f>
        <v>0.1138936409</v>
      </c>
      <c r="K4" s="6" t="s">
        <v>401</v>
      </c>
      <c r="L4" s="6" t="s">
        <v>488</v>
      </c>
      <c r="M4" s="6" t="s">
        <v>484</v>
      </c>
    </row>
    <row r="5" ht="15.75" customHeight="1">
      <c r="A5" s="6" t="s">
        <v>755</v>
      </c>
      <c r="B5" s="6" t="s">
        <v>394</v>
      </c>
      <c r="C5" s="53">
        <f>'Stress Analysis of Gears'!C19</f>
        <v>6283.185307</v>
      </c>
      <c r="D5" s="6" t="s">
        <v>395</v>
      </c>
      <c r="E5" s="6"/>
      <c r="F5" s="6"/>
      <c r="H5" s="12" t="s">
        <v>756</v>
      </c>
      <c r="I5" s="6" t="s">
        <v>66</v>
      </c>
      <c r="J5" s="6">
        <v>1.0</v>
      </c>
      <c r="K5" s="6" t="s">
        <v>7</v>
      </c>
      <c r="L5" s="6"/>
      <c r="M5" s="6"/>
      <c r="P5" s="6"/>
    </row>
    <row r="6" ht="15.75" customHeight="1">
      <c r="A6" s="6" t="s">
        <v>399</v>
      </c>
      <c r="B6" s="6" t="s">
        <v>400</v>
      </c>
      <c r="C6" s="53">
        <f>'Stress Analysis of Gears'!C20</f>
        <v>0.442536</v>
      </c>
      <c r="D6" s="6" t="s">
        <v>401</v>
      </c>
      <c r="E6" s="6"/>
      <c r="F6" s="6"/>
      <c r="H6" s="12" t="s">
        <v>757</v>
      </c>
      <c r="I6" s="6" t="s">
        <v>69</v>
      </c>
      <c r="J6" s="6">
        <v>1.0</v>
      </c>
      <c r="K6" s="6" t="s">
        <v>7</v>
      </c>
      <c r="L6" s="6"/>
      <c r="M6" s="6"/>
    </row>
    <row r="7" ht="15.75" customHeight="1">
      <c r="A7" s="6" t="s">
        <v>31</v>
      </c>
      <c r="B7" s="112" t="s">
        <v>32</v>
      </c>
      <c r="C7" s="6">
        <f>Variables!M7</f>
        <v>0.3490658504</v>
      </c>
      <c r="D7" s="6" t="s">
        <v>34</v>
      </c>
      <c r="E7" s="6"/>
      <c r="F7" s="6"/>
      <c r="H7" s="12" t="s">
        <v>758</v>
      </c>
      <c r="I7" s="6" t="s">
        <v>72</v>
      </c>
      <c r="J7" s="6">
        <v>1.0</v>
      </c>
      <c r="K7" s="6" t="s">
        <v>7</v>
      </c>
      <c r="L7" s="6"/>
      <c r="M7" s="6"/>
    </row>
    <row r="8" ht="15.75" customHeight="1">
      <c r="A8" s="6" t="s">
        <v>759</v>
      </c>
      <c r="B8" s="6" t="s">
        <v>21</v>
      </c>
      <c r="C8" s="6">
        <f>Variables!K4</f>
        <v>0.25</v>
      </c>
      <c r="D8" s="6" t="str">
        <f>Variables!L4</f>
        <v>in</v>
      </c>
      <c r="E8" s="6"/>
      <c r="F8" s="6"/>
      <c r="H8" s="12" t="s">
        <v>760</v>
      </c>
      <c r="I8" s="6" t="s">
        <v>74</v>
      </c>
      <c r="J8" s="6">
        <v>1.0</v>
      </c>
      <c r="K8" s="6" t="s">
        <v>7</v>
      </c>
      <c r="L8" s="6"/>
      <c r="M8" s="6"/>
    </row>
    <row r="9" ht="15.75" customHeight="1">
      <c r="A9" s="6" t="str">
        <f>'Gear Specifications'!F29</f>
        <v>Pinion Pitch Apex to Crown</v>
      </c>
      <c r="B9" s="6" t="str">
        <f>'Gear Specifications'!G29</f>
        <v>X(p)</v>
      </c>
      <c r="C9" s="53">
        <f>'Gear Specifications'!H29</f>
        <v>0.5715779815</v>
      </c>
      <c r="D9" s="6" t="str">
        <f>'Gear Specifications'!I29</f>
        <v>in</v>
      </c>
      <c r="E9" s="6"/>
      <c r="F9" s="6"/>
      <c r="H9" s="6" t="s">
        <v>761</v>
      </c>
      <c r="I9" s="6" t="s">
        <v>762</v>
      </c>
      <c r="J9" s="53">
        <f>C10-(0.5*C8)</f>
        <v>0.4465779815</v>
      </c>
      <c r="K9" s="6" t="s">
        <v>7</v>
      </c>
      <c r="L9" s="6" t="s">
        <v>763</v>
      </c>
      <c r="M9" s="6" t="s">
        <v>764</v>
      </c>
    </row>
    <row r="10" ht="15.75" customHeight="1">
      <c r="A10" s="6" t="str">
        <f>'Gear Specifications'!F30</f>
        <v>Gear Pitch Apex to Crown</v>
      </c>
      <c r="B10" s="6" t="str">
        <f>'Gear Specifications'!G30</f>
        <v>X(g)</v>
      </c>
      <c r="C10" s="53">
        <f>'Gear Specifications'!H30</f>
        <v>0.5715779815</v>
      </c>
      <c r="D10" s="6" t="str">
        <f>'Gear Specifications'!I30</f>
        <v>in</v>
      </c>
      <c r="E10" s="6"/>
      <c r="F10" s="6"/>
      <c r="H10" s="6" t="s">
        <v>765</v>
      </c>
      <c r="I10" s="6" t="s">
        <v>766</v>
      </c>
      <c r="J10" s="53">
        <f>C9-(0.5*C8)</f>
        <v>0.4465779815</v>
      </c>
      <c r="K10" s="6" t="s">
        <v>7</v>
      </c>
      <c r="L10" s="6" t="s">
        <v>767</v>
      </c>
      <c r="M10" s="6" t="s">
        <v>764</v>
      </c>
    </row>
    <row r="11" ht="15.75" customHeight="1">
      <c r="A11" s="28" t="s">
        <v>768</v>
      </c>
      <c r="B11" s="28" t="s">
        <v>769</v>
      </c>
      <c r="C11" s="28">
        <f>'Torque&amp;Power'!M6</f>
        <v>0.0147512</v>
      </c>
      <c r="D11" s="28" t="str">
        <f>'Torque&amp;Power'!N6</f>
        <v>ft*lbf</v>
      </c>
      <c r="E11" s="6">
        <f>C11*12</f>
        <v>0.1770144</v>
      </c>
      <c r="F11" s="6" t="s">
        <v>526</v>
      </c>
    </row>
    <row r="12" ht="15.75" customHeight="1">
      <c r="A12" s="46"/>
      <c r="B12" s="46"/>
      <c r="C12" s="46"/>
      <c r="D12" s="46"/>
    </row>
    <row r="13" ht="15.75" customHeight="1">
      <c r="A13" s="11"/>
      <c r="D13" s="11"/>
    </row>
    <row r="14" ht="15.75" customHeight="1">
      <c r="A14" s="11"/>
      <c r="D14" s="11"/>
    </row>
    <row r="15" ht="15.75" customHeight="1">
      <c r="H15" s="5" t="s">
        <v>770</v>
      </c>
      <c r="I15" s="5"/>
      <c r="J15" s="5"/>
      <c r="K15" s="5"/>
      <c r="L15" s="5"/>
      <c r="M15" s="5"/>
      <c r="N15" s="5"/>
    </row>
    <row r="16" ht="15.75" customHeight="1">
      <c r="H16" s="5" t="s">
        <v>8</v>
      </c>
      <c r="I16" s="5" t="s">
        <v>9</v>
      </c>
      <c r="J16" s="5" t="s">
        <v>771</v>
      </c>
      <c r="K16" s="5" t="s">
        <v>772</v>
      </c>
      <c r="L16" s="5" t="s">
        <v>773</v>
      </c>
      <c r="M16" s="5" t="s">
        <v>13</v>
      </c>
      <c r="N16" s="5" t="s">
        <v>774</v>
      </c>
    </row>
    <row r="17" ht="15.75" customHeight="1">
      <c r="A17" s="5" t="s">
        <v>775</v>
      </c>
      <c r="B17" s="5" t="s">
        <v>9</v>
      </c>
      <c r="C17" s="5" t="s">
        <v>112</v>
      </c>
      <c r="D17" s="5" t="s">
        <v>13</v>
      </c>
      <c r="H17" s="6" t="s">
        <v>776</v>
      </c>
      <c r="I17" s="6" t="s">
        <v>777</v>
      </c>
      <c r="J17" s="53">
        <f>J10</f>
        <v>0.4465779815</v>
      </c>
      <c r="K17" s="6">
        <f>-J7</f>
        <v>-1</v>
      </c>
      <c r="L17" s="6">
        <f>0</f>
        <v>0</v>
      </c>
      <c r="M17" s="6" t="str">
        <f t="shared" ref="M17:M18" si="1">K7</f>
        <v>in</v>
      </c>
      <c r="N17" s="6"/>
    </row>
    <row r="18" ht="15.75" customHeight="1">
      <c r="A18" s="6" t="s">
        <v>778</v>
      </c>
      <c r="B18" s="6" t="s">
        <v>779</v>
      </c>
      <c r="C18" s="6">
        <f t="shared" ref="C18:C19" si="2">SQRT(J31^2+K31^2+L31^2)</f>
        <v>0</v>
      </c>
      <c r="D18" s="6" t="str">
        <f t="shared" ref="D18:D19" si="3">M31</f>
        <v/>
      </c>
      <c r="H18" s="6" t="s">
        <v>780</v>
      </c>
      <c r="I18" s="6" t="s">
        <v>781</v>
      </c>
      <c r="J18" s="6">
        <v>0.0</v>
      </c>
      <c r="K18" s="6">
        <f>-(J7+J8)</f>
        <v>-2</v>
      </c>
      <c r="L18" s="6">
        <v>0.0</v>
      </c>
      <c r="M18" s="6" t="str">
        <f t="shared" si="1"/>
        <v>in</v>
      </c>
      <c r="N18" s="6"/>
    </row>
    <row r="19" ht="15.75" customHeight="1">
      <c r="A19" s="6" t="s">
        <v>782</v>
      </c>
      <c r="B19" s="6" t="s">
        <v>783</v>
      </c>
      <c r="C19" s="6">
        <f t="shared" si="2"/>
        <v>0</v>
      </c>
      <c r="D19" s="6" t="str">
        <f t="shared" si="3"/>
        <v/>
      </c>
      <c r="H19" s="6" t="s">
        <v>784</v>
      </c>
      <c r="I19" s="6" t="s">
        <v>785</v>
      </c>
      <c r="J19" s="6">
        <f>-J3</f>
        <v>-0.1138936409</v>
      </c>
      <c r="K19" s="6">
        <f>-J4</f>
        <v>-0.1138936409</v>
      </c>
      <c r="L19" s="53">
        <f t="shared" ref="L19:M19" si="4">C6</f>
        <v>0.442536</v>
      </c>
      <c r="M19" s="6" t="str">
        <f t="shared" si="4"/>
        <v>lbf</v>
      </c>
      <c r="N19" s="6"/>
    </row>
    <row r="20" ht="15.75" customHeight="1">
      <c r="A20" s="6" t="s">
        <v>786</v>
      </c>
      <c r="B20" s="6" t="s">
        <v>787</v>
      </c>
      <c r="C20" s="6">
        <f t="shared" ref="C20:C21" si="6">sqrt(J22^2+K22^2+L22^2)</f>
        <v>0.2677599309</v>
      </c>
      <c r="D20" s="6" t="str">
        <f t="shared" ref="D20:D21" si="7">M22</f>
        <v>lbf</v>
      </c>
      <c r="H20" s="6" t="s">
        <v>177</v>
      </c>
      <c r="I20" s="6" t="s">
        <v>178</v>
      </c>
      <c r="J20" s="6">
        <f t="shared" ref="J20:K20" si="5">0</f>
        <v>0</v>
      </c>
      <c r="K20" s="6">
        <f t="shared" si="5"/>
        <v>0</v>
      </c>
      <c r="L20" s="6">
        <f>E11</f>
        <v>0.1770144</v>
      </c>
      <c r="M20" s="6" t="s">
        <v>512</v>
      </c>
      <c r="N20" s="6"/>
    </row>
    <row r="21" ht="15.75" customHeight="1">
      <c r="A21" s="6" t="s">
        <v>788</v>
      </c>
      <c r="B21" s="6" t="s">
        <v>789</v>
      </c>
      <c r="C21" s="6">
        <f t="shared" si="6"/>
        <v>0.2217812909</v>
      </c>
      <c r="D21" s="6" t="str">
        <f t="shared" si="7"/>
        <v>lbf</v>
      </c>
      <c r="H21" s="6" t="s">
        <v>790</v>
      </c>
      <c r="I21" s="6" t="s">
        <v>791</v>
      </c>
      <c r="J21" s="6">
        <f>(K17*L19-L17*K19)+J20</f>
        <v>-0.442536</v>
      </c>
      <c r="K21" s="6">
        <f>(L17*J19-J17*L19)+K20</f>
        <v>-0.1976268336</v>
      </c>
      <c r="L21" s="6">
        <f>(J17*K19-K17*J19)+L20</f>
        <v>0.01225836688</v>
      </c>
      <c r="M21" s="6"/>
      <c r="N21" s="6" t="s">
        <v>791</v>
      </c>
    </row>
    <row r="22" ht="15.75" customHeight="1">
      <c r="A22" s="6" t="s">
        <v>792</v>
      </c>
      <c r="B22" s="6" t="s">
        <v>793</v>
      </c>
      <c r="C22" s="6">
        <f>sqrt(C6^2+J3^2+J4^2)</f>
        <v>0.4709369747</v>
      </c>
      <c r="D22" s="6" t="str">
        <f>D6</f>
        <v>lbf</v>
      </c>
      <c r="H22" s="6" t="s">
        <v>794</v>
      </c>
      <c r="I22" s="6" t="s">
        <v>787</v>
      </c>
      <c r="J22" s="6">
        <f>K21/K18</f>
        <v>0.0988134168</v>
      </c>
      <c r="K22" s="6">
        <f>-K19</f>
        <v>0.1138936409</v>
      </c>
      <c r="L22" s="6">
        <f>-J21/K18</f>
        <v>-0.221268</v>
      </c>
      <c r="M22" s="6" t="s">
        <v>401</v>
      </c>
      <c r="N22" s="6"/>
    </row>
    <row r="23" ht="15.75" customHeight="1">
      <c r="H23" s="6" t="s">
        <v>795</v>
      </c>
      <c r="I23" s="6" t="s">
        <v>789</v>
      </c>
      <c r="J23" s="6">
        <f>(J19+J22)</f>
        <v>-0.01508022407</v>
      </c>
      <c r="K23" s="6">
        <v>0.0</v>
      </c>
      <c r="L23" s="53">
        <f>-(L19+L22)</f>
        <v>-0.221268</v>
      </c>
      <c r="M23" s="6" t="s">
        <v>401</v>
      </c>
      <c r="N23" s="6"/>
    </row>
    <row r="24" ht="15.75" customHeight="1">
      <c r="A24" s="11" t="s">
        <v>796</v>
      </c>
    </row>
    <row r="25" ht="15.75" customHeight="1">
      <c r="H25" s="5" t="s">
        <v>797</v>
      </c>
      <c r="I25" s="5"/>
      <c r="J25" s="5"/>
      <c r="K25" s="5"/>
      <c r="L25" s="5"/>
      <c r="M25" s="5"/>
      <c r="N25" s="5"/>
    </row>
    <row r="26" ht="15.75" customHeight="1">
      <c r="H26" s="5" t="s">
        <v>8</v>
      </c>
      <c r="I26" s="5" t="s">
        <v>9</v>
      </c>
      <c r="J26" s="5" t="s">
        <v>771</v>
      </c>
      <c r="K26" s="5" t="s">
        <v>772</v>
      </c>
      <c r="L26" s="5" t="s">
        <v>773</v>
      </c>
      <c r="M26" s="5" t="s">
        <v>13</v>
      </c>
      <c r="N26" s="5" t="s">
        <v>774</v>
      </c>
    </row>
    <row r="27" ht="15.75" customHeight="1">
      <c r="H27" s="6" t="s">
        <v>798</v>
      </c>
      <c r="I27" s="6"/>
      <c r="J27" s="6"/>
      <c r="K27" s="6"/>
      <c r="L27" s="6"/>
      <c r="M27" s="6"/>
      <c r="N27" s="6"/>
    </row>
    <row r="28" ht="15.75" customHeight="1">
      <c r="H28" s="6" t="s">
        <v>799</v>
      </c>
      <c r="I28" s="6"/>
      <c r="J28" s="6"/>
      <c r="K28" s="6"/>
      <c r="L28" s="6"/>
      <c r="M28" s="6"/>
      <c r="N28" s="6"/>
    </row>
    <row r="29" ht="15.75" customHeight="1">
      <c r="H29" s="6" t="s">
        <v>177</v>
      </c>
      <c r="I29" s="6"/>
      <c r="J29" s="6"/>
      <c r="K29" s="6"/>
      <c r="L29" s="6"/>
      <c r="M29" s="6"/>
      <c r="N29" s="6"/>
    </row>
    <row r="30" ht="15.75" customHeight="1">
      <c r="H30" s="6" t="s">
        <v>800</v>
      </c>
      <c r="I30" s="6"/>
      <c r="J30" s="6"/>
      <c r="K30" s="6"/>
      <c r="L30" s="6"/>
      <c r="M30" s="6"/>
      <c r="N30" s="6"/>
    </row>
    <row r="31" ht="15.75" customHeight="1">
      <c r="H31" s="6" t="s">
        <v>801</v>
      </c>
      <c r="I31" s="6"/>
      <c r="J31" s="6"/>
      <c r="K31" s="6"/>
      <c r="L31" s="6"/>
      <c r="M31" s="6"/>
      <c r="N31" s="6"/>
    </row>
    <row r="32" ht="15.75" customHeight="1">
      <c r="H32" s="6" t="s">
        <v>802</v>
      </c>
      <c r="I32" s="6"/>
      <c r="J32" s="6"/>
      <c r="K32" s="6"/>
      <c r="L32" s="6"/>
      <c r="M32" s="6"/>
      <c r="N32" s="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18">
    <cfRule type="cellIs" dxfId="0" priority="1" operator="notEqual">
      <formula>0</formula>
    </cfRule>
  </conditionalFormatting>
  <conditionalFormatting sqref="L18">
    <cfRule type="cellIs" dxfId="0" priority="2" operator="notEqual">
      <formula>0</formula>
    </cfRule>
  </conditionalFormatting>
  <drawing r:id="rId2"/>
  <legacyDrawing r:id="rId3"/>
</worksheet>
</file>