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 codeName="ThisWorkbook"/>
  <mc:AlternateContent xmlns:mc="http://schemas.openxmlformats.org/markup-compatibility/2006">
    <mc:Choice Requires="x15">
      <x15ac:absPath xmlns:x15ac="http://schemas.microsoft.com/office/spreadsheetml/2010/11/ac" url="D:\Git\rapportxls\Templates Mapview\"/>
    </mc:Choice>
  </mc:AlternateContent>
  <xr:revisionPtr revIDLastSave="0" documentId="13_ncr:1_{61E63633-2B51-4905-89E5-72B18C0500FD}" xr6:coauthVersionLast="46" xr6:coauthVersionMax="46" xr10:uidLastSave="{00000000-0000-0000-0000-000000000000}"/>
  <bookViews>
    <workbookView xWindow="-120" yWindow="-120" windowWidth="29040" windowHeight="15840" activeTab="5" xr2:uid="{00000000-000D-0000-FFFF-FFFF00000000}"/>
  </bookViews>
  <sheets>
    <sheet name="RawData" sheetId="20" r:id="rId1"/>
    <sheet name="PageGardeModel" sheetId="22" r:id="rId2"/>
    <sheet name="TableHeavydynModel" sheetId="2" r:id="rId3"/>
    <sheet name="TableCorrectionModel" sheetId="24" r:id="rId4"/>
    <sheet name="ImplantationModel" sheetId="12" r:id="rId5"/>
    <sheet name="ChartHeavydynModel" sheetId="13" r:id="rId6"/>
  </sheets>
  <definedNames>
    <definedName name="ChargeCorrection" localSheetId="3">TableCorrectionModel!$E$7</definedName>
    <definedName name="MapsImage" localSheetId="4">ImplantationModel!$B$13:$P$54</definedName>
    <definedName name="Page" localSheetId="5">ChartHeavydynModel!$O$38</definedName>
    <definedName name="Page" localSheetId="4">ImplantationModel!$O$56</definedName>
    <definedName name="Page" localSheetId="1">PageGardeModel!$O$55</definedName>
    <definedName name="Page" localSheetId="3">TableCorrectionModel!$U$37</definedName>
    <definedName name="Page" localSheetId="2">TableHeavydynModel!$U$37</definedName>
    <definedName name="_xlnm.Print_Area" localSheetId="5">ChartHeavydynModel!$A$1:$Q$39</definedName>
    <definedName name="_xlnm.Print_Area" localSheetId="4">ImplantationModel!$A$1:$Q$57</definedName>
    <definedName name="_xlnm.Print_Area" localSheetId="1">PageGardeModel!$A$1:$Q$56</definedName>
    <definedName name="_xlnm.Print_Area" localSheetId="3">TableCorrectionModel!$A$1:$W$38</definedName>
    <definedName name="_xlnm.Print_Area" localSheetId="2">TableHeavydynModel!$A$1:$W$38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5" i="24" l="1"/>
  <c r="R16" i="24"/>
  <c r="R17" i="24"/>
  <c r="R18" i="24"/>
  <c r="R19" i="24"/>
  <c r="R20" i="24"/>
  <c r="R21" i="24"/>
  <c r="R22" i="24"/>
  <c r="R23" i="24"/>
  <c r="R24" i="24"/>
  <c r="R25" i="24"/>
  <c r="R26" i="24"/>
  <c r="R27" i="24"/>
  <c r="R28" i="24"/>
  <c r="R29" i="24"/>
  <c r="R30" i="24"/>
  <c r="R31" i="24"/>
  <c r="R32" i="24"/>
  <c r="R33" i="24"/>
  <c r="R34" i="24"/>
  <c r="R35" i="24"/>
  <c r="Q15" i="24"/>
  <c r="Q16" i="24"/>
  <c r="Q17" i="24"/>
  <c r="Q18" i="24"/>
  <c r="Q19" i="24"/>
  <c r="Q20" i="24"/>
  <c r="Q21" i="24"/>
  <c r="Q22" i="24"/>
  <c r="Q23" i="24"/>
  <c r="Q24" i="24"/>
  <c r="Q25" i="24"/>
  <c r="Q26" i="24"/>
  <c r="Q27" i="24"/>
  <c r="Q28" i="24"/>
  <c r="Q29" i="24"/>
  <c r="Q30" i="24"/>
  <c r="Q31" i="24"/>
  <c r="Q32" i="24"/>
  <c r="Q33" i="24"/>
  <c r="Q34" i="24"/>
  <c r="Q35" i="24"/>
  <c r="P15" i="24"/>
  <c r="P16" i="24"/>
  <c r="P17" i="24"/>
  <c r="P18" i="24"/>
  <c r="P19" i="24"/>
  <c r="P20" i="24"/>
  <c r="P21" i="24"/>
  <c r="P22" i="24"/>
  <c r="P23" i="24"/>
  <c r="P24" i="24"/>
  <c r="P25" i="24"/>
  <c r="P26" i="24"/>
  <c r="P27" i="24"/>
  <c r="P28" i="24"/>
  <c r="P29" i="24"/>
  <c r="P30" i="24"/>
  <c r="P31" i="24"/>
  <c r="P32" i="24"/>
  <c r="P33" i="24"/>
  <c r="P34" i="24"/>
  <c r="P35" i="24"/>
  <c r="O15" i="24"/>
  <c r="O16" i="24"/>
  <c r="O17" i="24"/>
  <c r="O18" i="24"/>
  <c r="O19" i="24"/>
  <c r="O20" i="24"/>
  <c r="O21" i="24"/>
  <c r="O22" i="24"/>
  <c r="O23" i="24"/>
  <c r="O24" i="24"/>
  <c r="O25" i="24"/>
  <c r="O26" i="24"/>
  <c r="O27" i="24"/>
  <c r="O28" i="24"/>
  <c r="O29" i="24"/>
  <c r="O30" i="24"/>
  <c r="O31" i="24"/>
  <c r="O32" i="24"/>
  <c r="O33" i="24"/>
  <c r="O34" i="24"/>
  <c r="O35" i="24"/>
  <c r="N15" i="24"/>
  <c r="N16" i="24"/>
  <c r="N17" i="24"/>
  <c r="N18" i="24"/>
  <c r="N19" i="24"/>
  <c r="N20" i="24"/>
  <c r="N21" i="24"/>
  <c r="N22" i="24"/>
  <c r="N23" i="24"/>
  <c r="N24" i="24"/>
  <c r="N25" i="24"/>
  <c r="N26" i="24"/>
  <c r="N27" i="24"/>
  <c r="N28" i="24"/>
  <c r="N29" i="24"/>
  <c r="N30" i="24"/>
  <c r="N31" i="24"/>
  <c r="N32" i="24"/>
  <c r="N33" i="24"/>
  <c r="N34" i="24"/>
  <c r="N35" i="24"/>
  <c r="M15" i="24"/>
  <c r="M16" i="24"/>
  <c r="M17" i="24"/>
  <c r="M18" i="24"/>
  <c r="M19" i="24"/>
  <c r="M20" i="24"/>
  <c r="M21" i="24"/>
  <c r="M22" i="24"/>
  <c r="M23" i="24"/>
  <c r="M24" i="24"/>
  <c r="M25" i="24"/>
  <c r="M26" i="24"/>
  <c r="M27" i="24"/>
  <c r="M28" i="24"/>
  <c r="M29" i="24"/>
  <c r="M30" i="24"/>
  <c r="M31" i="24"/>
  <c r="M32" i="24"/>
  <c r="M33" i="24"/>
  <c r="M34" i="24"/>
  <c r="M35" i="24"/>
  <c r="L15" i="24"/>
  <c r="L16" i="24"/>
  <c r="L17" i="24"/>
  <c r="L18" i="24"/>
  <c r="L19" i="24"/>
  <c r="L20" i="24"/>
  <c r="L21" i="24"/>
  <c r="L22" i="24"/>
  <c r="L23" i="24"/>
  <c r="L24" i="24"/>
  <c r="L25" i="24"/>
  <c r="L26" i="24"/>
  <c r="L27" i="24"/>
  <c r="L28" i="24"/>
  <c r="L29" i="24"/>
  <c r="L30" i="24"/>
  <c r="L31" i="24"/>
  <c r="L32" i="24"/>
  <c r="L33" i="24"/>
  <c r="L34" i="24"/>
  <c r="L35" i="24"/>
  <c r="K15" i="24"/>
  <c r="K16" i="24"/>
  <c r="K17" i="24"/>
  <c r="K18" i="24"/>
  <c r="K19" i="24"/>
  <c r="K20" i="24"/>
  <c r="K21" i="24"/>
  <c r="K22" i="24"/>
  <c r="K23" i="24"/>
  <c r="K24" i="24"/>
  <c r="K25" i="24"/>
  <c r="K26" i="24"/>
  <c r="K27" i="24"/>
  <c r="K28" i="24"/>
  <c r="K29" i="24"/>
  <c r="K30" i="24"/>
  <c r="K31" i="24"/>
  <c r="K32" i="24"/>
  <c r="K33" i="24"/>
  <c r="K34" i="24"/>
  <c r="K35" i="24"/>
  <c r="J15" i="24"/>
  <c r="J16" i="24"/>
  <c r="J17" i="24"/>
  <c r="J18" i="24"/>
  <c r="J19" i="24"/>
  <c r="J20" i="24"/>
  <c r="J21" i="24"/>
  <c r="J22" i="24"/>
  <c r="S22" i="24" s="1"/>
  <c r="J23" i="24"/>
  <c r="J24" i="24"/>
  <c r="J25" i="24"/>
  <c r="J26" i="24"/>
  <c r="J27" i="24"/>
  <c r="J28" i="24"/>
  <c r="J29" i="24"/>
  <c r="J30" i="24"/>
  <c r="J31" i="24"/>
  <c r="J32" i="24"/>
  <c r="J33" i="24"/>
  <c r="J34" i="24"/>
  <c r="J35" i="24"/>
  <c r="S30" i="24"/>
  <c r="S32" i="24"/>
  <c r="S35" i="24"/>
  <c r="I15" i="24"/>
  <c r="I16" i="24"/>
  <c r="I17" i="24"/>
  <c r="I18" i="24"/>
  <c r="I19" i="24"/>
  <c r="I20" i="24"/>
  <c r="I21" i="24"/>
  <c r="I22" i="24"/>
  <c r="I23" i="24"/>
  <c r="I24" i="24"/>
  <c r="I25" i="24"/>
  <c r="I26" i="24"/>
  <c r="I27" i="24"/>
  <c r="I28" i="24"/>
  <c r="I29" i="24"/>
  <c r="I30" i="24"/>
  <c r="I31" i="24"/>
  <c r="I32" i="24"/>
  <c r="I33" i="24"/>
  <c r="I34" i="24"/>
  <c r="I35" i="24"/>
  <c r="F15" i="24"/>
  <c r="F16" i="24"/>
  <c r="F17" i="24"/>
  <c r="F18" i="24"/>
  <c r="F19" i="24"/>
  <c r="H19" i="24" s="1"/>
  <c r="F20" i="24"/>
  <c r="F21" i="24"/>
  <c r="F22" i="24"/>
  <c r="H22" i="24" s="1"/>
  <c r="F23" i="24"/>
  <c r="F24" i="24"/>
  <c r="F25" i="24"/>
  <c r="F26" i="24"/>
  <c r="F27" i="24"/>
  <c r="H27" i="24" s="1"/>
  <c r="F28" i="24"/>
  <c r="F29" i="24"/>
  <c r="F30" i="24"/>
  <c r="H30" i="24" s="1"/>
  <c r="F31" i="24"/>
  <c r="F32" i="24"/>
  <c r="F33" i="24"/>
  <c r="F34" i="24"/>
  <c r="F35" i="24"/>
  <c r="H35" i="24" s="1"/>
  <c r="H18" i="24"/>
  <c r="H29" i="24"/>
  <c r="H31" i="24"/>
  <c r="H34" i="24"/>
  <c r="G14" i="24"/>
  <c r="G15" i="24"/>
  <c r="G16" i="24"/>
  <c r="G17" i="24"/>
  <c r="G18" i="24"/>
  <c r="G19" i="24"/>
  <c r="G20" i="24"/>
  <c r="G21" i="24"/>
  <c r="G22" i="24"/>
  <c r="G23" i="24"/>
  <c r="G24" i="24"/>
  <c r="G25" i="24"/>
  <c r="G26" i="24"/>
  <c r="G27" i="24"/>
  <c r="G28" i="24"/>
  <c r="G29" i="24"/>
  <c r="G30" i="24"/>
  <c r="G31" i="24"/>
  <c r="G32" i="24"/>
  <c r="G33" i="24"/>
  <c r="G34" i="24"/>
  <c r="G35" i="24"/>
  <c r="H15" i="24"/>
  <c r="H23" i="24"/>
  <c r="E14" i="24"/>
  <c r="E15" i="24"/>
  <c r="E16" i="24"/>
  <c r="E17" i="24"/>
  <c r="E18" i="24"/>
  <c r="E19" i="24"/>
  <c r="E20" i="24"/>
  <c r="E21" i="24"/>
  <c r="E22" i="24"/>
  <c r="E23" i="24"/>
  <c r="E24" i="24"/>
  <c r="E25" i="24"/>
  <c r="E26" i="24"/>
  <c r="E27" i="24"/>
  <c r="E28" i="24"/>
  <c r="E29" i="24"/>
  <c r="E30" i="24"/>
  <c r="E31" i="24"/>
  <c r="E32" i="24"/>
  <c r="E33" i="24"/>
  <c r="E34" i="24"/>
  <c r="E35" i="24"/>
  <c r="D14" i="24"/>
  <c r="D15" i="24"/>
  <c r="D16" i="24"/>
  <c r="D17" i="24"/>
  <c r="D18" i="24"/>
  <c r="D19" i="24"/>
  <c r="D20" i="24"/>
  <c r="D21" i="24"/>
  <c r="D22" i="24"/>
  <c r="D23" i="24"/>
  <c r="D24" i="24"/>
  <c r="D25" i="24"/>
  <c r="D26" i="24"/>
  <c r="D27" i="24"/>
  <c r="D28" i="24"/>
  <c r="D29" i="24"/>
  <c r="D30" i="24"/>
  <c r="D31" i="24"/>
  <c r="D32" i="24"/>
  <c r="D33" i="24"/>
  <c r="D34" i="24"/>
  <c r="D35" i="24"/>
  <c r="C14" i="24"/>
  <c r="C15" i="24"/>
  <c r="C16" i="24"/>
  <c r="C17" i="24"/>
  <c r="C18" i="24"/>
  <c r="C19" i="24"/>
  <c r="C20" i="24"/>
  <c r="C21" i="24"/>
  <c r="C22" i="24"/>
  <c r="C23" i="24"/>
  <c r="C24" i="24"/>
  <c r="C25" i="24"/>
  <c r="C26" i="24"/>
  <c r="C27" i="24"/>
  <c r="C28" i="24"/>
  <c r="C29" i="24"/>
  <c r="C30" i="24"/>
  <c r="C31" i="24"/>
  <c r="C32" i="24"/>
  <c r="C33" i="24"/>
  <c r="C34" i="24"/>
  <c r="C35" i="24"/>
  <c r="B14" i="24"/>
  <c r="B15" i="24"/>
  <c r="B16" i="24"/>
  <c r="B17" i="24"/>
  <c r="B18" i="24"/>
  <c r="B19" i="24"/>
  <c r="B20" i="24"/>
  <c r="B21" i="24"/>
  <c r="B22" i="24"/>
  <c r="B23" i="24"/>
  <c r="B24" i="24"/>
  <c r="B25" i="24"/>
  <c r="B26" i="24"/>
  <c r="B27" i="24"/>
  <c r="B28" i="24"/>
  <c r="B29" i="24"/>
  <c r="B30" i="24"/>
  <c r="B31" i="24"/>
  <c r="B32" i="24"/>
  <c r="B33" i="24"/>
  <c r="B34" i="24"/>
  <c r="B35" i="24"/>
  <c r="I7" i="24"/>
  <c r="R7" i="24"/>
  <c r="I8" i="24"/>
  <c r="R8" i="24"/>
  <c r="I9" i="24"/>
  <c r="R9" i="24"/>
  <c r="AA35" i="24"/>
  <c r="AA34" i="24"/>
  <c r="AA33" i="24"/>
  <c r="AA32" i="24"/>
  <c r="AA31" i="24"/>
  <c r="AA30" i="24"/>
  <c r="AA29" i="24"/>
  <c r="AA28" i="24"/>
  <c r="AA27" i="24"/>
  <c r="AA26" i="24"/>
  <c r="AA25" i="24"/>
  <c r="AA24" i="24"/>
  <c r="AA23" i="24"/>
  <c r="AA22" i="24"/>
  <c r="AA21" i="24"/>
  <c r="AA20" i="24"/>
  <c r="AA19" i="24"/>
  <c r="AA18" i="24"/>
  <c r="AA17" i="24"/>
  <c r="AA16" i="24"/>
  <c r="AA15" i="24"/>
  <c r="AA14" i="24"/>
  <c r="R14" i="24" s="1"/>
  <c r="S34" i="24"/>
  <c r="S33" i="24"/>
  <c r="H33" i="24"/>
  <c r="H32" i="24"/>
  <c r="S31" i="24"/>
  <c r="S29" i="24"/>
  <c r="S28" i="24"/>
  <c r="H28" i="24"/>
  <c r="S27" i="24"/>
  <c r="S26" i="24"/>
  <c r="H26" i="24"/>
  <c r="S25" i="24"/>
  <c r="H25" i="24"/>
  <c r="S24" i="24"/>
  <c r="H24" i="24"/>
  <c r="S23" i="24"/>
  <c r="S21" i="24"/>
  <c r="H21" i="24"/>
  <c r="S20" i="24"/>
  <c r="H20" i="24"/>
  <c r="S19" i="24"/>
  <c r="S18" i="24"/>
  <c r="S17" i="24"/>
  <c r="H17" i="24"/>
  <c r="S16" i="24"/>
  <c r="H16" i="24"/>
  <c r="S15" i="24"/>
  <c r="F14" i="24" l="1"/>
  <c r="H14" i="24" s="1"/>
  <c r="Q14" i="24"/>
  <c r="J14" i="24"/>
  <c r="S14" i="24" s="1"/>
  <c r="L14" i="24"/>
  <c r="N14" i="24"/>
  <c r="P14" i="24"/>
  <c r="K14" i="24"/>
  <c r="M14" i="24"/>
  <c r="O14" i="24"/>
  <c r="I14" i="24"/>
  <c r="N45" i="13"/>
  <c r="N44" i="13"/>
  <c r="N46" i="13"/>
  <c r="N47" i="13"/>
  <c r="N48" i="13"/>
  <c r="N49" i="13"/>
  <c r="N50" i="13"/>
  <c r="N51" i="13"/>
  <c r="N52" i="13"/>
  <c r="N53" i="13"/>
  <c r="N54" i="13"/>
  <c r="N55" i="13"/>
  <c r="N56" i="13"/>
  <c r="N57" i="13"/>
  <c r="N58" i="13"/>
  <c r="N59" i="13"/>
  <c r="N60" i="13"/>
  <c r="N61" i="13"/>
  <c r="N62" i="13"/>
  <c r="N63" i="13"/>
  <c r="N64" i="13"/>
  <c r="N65" i="13"/>
  <c r="N66" i="13"/>
  <c r="N67" i="13"/>
  <c r="N68" i="13"/>
  <c r="N69" i="13"/>
  <c r="N70" i="13"/>
  <c r="N71" i="13"/>
  <c r="N72" i="13"/>
  <c r="N73" i="13"/>
  <c r="N74" i="13"/>
  <c r="N75" i="13"/>
  <c r="N76" i="13"/>
  <c r="N77" i="13"/>
  <c r="N78" i="13"/>
  <c r="N79" i="13"/>
  <c r="N80" i="13"/>
  <c r="N81" i="13"/>
  <c r="N82" i="13"/>
  <c r="N83" i="13"/>
  <c r="N84" i="13"/>
  <c r="N85" i="13"/>
  <c r="N86" i="13"/>
  <c r="N87" i="13"/>
  <c r="N88" i="13"/>
  <c r="N89" i="13"/>
  <c r="N90" i="13"/>
  <c r="N91" i="13"/>
  <c r="N92" i="13"/>
  <c r="N93" i="13"/>
  <c r="N94" i="13"/>
  <c r="N95" i="13"/>
  <c r="N96" i="13"/>
  <c r="N97" i="13"/>
  <c r="N98" i="13"/>
  <c r="N99" i="13"/>
  <c r="N100" i="13"/>
  <c r="N101" i="13"/>
  <c r="N102" i="13"/>
  <c r="N103" i="13"/>
  <c r="N104" i="13"/>
  <c r="N105" i="13"/>
  <c r="N106" i="13"/>
  <c r="N107" i="13"/>
  <c r="N108" i="13"/>
  <c r="N109" i="13"/>
  <c r="N110" i="13"/>
  <c r="N111" i="13"/>
  <c r="N112" i="13"/>
  <c r="N113" i="13"/>
  <c r="N114" i="13"/>
  <c r="N115" i="13"/>
  <c r="N116" i="13"/>
  <c r="N117" i="13"/>
  <c r="N118" i="13"/>
  <c r="N119" i="13"/>
  <c r="N120" i="13"/>
  <c r="N121" i="13"/>
  <c r="N122" i="13"/>
  <c r="N123" i="13"/>
  <c r="N124" i="13"/>
  <c r="N125" i="13"/>
  <c r="N126" i="13"/>
  <c r="N127" i="13"/>
  <c r="N128" i="13"/>
  <c r="N129" i="13"/>
  <c r="N130" i="13"/>
  <c r="N131" i="13"/>
  <c r="N132" i="13"/>
  <c r="N133" i="13"/>
  <c r="N134" i="13"/>
  <c r="N135" i="13"/>
  <c r="N136" i="13"/>
  <c r="N137" i="13"/>
  <c r="N138" i="13"/>
  <c r="N139" i="13"/>
  <c r="N140" i="13"/>
  <c r="N141" i="13"/>
  <c r="N142" i="13"/>
  <c r="N143" i="13"/>
  <c r="N144" i="13"/>
  <c r="N145" i="13"/>
  <c r="N146" i="13"/>
  <c r="N147" i="13"/>
  <c r="N148" i="13"/>
  <c r="N149" i="13"/>
  <c r="N150" i="13"/>
  <c r="N151" i="13"/>
  <c r="N152" i="13"/>
  <c r="N153" i="13"/>
  <c r="N154" i="13"/>
  <c r="N155" i="13"/>
  <c r="N156" i="13"/>
  <c r="N157" i="13"/>
  <c r="N158" i="13"/>
  <c r="N159" i="13"/>
  <c r="N160" i="13"/>
  <c r="N161" i="13"/>
  <c r="N162" i="13"/>
  <c r="N163" i="13"/>
  <c r="N164" i="13"/>
  <c r="N165" i="13"/>
  <c r="N166" i="13"/>
  <c r="N167" i="13"/>
  <c r="N168" i="13"/>
  <c r="N169" i="13"/>
  <c r="N170" i="13"/>
  <c r="N171" i="13"/>
  <c r="N172" i="13"/>
  <c r="N173" i="13"/>
  <c r="N174" i="13"/>
  <c r="N175" i="13"/>
  <c r="N176" i="13"/>
  <c r="N177" i="13"/>
  <c r="N178" i="13"/>
  <c r="N179" i="13"/>
  <c r="N180" i="13"/>
  <c r="N181" i="13"/>
  <c r="N182" i="13"/>
  <c r="N183" i="13"/>
  <c r="N184" i="13"/>
  <c r="N185" i="13"/>
  <c r="N186" i="13"/>
  <c r="N187" i="13"/>
  <c r="N188" i="13"/>
  <c r="N189" i="13"/>
  <c r="N190" i="13"/>
  <c r="N191" i="13"/>
  <c r="N192" i="13"/>
  <c r="N193" i="13"/>
  <c r="N194" i="13"/>
  <c r="N195" i="13"/>
  <c r="N196" i="13"/>
  <c r="N197" i="13"/>
  <c r="N198" i="13"/>
  <c r="N199" i="13"/>
  <c r="N200" i="13"/>
  <c r="N201" i="13"/>
  <c r="N202" i="13"/>
  <c r="N203" i="13"/>
  <c r="N204" i="13"/>
  <c r="N205" i="13"/>
  <c r="N206" i="13"/>
  <c r="N207" i="13"/>
  <c r="N208" i="13"/>
  <c r="N209" i="13"/>
  <c r="N210" i="13"/>
  <c r="N211" i="13"/>
  <c r="N212" i="13"/>
  <c r="N213" i="13"/>
  <c r="N214" i="13"/>
  <c r="N215" i="13"/>
  <c r="N216" i="13"/>
  <c r="N217" i="13"/>
  <c r="N218" i="13"/>
  <c r="N219" i="13"/>
  <c r="N220" i="13"/>
  <c r="N221" i="13"/>
  <c r="N222" i="13"/>
  <c r="N223" i="13"/>
  <c r="N224" i="13"/>
  <c r="N225" i="13"/>
  <c r="N226" i="13"/>
  <c r="N227" i="13"/>
  <c r="N228" i="13"/>
  <c r="N229" i="13"/>
  <c r="N230" i="13"/>
  <c r="N231" i="13"/>
  <c r="N232" i="13"/>
  <c r="N233" i="13"/>
  <c r="N234" i="13"/>
  <c r="N235" i="13"/>
  <c r="N236" i="13"/>
  <c r="N237" i="13"/>
  <c r="N238" i="13"/>
  <c r="N239" i="13"/>
  <c r="N240" i="13"/>
  <c r="N241" i="13"/>
  <c r="N242" i="13"/>
  <c r="N243" i="13"/>
  <c r="N244" i="13"/>
  <c r="N245" i="13"/>
  <c r="N246" i="13"/>
  <c r="N247" i="13"/>
  <c r="N248" i="13"/>
  <c r="N249" i="13"/>
  <c r="N250" i="13"/>
  <c r="N251" i="13"/>
  <c r="N252" i="13"/>
  <c r="N253" i="13"/>
  <c r="N254" i="13"/>
  <c r="N255" i="13"/>
  <c r="N256" i="13"/>
  <c r="N257" i="13"/>
  <c r="N258" i="13"/>
  <c r="N259" i="13"/>
  <c r="N260" i="13"/>
  <c r="N261" i="13"/>
  <c r="N262" i="13"/>
  <c r="N263" i="13"/>
  <c r="N264" i="13"/>
  <c r="N265" i="13"/>
  <c r="N266" i="13"/>
  <c r="N267" i="13"/>
  <c r="N268" i="13"/>
  <c r="N269" i="13"/>
  <c r="N270" i="13"/>
  <c r="N271" i="13"/>
  <c r="N272" i="13"/>
  <c r="N273" i="13"/>
  <c r="N274" i="13"/>
  <c r="N275" i="13"/>
  <c r="N276" i="13"/>
  <c r="N277" i="13"/>
  <c r="N278" i="13"/>
  <c r="N279" i="13"/>
  <c r="N280" i="13"/>
  <c r="N281" i="13"/>
  <c r="N282" i="13"/>
  <c r="N283" i="13"/>
  <c r="N284" i="13"/>
  <c r="N285" i="13"/>
  <c r="N286" i="13"/>
  <c r="N287" i="13"/>
  <c r="N288" i="13"/>
  <c r="N289" i="13"/>
  <c r="N290" i="13"/>
  <c r="N291" i="13"/>
  <c r="N292" i="13"/>
  <c r="N293" i="13"/>
  <c r="N294" i="13"/>
  <c r="N295" i="13"/>
  <c r="N296" i="13"/>
  <c r="N297" i="13"/>
  <c r="N298" i="13"/>
  <c r="N299" i="13"/>
  <c r="N300" i="13"/>
  <c r="N301" i="13"/>
  <c r="N302" i="13"/>
  <c r="E33" i="22" l="1"/>
  <c r="M29" i="22"/>
  <c r="M28" i="22"/>
  <c r="M27" i="22"/>
  <c r="E30" i="22"/>
  <c r="E7" i="13"/>
  <c r="E7" i="12"/>
  <c r="D7" i="2"/>
  <c r="M38" i="22" l="1"/>
  <c r="M40" i="22"/>
  <c r="E29" i="22"/>
  <c r="M33" i="22"/>
  <c r="E34" i="22"/>
  <c r="E27" i="22"/>
  <c r="E28" i="22"/>
  <c r="E23" i="22"/>
  <c r="M22" i="22"/>
  <c r="M23" i="22"/>
  <c r="E22" i="22"/>
  <c r="E24" i="22"/>
  <c r="E37" i="22"/>
  <c r="M37" i="22"/>
  <c r="E38" i="22"/>
  <c r="E39" i="22"/>
  <c r="E17" i="22"/>
  <c r="H14" i="2" l="1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S15" i="2" l="1"/>
  <c r="S25" i="2" l="1"/>
  <c r="S14" i="2"/>
  <c r="S16" i="2"/>
  <c r="S17" i="2"/>
  <c r="S18" i="2"/>
  <c r="S19" i="2"/>
  <c r="S20" i="2"/>
  <c r="S21" i="2"/>
  <c r="S22" i="2"/>
  <c r="S23" i="2"/>
  <c r="S24" i="2"/>
  <c r="S26" i="2"/>
  <c r="S27" i="2"/>
  <c r="S28" i="2"/>
  <c r="S29" i="2"/>
  <c r="S30" i="2"/>
  <c r="S31" i="2"/>
  <c r="S32" i="2"/>
  <c r="S33" i="2"/>
  <c r="S34" i="2"/>
  <c r="S35" i="2"/>
  <c r="N9" i="2" l="1"/>
  <c r="N8" i="2"/>
  <c r="N7" i="2"/>
  <c r="D9" i="2"/>
  <c r="D8" i="2"/>
  <c r="G51" i="22" l="1"/>
  <c r="B51" i="22"/>
  <c r="E40" i="22"/>
  <c r="M39" i="22" s="1"/>
  <c r="M19" i="22"/>
  <c r="E19" i="22"/>
  <c r="M18" i="22"/>
  <c r="E18" i="22"/>
  <c r="M17" i="22"/>
  <c r="M9" i="13" l="1"/>
  <c r="E9" i="13"/>
  <c r="M8" i="13"/>
  <c r="E8" i="13"/>
  <c r="M7" i="13"/>
  <c r="M9" i="12" l="1"/>
  <c r="E9" i="12" l="1"/>
  <c r="M8" i="12"/>
  <c r="E8" i="12"/>
  <c r="M7" i="12"/>
</calcChain>
</file>

<file path=xl/sharedStrings.xml><?xml version="1.0" encoding="utf-8"?>
<sst xmlns="http://schemas.openxmlformats.org/spreadsheetml/2006/main" count="205" uniqueCount="105">
  <si>
    <t>_Chainage</t>
  </si>
  <si>
    <t>_Numero</t>
  </si>
  <si>
    <t>.2_D0000</t>
  </si>
  <si>
    <t>.2_D0200</t>
  </si>
  <si>
    <t>.2_D0300</t>
  </si>
  <si>
    <t>.2_D0600</t>
  </si>
  <si>
    <t>.2_D0900</t>
  </si>
  <si>
    <t>.2_D1200</t>
  </si>
  <si>
    <t>.2_D1500</t>
  </si>
  <si>
    <t>.2_D2100</t>
  </si>
  <si>
    <t>Essais relatifs aux chaussées</t>
  </si>
  <si>
    <t>Nom chantier :</t>
  </si>
  <si>
    <t>Localisation :</t>
  </si>
  <si>
    <t>N° de dossier :</t>
  </si>
  <si>
    <t>Demandeur :</t>
  </si>
  <si>
    <t>Matériel utilisé :</t>
  </si>
  <si>
    <t>T°C moyenne du support :</t>
  </si>
  <si>
    <t>IMPLANTATIONS DES ESSAIS</t>
  </si>
  <si>
    <t xml:space="preserve">Page </t>
  </si>
  <si>
    <t>Commentaires :</t>
  </si>
  <si>
    <t>Responsable des essais :</t>
  </si>
  <si>
    <t>Validation :</t>
  </si>
  <si>
    <t>N° point</t>
  </si>
  <si>
    <t>Longitude</t>
  </si>
  <si>
    <t>Latitude</t>
  </si>
  <si>
    <t>.2_ForceMax</t>
  </si>
  <si>
    <t>.2_D1800</t>
  </si>
  <si>
    <t>_Longitude</t>
  </si>
  <si>
    <t>_Latitude</t>
  </si>
  <si>
    <t>SCHEMA ITINERAIRE</t>
  </si>
  <si>
    <t>Rayon courbure (m)</t>
  </si>
  <si>
    <t>SYNTHESE DES RESULTATS</t>
  </si>
  <si>
    <t>Nombre d'essais :</t>
  </si>
  <si>
    <t>Etat du support / dégradations</t>
  </si>
  <si>
    <t>Charge appliquée moyenne (kN) :</t>
  </si>
  <si>
    <t>Date des essais :</t>
  </si>
  <si>
    <t>Conditions climatiques :</t>
  </si>
  <si>
    <t>MESURES DE DEFLEXION</t>
  </si>
  <si>
    <t>Déflexion caractéristique (dc = m + 2s) :</t>
  </si>
  <si>
    <r>
      <t>Ecart-type (</t>
    </r>
    <r>
      <rPr>
        <sz val="11"/>
        <color indexed="8"/>
        <rFont val="Calibri"/>
        <family val="2"/>
        <scheme val="minor"/>
      </rPr>
      <t>s) :</t>
    </r>
  </si>
  <si>
    <r>
      <t>d</t>
    </r>
    <r>
      <rPr>
        <vertAlign val="subscript"/>
        <sz val="8"/>
        <rFont val="Calibri"/>
        <family val="2"/>
        <scheme val="minor"/>
      </rPr>
      <t>(0)</t>
    </r>
  </si>
  <si>
    <r>
      <rPr>
        <vertAlign val="subscript"/>
        <sz val="8"/>
        <rFont val="Calibri"/>
        <family val="2"/>
        <scheme val="minor"/>
      </rPr>
      <t xml:space="preserve"> </t>
    </r>
    <r>
      <rPr>
        <sz val="8"/>
        <rFont val="Calibri"/>
        <family val="2"/>
        <scheme val="minor"/>
      </rPr>
      <t>d</t>
    </r>
    <r>
      <rPr>
        <vertAlign val="subscript"/>
        <sz val="8"/>
        <rFont val="Calibri"/>
        <family val="2"/>
        <scheme val="minor"/>
      </rPr>
      <t>(200)</t>
    </r>
  </si>
  <si>
    <r>
      <t>d</t>
    </r>
    <r>
      <rPr>
        <vertAlign val="subscript"/>
        <sz val="8"/>
        <rFont val="Calibri"/>
        <family val="2"/>
        <scheme val="minor"/>
      </rPr>
      <t>(300)</t>
    </r>
  </si>
  <si>
    <r>
      <t>d</t>
    </r>
    <r>
      <rPr>
        <vertAlign val="subscript"/>
        <sz val="8"/>
        <rFont val="Calibri"/>
        <family val="2"/>
        <scheme val="minor"/>
      </rPr>
      <t>(600)</t>
    </r>
  </si>
  <si>
    <r>
      <t>d</t>
    </r>
    <r>
      <rPr>
        <vertAlign val="subscript"/>
        <sz val="8"/>
        <rFont val="Calibri"/>
        <family val="2"/>
        <scheme val="minor"/>
      </rPr>
      <t>(900)</t>
    </r>
  </si>
  <si>
    <r>
      <rPr>
        <vertAlign val="subscript"/>
        <sz val="8"/>
        <rFont val="Calibri"/>
        <family val="2"/>
        <scheme val="minor"/>
      </rPr>
      <t xml:space="preserve"> </t>
    </r>
    <r>
      <rPr>
        <sz val="8"/>
        <rFont val="Calibri"/>
        <family val="2"/>
        <scheme val="minor"/>
      </rPr>
      <t>d</t>
    </r>
    <r>
      <rPr>
        <vertAlign val="subscript"/>
        <sz val="8"/>
        <rFont val="Calibri"/>
        <family val="2"/>
        <scheme val="minor"/>
      </rPr>
      <t>(1200)</t>
    </r>
  </si>
  <si>
    <r>
      <rPr>
        <vertAlign val="subscript"/>
        <sz val="8"/>
        <rFont val="Calibri"/>
        <family val="2"/>
        <scheme val="minor"/>
      </rPr>
      <t xml:space="preserve"> </t>
    </r>
    <r>
      <rPr>
        <sz val="8"/>
        <rFont val="Calibri"/>
        <family val="2"/>
        <scheme val="minor"/>
      </rPr>
      <t>d</t>
    </r>
    <r>
      <rPr>
        <vertAlign val="subscript"/>
        <sz val="8"/>
        <rFont val="Calibri"/>
        <family val="2"/>
        <scheme val="minor"/>
      </rPr>
      <t>(1500)</t>
    </r>
  </si>
  <si>
    <r>
      <t>d</t>
    </r>
    <r>
      <rPr>
        <vertAlign val="subscript"/>
        <sz val="8"/>
        <rFont val="Calibri"/>
        <family val="2"/>
        <scheme val="minor"/>
      </rPr>
      <t>(1800)</t>
    </r>
  </si>
  <si>
    <t>INFORMATIONS GENERALES</t>
  </si>
  <si>
    <t>Réseau de Laboratoires d'Essais et d'Analyses</t>
  </si>
  <si>
    <t>www.rincent.fr</t>
  </si>
  <si>
    <t>Technicien de Laboratoire</t>
  </si>
  <si>
    <t>Procès-Verbal d'essais de déflexion sur chaussée</t>
  </si>
  <si>
    <t>Déflexion au déflectomètre à masse tombante (FWD)</t>
  </si>
  <si>
    <t>Client :</t>
  </si>
  <si>
    <t>Date du rapport :</t>
  </si>
  <si>
    <t>Rincent Laboratoires</t>
  </si>
  <si>
    <t>4b rue du Bois Briard - 91080 Courcouronnes</t>
  </si>
  <si>
    <t>Chainage (m)</t>
  </si>
  <si>
    <r>
      <t>d</t>
    </r>
    <r>
      <rPr>
        <vertAlign val="subscript"/>
        <sz val="8"/>
        <rFont val="Calibri"/>
        <family val="2"/>
        <scheme val="minor"/>
      </rPr>
      <t>(-300)</t>
    </r>
  </si>
  <si>
    <t>.2_D_0300</t>
  </si>
  <si>
    <t>Deflexion (um)</t>
  </si>
  <si>
    <r>
      <t>D</t>
    </r>
    <r>
      <rPr>
        <vertAlign val="subscript"/>
        <sz val="11"/>
        <rFont val="Calibri"/>
        <family val="2"/>
        <scheme val="minor"/>
      </rPr>
      <t>0</t>
    </r>
    <r>
      <rPr>
        <sz val="11"/>
        <rFont val="Calibri"/>
        <family val="2"/>
        <scheme val="minor"/>
      </rPr>
      <t xml:space="preserve"> max (um) :</t>
    </r>
  </si>
  <si>
    <r>
      <t>D</t>
    </r>
    <r>
      <rPr>
        <vertAlign val="subscript"/>
        <sz val="11"/>
        <rFont val="Calibri"/>
        <family val="2"/>
        <scheme val="minor"/>
      </rPr>
      <t>0</t>
    </r>
    <r>
      <rPr>
        <sz val="11"/>
        <rFont val="Calibri"/>
        <family val="2"/>
        <scheme val="minor"/>
      </rPr>
      <t xml:space="preserve"> moyen (um) :</t>
    </r>
  </si>
  <si>
    <r>
      <t>D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min (um) :</t>
    </r>
  </si>
  <si>
    <t>Rc</t>
  </si>
  <si>
    <t>Pression (MPa)</t>
  </si>
  <si>
    <t>Charge (kN)</t>
  </si>
  <si>
    <t>Chargement</t>
  </si>
  <si>
    <t>.2_PulseTime</t>
  </si>
  <si>
    <t>Temps impact (ms)</t>
  </si>
  <si>
    <t>Localisation</t>
  </si>
  <si>
    <t>Couche :</t>
  </si>
  <si>
    <t>LOCALISATION</t>
  </si>
  <si>
    <t>Voie :</t>
  </si>
  <si>
    <t>Sens :</t>
  </si>
  <si>
    <t>MATERIEL</t>
  </si>
  <si>
    <t>PLATEFORME</t>
  </si>
  <si>
    <t>Ouvrage :</t>
  </si>
  <si>
    <t>Partie ouvrage :</t>
  </si>
  <si>
    <t>Date de calibration :</t>
  </si>
  <si>
    <t>Matériau :</t>
  </si>
  <si>
    <t>Type :</t>
  </si>
  <si>
    <t>Etat du support :</t>
  </si>
  <si>
    <t>Diamètre plaque :</t>
  </si>
  <si>
    <t>T°C moyenne de l'air :</t>
  </si>
  <si>
    <t>Pression appliquée moyenne (MPa) :</t>
  </si>
  <si>
    <r>
      <t>d</t>
    </r>
    <r>
      <rPr>
        <vertAlign val="subscript"/>
        <sz val="8"/>
        <rFont val="Calibri"/>
        <family val="2"/>
        <scheme val="minor"/>
      </rPr>
      <t>(2100)</t>
    </r>
  </si>
  <si>
    <t>Valeur force corrigée à :</t>
  </si>
  <si>
    <t>kN</t>
  </si>
  <si>
    <t>Force</t>
  </si>
  <si>
    <t>Ratio</t>
  </si>
  <si>
    <t>d_300</t>
  </si>
  <si>
    <t>d0</t>
  </si>
  <si>
    <t>d200</t>
  </si>
  <si>
    <t>d300</t>
  </si>
  <si>
    <t>d600</t>
  </si>
  <si>
    <t>d900</t>
  </si>
  <si>
    <t>d1200</t>
  </si>
  <si>
    <t>d1500</t>
  </si>
  <si>
    <t>d1800</t>
  </si>
  <si>
    <t>d2100</t>
  </si>
  <si>
    <t>Numero</t>
  </si>
  <si>
    <t>Chainage</t>
  </si>
  <si>
    <t>Timpact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</si>
</sst>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00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6"/>
      <color theme="8"/>
      <name val="Arial"/>
      <family val="2"/>
    </font>
    <font>
      <sz val="20"/>
      <color theme="1"/>
      <name val="Arial"/>
      <family val="2"/>
    </font>
    <font>
      <sz val="12"/>
      <color theme="1"/>
      <name val="Arial"/>
      <family val="2"/>
    </font>
    <font>
      <b/>
      <sz val="12"/>
      <name val="Arial"/>
      <family val="2"/>
    </font>
    <font>
      <sz val="11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8"/>
      <name val="Calibri"/>
      <family val="2"/>
      <scheme val="minor"/>
    </font>
    <font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0"/>
      <name val="Calibri"/>
      <family val="2"/>
      <scheme val="minor"/>
    </font>
    <font>
      <sz val="8"/>
      <name val="Calibri"/>
      <family val="2"/>
      <scheme val="minor"/>
    </font>
    <font>
      <vertAlign val="subscript"/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vertAlign val="subscript"/>
      <sz val="8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rgb="FF0070C0"/>
      <name val="Calibri"/>
      <family val="2"/>
      <scheme val="minor"/>
    </font>
    <font>
      <b/>
      <sz val="8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7030A0"/>
      <name val="Calibri"/>
      <family val="2"/>
      <scheme val="minor"/>
    </font>
    <font>
      <sz val="9"/>
      <color theme="8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4" tint="0.79998168889431442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/>
      <right/>
      <top style="thin">
        <color theme="5"/>
      </top>
      <bottom style="thin">
        <color theme="5"/>
      </bottom>
      <diagonal/>
    </border>
    <border>
      <left/>
      <right style="thin">
        <color theme="5"/>
      </right>
      <top style="thin">
        <color theme="5"/>
      </top>
      <bottom style="thin">
        <color theme="5"/>
      </bottom>
      <diagonal/>
    </border>
    <border>
      <left/>
      <right style="thin">
        <color theme="5"/>
      </right>
      <top/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/>
      <top style="thin">
        <color theme="5"/>
      </top>
      <bottom/>
      <diagonal/>
    </border>
    <border>
      <left/>
      <right style="thin">
        <color theme="5"/>
      </right>
      <top style="thin">
        <color theme="5"/>
      </top>
      <bottom/>
      <diagonal/>
    </border>
    <border>
      <left style="thin">
        <color theme="5"/>
      </left>
      <right/>
      <top/>
      <bottom/>
      <diagonal/>
    </border>
    <border>
      <left style="thin">
        <color theme="5"/>
      </left>
      <right/>
      <top/>
      <bottom style="thin">
        <color theme="5"/>
      </bottom>
      <diagonal/>
    </border>
    <border>
      <left/>
      <right/>
      <top/>
      <bottom style="thin">
        <color theme="5"/>
      </bottom>
      <diagonal/>
    </border>
    <border>
      <left/>
      <right style="thin">
        <color theme="5"/>
      </right>
      <top/>
      <bottom style="thin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theme="5"/>
      </left>
      <right/>
      <top style="thin">
        <color theme="5"/>
      </top>
      <bottom style="thin">
        <color theme="5"/>
      </bottom>
      <diagonal/>
    </border>
    <border>
      <left/>
      <right style="medium">
        <color theme="5"/>
      </right>
      <top style="thin">
        <color theme="5"/>
      </top>
      <bottom style="thin">
        <color theme="5"/>
      </bottom>
      <diagonal/>
    </border>
    <border>
      <left style="medium">
        <color theme="5"/>
      </left>
      <right style="thin">
        <color theme="5"/>
      </right>
      <top style="thin">
        <color theme="5"/>
      </top>
      <bottom/>
      <diagonal/>
    </border>
    <border>
      <left style="thin">
        <color theme="5"/>
      </left>
      <right style="medium">
        <color theme="5"/>
      </right>
      <top style="thin">
        <color theme="5"/>
      </top>
      <bottom/>
      <diagonal/>
    </border>
    <border>
      <left style="medium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 style="medium">
        <color theme="5"/>
      </right>
      <top style="thin">
        <color theme="5"/>
      </top>
      <bottom style="thin">
        <color theme="5"/>
      </bottom>
      <diagonal/>
    </border>
  </borders>
  <cellStyleXfs count="3">
    <xf numFmtId="0" fontId="0" fillId="0" borderId="0"/>
    <xf numFmtId="0" fontId="4" fillId="0" borderId="0"/>
    <xf numFmtId="0" fontId="29" fillId="0" borderId="0" applyNumberFormat="0" applyFill="0" applyBorder="0" applyAlignment="0" applyProtection="0"/>
  </cellStyleXfs>
  <cellXfs count="245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 applyAlignment="1">
      <alignment vertical="top"/>
    </xf>
    <xf numFmtId="0" fontId="3" fillId="2" borderId="0" xfId="0" applyFont="1" applyFill="1"/>
    <xf numFmtId="0" fontId="1" fillId="0" borderId="0" xfId="0" applyFont="1"/>
    <xf numFmtId="0" fontId="6" fillId="2" borderId="0" xfId="0" applyFont="1" applyFill="1"/>
    <xf numFmtId="0" fontId="7" fillId="2" borderId="0" xfId="0" applyFont="1" applyFill="1"/>
    <xf numFmtId="0" fontId="2" fillId="2" borderId="0" xfId="0" applyFont="1" applyFill="1" applyAlignment="1">
      <alignment horizontal="right"/>
    </xf>
    <xf numFmtId="0" fontId="8" fillId="2" borderId="5" xfId="0" applyFont="1" applyFill="1" applyBorder="1" applyAlignment="1">
      <alignment vertical="center" wrapText="1"/>
    </xf>
    <xf numFmtId="0" fontId="1" fillId="2" borderId="6" xfId="0" applyFont="1" applyFill="1" applyBorder="1"/>
    <xf numFmtId="0" fontId="1" fillId="2" borderId="7" xfId="0" applyFont="1" applyFill="1" applyBorder="1"/>
    <xf numFmtId="0" fontId="1" fillId="2" borderId="7" xfId="0" applyFont="1" applyFill="1" applyBorder="1" applyAlignment="1">
      <alignment horizontal="right"/>
    </xf>
    <xf numFmtId="0" fontId="1" fillId="2" borderId="0" xfId="0" applyFont="1" applyFill="1" applyAlignment="1">
      <alignment horizontal="right"/>
    </xf>
    <xf numFmtId="0" fontId="1" fillId="2" borderId="11" xfId="0" applyFont="1" applyFill="1" applyBorder="1" applyAlignment="1">
      <alignment horizontal="right"/>
    </xf>
    <xf numFmtId="0" fontId="2" fillId="2" borderId="0" xfId="0" applyFont="1" applyFill="1" applyAlignment="1">
      <alignment horizontal="center"/>
    </xf>
    <xf numFmtId="0" fontId="4" fillId="2" borderId="0" xfId="0" applyFont="1" applyFill="1" applyAlignment="1">
      <alignment horizontal="left" vertical="top"/>
    </xf>
    <xf numFmtId="0" fontId="1" fillId="2" borderId="7" xfId="0" applyFont="1" applyFill="1" applyBorder="1" applyAlignment="1">
      <alignment vertical="top"/>
    </xf>
    <xf numFmtId="0" fontId="9" fillId="2" borderId="9" xfId="0" applyFont="1" applyFill="1" applyBorder="1"/>
    <xf numFmtId="0" fontId="9" fillId="2" borderId="0" xfId="0" applyFont="1" applyFill="1"/>
    <xf numFmtId="0" fontId="9" fillId="2" borderId="0" xfId="0" applyFont="1" applyFill="1" applyAlignment="1">
      <alignment vertical="top"/>
    </xf>
    <xf numFmtId="0" fontId="1" fillId="2" borderId="0" xfId="0" applyFont="1" applyFill="1" applyAlignment="1">
      <alignment horizontal="left" vertical="top"/>
    </xf>
    <xf numFmtId="0" fontId="9" fillId="2" borderId="10" xfId="0" applyFont="1" applyFill="1" applyBorder="1"/>
    <xf numFmtId="0" fontId="9" fillId="2" borderId="11" xfId="0" applyFont="1" applyFill="1" applyBorder="1"/>
    <xf numFmtId="14" fontId="1" fillId="2" borderId="11" xfId="0" applyNumberFormat="1" applyFont="1" applyFill="1" applyBorder="1" applyAlignment="1">
      <alignment vertical="top"/>
    </xf>
    <xf numFmtId="0" fontId="1" fillId="2" borderId="0" xfId="0" applyFont="1" applyFill="1" applyAlignment="1">
      <alignment horizontal="center"/>
    </xf>
    <xf numFmtId="0" fontId="5" fillId="2" borderId="0" xfId="0" applyFont="1" applyFill="1" applyAlignment="1">
      <alignment horizontal="right" vertical="top"/>
    </xf>
    <xf numFmtId="2" fontId="3" fillId="2" borderId="0" xfId="1" applyNumberFormat="1" applyFont="1" applyFill="1" applyAlignment="1">
      <alignment horizontal="right"/>
    </xf>
    <xf numFmtId="0" fontId="8" fillId="2" borderId="7" xfId="0" applyFont="1" applyFill="1" applyBorder="1" applyAlignment="1">
      <alignment horizontal="center" vertical="center"/>
    </xf>
    <xf numFmtId="0" fontId="10" fillId="2" borderId="0" xfId="0" applyFont="1" applyFill="1"/>
    <xf numFmtId="0" fontId="0" fillId="2" borderId="0" xfId="0" applyFill="1"/>
    <xf numFmtId="0" fontId="12" fillId="2" borderId="0" xfId="0" applyFont="1" applyFill="1" applyAlignment="1">
      <alignment horizontal="right" vertical="top"/>
    </xf>
    <xf numFmtId="0" fontId="14" fillId="2" borderId="0" xfId="0" applyFont="1" applyFill="1"/>
    <xf numFmtId="0" fontId="15" fillId="2" borderId="0" xfId="0" applyFont="1" applyFill="1" applyAlignment="1">
      <alignment horizontal="right"/>
    </xf>
    <xf numFmtId="0" fontId="15" fillId="2" borderId="0" xfId="0" applyFont="1" applyFill="1" applyAlignment="1">
      <alignment horizontal="center"/>
    </xf>
    <xf numFmtId="14" fontId="15" fillId="2" borderId="0" xfId="0" applyNumberFormat="1" applyFont="1" applyFill="1" applyAlignment="1">
      <alignment horizontal="right"/>
    </xf>
    <xf numFmtId="0" fontId="11" fillId="2" borderId="0" xfId="0" applyFont="1" applyFill="1" applyAlignment="1">
      <alignment vertical="center" wrapText="1"/>
    </xf>
    <xf numFmtId="0" fontId="19" fillId="2" borderId="0" xfId="0" applyFont="1" applyFill="1" applyAlignment="1">
      <alignment horizontal="left" vertical="top"/>
    </xf>
    <xf numFmtId="0" fontId="0" fillId="2" borderId="6" xfId="0" applyFill="1" applyBorder="1"/>
    <xf numFmtId="0" fontId="0" fillId="2" borderId="7" xfId="0" applyFill="1" applyBorder="1"/>
    <xf numFmtId="0" fontId="0" fillId="2" borderId="7" xfId="0" applyFill="1" applyBorder="1" applyAlignment="1">
      <alignment horizontal="right"/>
    </xf>
    <xf numFmtId="0" fontId="0" fillId="2" borderId="7" xfId="0" applyFill="1" applyBorder="1" applyAlignment="1">
      <alignment vertical="top"/>
    </xf>
    <xf numFmtId="0" fontId="10" fillId="2" borderId="9" xfId="0" applyFont="1" applyFill="1" applyBorder="1"/>
    <xf numFmtId="0" fontId="10" fillId="2" borderId="0" xfId="0" applyFont="1" applyFill="1" applyAlignment="1">
      <alignment vertical="top"/>
    </xf>
    <xf numFmtId="0" fontId="10" fillId="2" borderId="10" xfId="0" applyFont="1" applyFill="1" applyBorder="1"/>
    <xf numFmtId="0" fontId="10" fillId="2" borderId="11" xfId="0" applyFont="1" applyFill="1" applyBorder="1"/>
    <xf numFmtId="0" fontId="0" fillId="2" borderId="11" xfId="0" applyFill="1" applyBorder="1" applyAlignment="1">
      <alignment horizontal="right"/>
    </xf>
    <xf numFmtId="14" fontId="0" fillId="2" borderId="11" xfId="0" applyNumberFormat="1" applyFill="1" applyBorder="1" applyAlignment="1">
      <alignment vertical="top"/>
    </xf>
    <xf numFmtId="0" fontId="0" fillId="2" borderId="0" xfId="0" applyFill="1" applyAlignment="1">
      <alignment vertical="top"/>
    </xf>
    <xf numFmtId="0" fontId="20" fillId="2" borderId="0" xfId="0" applyFont="1" applyFill="1"/>
    <xf numFmtId="0" fontId="20" fillId="2" borderId="0" xfId="0" applyFont="1" applyFill="1" applyAlignment="1">
      <alignment horizontal="left"/>
    </xf>
    <xf numFmtId="0" fontId="20" fillId="2" borderId="0" xfId="0" applyFont="1" applyFill="1" applyAlignment="1">
      <alignment vertical="top"/>
    </xf>
    <xf numFmtId="0" fontId="0" fillId="2" borderId="0" xfId="0" applyFill="1" applyAlignment="1">
      <alignment wrapText="1"/>
    </xf>
    <xf numFmtId="0" fontId="10" fillId="2" borderId="7" xfId="0" applyFont="1" applyFill="1" applyBorder="1"/>
    <xf numFmtId="14" fontId="0" fillId="2" borderId="7" xfId="0" applyNumberFormat="1" applyFill="1" applyBorder="1" applyAlignment="1">
      <alignment horizontal="left" vertical="top"/>
    </xf>
    <xf numFmtId="14" fontId="0" fillId="2" borderId="7" xfId="0" applyNumberFormat="1" applyFill="1" applyBorder="1" applyAlignment="1">
      <alignment vertical="top"/>
    </xf>
    <xf numFmtId="0" fontId="10" fillId="2" borderId="7" xfId="0" applyFont="1" applyFill="1" applyBorder="1" applyAlignment="1">
      <alignment horizontal="left" vertical="top"/>
    </xf>
    <xf numFmtId="0" fontId="10" fillId="2" borderId="0" xfId="0" applyFont="1" applyFill="1" applyAlignment="1">
      <alignment horizontal="right" vertical="top"/>
    </xf>
    <xf numFmtId="0" fontId="20" fillId="2" borderId="0" xfId="0" applyFont="1" applyFill="1" applyAlignment="1">
      <alignment vertical="center"/>
    </xf>
    <xf numFmtId="0" fontId="0" fillId="2" borderId="9" xfId="0" applyFill="1" applyBorder="1" applyAlignment="1">
      <alignment vertical="center"/>
    </xf>
    <xf numFmtId="0" fontId="0" fillId="2" borderId="0" xfId="0" applyFill="1" applyAlignment="1">
      <alignment vertical="center"/>
    </xf>
    <xf numFmtId="0" fontId="10" fillId="2" borderId="0" xfId="0" applyFont="1" applyFill="1" applyAlignment="1">
      <alignment horizontal="right" vertical="center"/>
    </xf>
    <xf numFmtId="164" fontId="0" fillId="2" borderId="0" xfId="0" applyNumberFormat="1" applyFill="1" applyAlignment="1">
      <alignment horizontal="left" vertical="center"/>
    </xf>
    <xf numFmtId="0" fontId="0" fillId="2" borderId="0" xfId="0" applyFill="1" applyAlignment="1">
      <alignment horizontal="left" vertical="center"/>
    </xf>
    <xf numFmtId="164" fontId="0" fillId="2" borderId="0" xfId="0" applyNumberFormat="1" applyFill="1" applyAlignment="1">
      <alignment vertical="center"/>
    </xf>
    <xf numFmtId="164" fontId="0" fillId="2" borderId="5" xfId="0" applyNumberFormat="1" applyFill="1" applyBorder="1" applyAlignment="1">
      <alignment vertical="center"/>
    </xf>
    <xf numFmtId="0" fontId="0" fillId="0" borderId="0" xfId="0" applyAlignment="1">
      <alignment vertical="center"/>
    </xf>
    <xf numFmtId="0" fontId="10" fillId="2" borderId="9" xfId="0" applyFont="1" applyFill="1" applyBorder="1" applyAlignment="1">
      <alignment vertical="center"/>
    </xf>
    <xf numFmtId="0" fontId="10" fillId="2" borderId="0" xfId="0" applyFont="1" applyFill="1" applyAlignment="1">
      <alignment vertical="center"/>
    </xf>
    <xf numFmtId="0" fontId="0" fillId="2" borderId="0" xfId="0" applyFill="1" applyAlignment="1">
      <alignment horizontal="right" vertical="center"/>
    </xf>
    <xf numFmtId="0" fontId="10" fillId="2" borderId="10" xfId="0" applyFont="1" applyFill="1" applyBorder="1" applyAlignment="1">
      <alignment vertical="center"/>
    </xf>
    <xf numFmtId="0" fontId="10" fillId="2" borderId="11" xfId="0" applyFont="1" applyFill="1" applyBorder="1" applyAlignment="1">
      <alignment vertical="center"/>
    </xf>
    <xf numFmtId="0" fontId="0" fillId="2" borderId="11" xfId="0" applyFill="1" applyBorder="1" applyAlignment="1">
      <alignment horizontal="right" vertical="center"/>
    </xf>
    <xf numFmtId="164" fontId="10" fillId="2" borderId="11" xfId="0" applyNumberFormat="1" applyFont="1" applyFill="1" applyBorder="1" applyAlignment="1">
      <alignment horizontal="left" vertical="center"/>
    </xf>
    <xf numFmtId="0" fontId="10" fillId="2" borderId="11" xfId="0" applyFont="1" applyFill="1" applyBorder="1" applyAlignment="1">
      <alignment horizontal="left" vertical="center"/>
    </xf>
    <xf numFmtId="0" fontId="0" fillId="2" borderId="11" xfId="0" applyFill="1" applyBorder="1" applyAlignment="1">
      <alignment horizontal="left" vertical="center"/>
    </xf>
    <xf numFmtId="0" fontId="10" fillId="2" borderId="11" xfId="0" applyFont="1" applyFill="1" applyBorder="1" applyAlignment="1">
      <alignment vertical="top"/>
    </xf>
    <xf numFmtId="0" fontId="0" fillId="2" borderId="11" xfId="0" applyFill="1" applyBorder="1"/>
    <xf numFmtId="0" fontId="20" fillId="2" borderId="13" xfId="0" applyFont="1" applyFill="1" applyBorder="1" applyAlignment="1">
      <alignment horizontal="center" vertical="center" wrapText="1"/>
    </xf>
    <xf numFmtId="1" fontId="15" fillId="2" borderId="4" xfId="0" applyNumberFormat="1" applyFont="1" applyFill="1" applyBorder="1" applyAlignment="1">
      <alignment horizontal="center"/>
    </xf>
    <xf numFmtId="1" fontId="15" fillId="2" borderId="13" xfId="0" applyNumberFormat="1" applyFont="1" applyFill="1" applyBorder="1" applyAlignment="1">
      <alignment horizontal="center"/>
    </xf>
    <xf numFmtId="164" fontId="15" fillId="2" borderId="0" xfId="0" applyNumberFormat="1" applyFont="1" applyFill="1" applyAlignment="1">
      <alignment horizontal="center"/>
    </xf>
    <xf numFmtId="0" fontId="25" fillId="2" borderId="6" xfId="0" applyFont="1" applyFill="1" applyBorder="1"/>
    <xf numFmtId="0" fontId="25" fillId="2" borderId="7" xfId="0" applyFont="1" applyFill="1" applyBorder="1"/>
    <xf numFmtId="0" fontId="0" fillId="2" borderId="12" xfId="0" applyFill="1" applyBorder="1"/>
    <xf numFmtId="0" fontId="18" fillId="2" borderId="0" xfId="0" applyFont="1" applyFill="1" applyAlignment="1">
      <alignment vertical="center" wrapText="1"/>
    </xf>
    <xf numFmtId="0" fontId="0" fillId="2" borderId="9" xfId="0" applyFill="1" applyBorder="1"/>
    <xf numFmtId="0" fontId="0" fillId="2" borderId="0" xfId="0" applyFill="1" applyAlignment="1">
      <alignment horizontal="left" vertical="top" wrapText="1"/>
    </xf>
    <xf numFmtId="0" fontId="25" fillId="2" borderId="7" xfId="0" applyFont="1" applyFill="1" applyBorder="1" applyAlignment="1">
      <alignment horizontal="right"/>
    </xf>
    <xf numFmtId="0" fontId="0" fillId="2" borderId="0" xfId="0" applyFill="1" applyAlignment="1">
      <alignment horizontal="right"/>
    </xf>
    <xf numFmtId="0" fontId="0" fillId="2" borderId="5" xfId="0" applyFill="1" applyBorder="1" applyAlignment="1">
      <alignment horizontal="right"/>
    </xf>
    <xf numFmtId="0" fontId="15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/>
    </xf>
    <xf numFmtId="164" fontId="15" fillId="2" borderId="2" xfId="0" applyNumberFormat="1" applyFont="1" applyFill="1" applyBorder="1" applyAlignment="1">
      <alignment horizontal="center"/>
    </xf>
    <xf numFmtId="164" fontId="15" fillId="2" borderId="3" xfId="0" applyNumberFormat="1" applyFont="1" applyFill="1" applyBorder="1" applyAlignment="1">
      <alignment horizontal="center"/>
    </xf>
    <xf numFmtId="164" fontId="15" fillId="2" borderId="4" xfId="0" applyNumberFormat="1" applyFont="1" applyFill="1" applyBorder="1" applyAlignment="1">
      <alignment horizontal="center"/>
    </xf>
    <xf numFmtId="0" fontId="10" fillId="2" borderId="0" xfId="0" applyFont="1" applyFill="1" applyBorder="1" applyAlignment="1">
      <alignment vertical="center"/>
    </xf>
    <xf numFmtId="0" fontId="0" fillId="2" borderId="0" xfId="0" applyFill="1" applyBorder="1" applyAlignment="1">
      <alignment horizontal="right" vertical="center"/>
    </xf>
    <xf numFmtId="164" fontId="10" fillId="2" borderId="0" xfId="0" applyNumberFormat="1" applyFont="1" applyFill="1" applyBorder="1" applyAlignment="1">
      <alignment horizontal="left" vertical="center"/>
    </xf>
    <xf numFmtId="0" fontId="10" fillId="2" borderId="0" xfId="0" applyFont="1" applyFill="1" applyBorder="1" applyAlignment="1">
      <alignment horizontal="left" vertical="center"/>
    </xf>
    <xf numFmtId="0" fontId="0" fillId="2" borderId="0" xfId="0" applyFill="1" applyBorder="1" applyAlignment="1">
      <alignment horizontal="left" vertical="center"/>
    </xf>
    <xf numFmtId="0" fontId="10" fillId="2" borderId="7" xfId="0" applyFont="1" applyFill="1" applyBorder="1" applyAlignment="1">
      <alignment vertical="center"/>
    </xf>
    <xf numFmtId="0" fontId="0" fillId="2" borderId="7" xfId="0" applyFill="1" applyBorder="1" applyAlignment="1">
      <alignment horizontal="right" vertical="center"/>
    </xf>
    <xf numFmtId="164" fontId="10" fillId="2" borderId="7" xfId="0" applyNumberFormat="1" applyFont="1" applyFill="1" applyBorder="1" applyAlignment="1">
      <alignment horizontal="left" vertical="center"/>
    </xf>
    <xf numFmtId="0" fontId="10" fillId="2" borderId="7" xfId="0" applyFont="1" applyFill="1" applyBorder="1" applyAlignment="1">
      <alignment horizontal="left" vertical="center"/>
    </xf>
    <xf numFmtId="0" fontId="0" fillId="2" borderId="7" xfId="0" applyFill="1" applyBorder="1" applyAlignment="1">
      <alignment horizontal="left" vertical="center"/>
    </xf>
    <xf numFmtId="0" fontId="10" fillId="2" borderId="0" xfId="0" applyFont="1" applyFill="1" applyBorder="1"/>
    <xf numFmtId="0" fontId="0" fillId="2" borderId="0" xfId="0" applyFill="1" applyBorder="1" applyAlignment="1">
      <alignment horizontal="right"/>
    </xf>
    <xf numFmtId="0" fontId="10" fillId="2" borderId="0" xfId="0" applyFont="1" applyFill="1" applyBorder="1" applyAlignment="1">
      <alignment vertical="top"/>
    </xf>
    <xf numFmtId="0" fontId="0" fillId="2" borderId="0" xfId="0" applyFill="1" applyBorder="1" applyAlignment="1">
      <alignment horizontal="left" vertical="top"/>
    </xf>
    <xf numFmtId="0" fontId="0" fillId="2" borderId="0" xfId="0" applyFill="1" applyBorder="1"/>
    <xf numFmtId="0" fontId="0" fillId="2" borderId="0" xfId="0" applyFill="1" applyBorder="1" applyAlignment="1">
      <alignment vertical="top"/>
    </xf>
    <xf numFmtId="0" fontId="0" fillId="2" borderId="0" xfId="0" applyFill="1" applyAlignment="1"/>
    <xf numFmtId="0" fontId="15" fillId="2" borderId="0" xfId="0" applyFont="1" applyFill="1" applyAlignment="1">
      <alignment horizontal="center"/>
    </xf>
    <xf numFmtId="164" fontId="15" fillId="2" borderId="2" xfId="0" applyNumberFormat="1" applyFont="1" applyFill="1" applyBorder="1" applyAlignment="1">
      <alignment horizontal="center"/>
    </xf>
    <xf numFmtId="164" fontId="15" fillId="2" borderId="3" xfId="0" applyNumberFormat="1" applyFont="1" applyFill="1" applyBorder="1" applyAlignment="1">
      <alignment horizontal="center"/>
    </xf>
    <xf numFmtId="164" fontId="15" fillId="2" borderId="4" xfId="0" applyNumberFormat="1" applyFont="1" applyFill="1" applyBorder="1" applyAlignment="1">
      <alignment horizontal="center"/>
    </xf>
    <xf numFmtId="1" fontId="15" fillId="2" borderId="0" xfId="0" applyNumberFormat="1" applyFont="1" applyFill="1" applyBorder="1" applyAlignment="1">
      <alignment horizontal="center"/>
    </xf>
    <xf numFmtId="165" fontId="15" fillId="2" borderId="0" xfId="0" applyNumberFormat="1" applyFont="1" applyFill="1" applyBorder="1" applyAlignment="1">
      <alignment horizontal="center"/>
    </xf>
    <xf numFmtId="164" fontId="15" fillId="2" borderId="0" xfId="0" applyNumberFormat="1" applyFont="1" applyFill="1" applyBorder="1" applyAlignment="1">
      <alignment horizontal="center"/>
    </xf>
    <xf numFmtId="0" fontId="0" fillId="2" borderId="1" xfId="0" applyFill="1" applyBorder="1" applyAlignment="1"/>
    <xf numFmtId="0" fontId="31" fillId="2" borderId="0" xfId="0" applyFont="1" applyFill="1" applyBorder="1" applyAlignment="1"/>
    <xf numFmtId="0" fontId="0" fillId="2" borderId="1" xfId="0" applyFill="1" applyBorder="1"/>
    <xf numFmtId="0" fontId="31" fillId="2" borderId="0" xfId="0" applyFont="1" applyFill="1" applyBorder="1" applyAlignment="1">
      <alignment vertical="top" wrapText="1"/>
    </xf>
    <xf numFmtId="0" fontId="0" fillId="2" borderId="7" xfId="0" applyFill="1" applyBorder="1" applyAlignment="1">
      <alignment horizontal="left" vertical="top"/>
    </xf>
    <xf numFmtId="0" fontId="10" fillId="2" borderId="5" xfId="0" applyFont="1" applyFill="1" applyBorder="1" applyAlignment="1">
      <alignment horizontal="left" vertical="top"/>
    </xf>
    <xf numFmtId="164" fontId="10" fillId="2" borderId="0" xfId="0" applyNumberFormat="1" applyFont="1" applyFill="1" applyAlignment="1">
      <alignment horizontal="left" vertical="center"/>
    </xf>
    <xf numFmtId="164" fontId="10" fillId="2" borderId="5" xfId="0" applyNumberFormat="1" applyFont="1" applyFill="1" applyBorder="1" applyAlignment="1">
      <alignment horizontal="left" vertical="center"/>
    </xf>
    <xf numFmtId="0" fontId="10" fillId="2" borderId="0" xfId="0" applyFont="1" applyFill="1" applyAlignment="1">
      <alignment horizontal="left" vertical="top"/>
    </xf>
    <xf numFmtId="0" fontId="0" fillId="2" borderId="0" xfId="0" applyFill="1" applyAlignment="1">
      <alignment horizontal="right"/>
    </xf>
    <xf numFmtId="0" fontId="20" fillId="2" borderId="14" xfId="0" applyFont="1" applyFill="1" applyBorder="1" applyAlignment="1">
      <alignment horizontal="center" vertical="center" wrapText="1"/>
    </xf>
    <xf numFmtId="165" fontId="15" fillId="3" borderId="4" xfId="0" applyNumberFormat="1" applyFont="1" applyFill="1" applyBorder="1" applyAlignment="1">
      <alignment horizontal="center"/>
    </xf>
    <xf numFmtId="165" fontId="15" fillId="2" borderId="4" xfId="0" applyNumberFormat="1" applyFont="1" applyFill="1" applyBorder="1" applyAlignment="1">
      <alignment horizontal="center"/>
    </xf>
    <xf numFmtId="1" fontId="15" fillId="3" borderId="13" xfId="0" applyNumberFormat="1" applyFont="1" applyFill="1" applyBorder="1" applyAlignment="1">
      <alignment horizontal="center"/>
    </xf>
    <xf numFmtId="1" fontId="15" fillId="2" borderId="3" xfId="0" applyNumberFormat="1" applyFont="1" applyFill="1" applyBorder="1" applyAlignment="1">
      <alignment horizontal="center"/>
    </xf>
    <xf numFmtId="165" fontId="15" fillId="2" borderId="13" xfId="0" applyNumberFormat="1" applyFont="1" applyFill="1" applyBorder="1" applyAlignment="1">
      <alignment horizontal="center"/>
    </xf>
    <xf numFmtId="0" fontId="10" fillId="2" borderId="6" xfId="0" applyFont="1" applyFill="1" applyBorder="1"/>
    <xf numFmtId="0" fontId="20" fillId="2" borderId="18" xfId="0" applyFont="1" applyFill="1" applyBorder="1" applyAlignment="1">
      <alignment horizontal="center" vertical="center" wrapText="1"/>
    </xf>
    <xf numFmtId="0" fontId="20" fillId="2" borderId="19" xfId="0" applyFont="1" applyFill="1" applyBorder="1" applyAlignment="1">
      <alignment horizontal="center" vertical="center" wrapText="1"/>
    </xf>
    <xf numFmtId="164" fontId="15" fillId="3" borderId="20" xfId="0" applyNumberFormat="1" applyFont="1" applyFill="1" applyBorder="1" applyAlignment="1">
      <alignment horizontal="center"/>
    </xf>
    <xf numFmtId="2" fontId="15" fillId="3" borderId="21" xfId="0" applyNumberFormat="1" applyFont="1" applyFill="1" applyBorder="1" applyAlignment="1">
      <alignment horizontal="center"/>
    </xf>
    <xf numFmtId="164" fontId="15" fillId="2" borderId="20" xfId="0" applyNumberFormat="1" applyFont="1" applyFill="1" applyBorder="1" applyAlignment="1">
      <alignment horizontal="center"/>
    </xf>
    <xf numFmtId="2" fontId="15" fillId="2" borderId="21" xfId="0" applyNumberFormat="1" applyFont="1" applyFill="1" applyBorder="1" applyAlignment="1">
      <alignment horizontal="center"/>
    </xf>
    <xf numFmtId="1" fontId="15" fillId="3" borderId="3" xfId="0" applyNumberFormat="1" applyFont="1" applyFill="1" applyBorder="1" applyAlignment="1">
      <alignment horizontal="center"/>
    </xf>
    <xf numFmtId="1" fontId="15" fillId="3" borderId="20" xfId="0" applyNumberFormat="1" applyFont="1" applyFill="1" applyBorder="1" applyAlignment="1">
      <alignment horizontal="center"/>
    </xf>
    <xf numFmtId="165" fontId="15" fillId="3" borderId="17" xfId="0" applyNumberFormat="1" applyFont="1" applyFill="1" applyBorder="1" applyAlignment="1">
      <alignment horizontal="center"/>
    </xf>
    <xf numFmtId="1" fontId="15" fillId="2" borderId="20" xfId="0" applyNumberFormat="1" applyFont="1" applyFill="1" applyBorder="1" applyAlignment="1">
      <alignment horizontal="center"/>
    </xf>
    <xf numFmtId="165" fontId="15" fillId="2" borderId="17" xfId="0" applyNumberFormat="1" applyFont="1" applyFill="1" applyBorder="1" applyAlignment="1">
      <alignment horizontal="center"/>
    </xf>
    <xf numFmtId="1" fontId="15" fillId="2" borderId="16" xfId="0" applyNumberFormat="1" applyFont="1" applyFill="1" applyBorder="1" applyAlignment="1">
      <alignment horizontal="center"/>
    </xf>
    <xf numFmtId="165" fontId="15" fillId="2" borderId="21" xfId="0" applyNumberFormat="1" applyFont="1" applyFill="1" applyBorder="1" applyAlignment="1">
      <alignment horizontal="center"/>
    </xf>
    <xf numFmtId="0" fontId="20" fillId="2" borderId="20" xfId="0" applyFont="1" applyFill="1" applyBorder="1" applyAlignment="1">
      <alignment horizontal="center" vertical="center" wrapText="1"/>
    </xf>
    <xf numFmtId="0" fontId="20" fillId="2" borderId="21" xfId="0" applyFont="1" applyFill="1" applyBorder="1" applyAlignment="1">
      <alignment horizontal="center" vertical="center" wrapText="1"/>
    </xf>
    <xf numFmtId="1" fontId="15" fillId="3" borderId="21" xfId="0" applyNumberFormat="1" applyFont="1" applyFill="1" applyBorder="1" applyAlignment="1">
      <alignment horizontal="center"/>
    </xf>
    <xf numFmtId="1" fontId="15" fillId="2" borderId="21" xfId="0" applyNumberFormat="1" applyFont="1" applyFill="1" applyBorder="1" applyAlignment="1">
      <alignment horizontal="center"/>
    </xf>
    <xf numFmtId="14" fontId="0" fillId="2" borderId="0" xfId="0" applyNumberFormat="1" applyFill="1" applyBorder="1" applyAlignment="1"/>
    <xf numFmtId="0" fontId="0" fillId="2" borderId="0" xfId="0" applyFill="1" applyBorder="1" applyAlignment="1"/>
    <xf numFmtId="0" fontId="15" fillId="2" borderId="0" xfId="0" applyFont="1" applyFill="1" applyAlignment="1">
      <alignment horizontal="center"/>
    </xf>
    <xf numFmtId="164" fontId="15" fillId="2" borderId="2" xfId="0" applyNumberFormat="1" applyFont="1" applyFill="1" applyBorder="1" applyAlignment="1">
      <alignment horizontal="center"/>
    </xf>
    <xf numFmtId="164" fontId="15" fillId="2" borderId="3" xfId="0" applyNumberFormat="1" applyFont="1" applyFill="1" applyBorder="1" applyAlignment="1">
      <alignment horizontal="center"/>
    </xf>
    <xf numFmtId="164" fontId="15" fillId="2" borderId="4" xfId="0" applyNumberFormat="1" applyFont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18" fillId="4" borderId="2" xfId="0" applyFont="1" applyFill="1" applyBorder="1" applyAlignment="1">
      <alignment horizontal="center" vertical="center"/>
    </xf>
    <xf numFmtId="0" fontId="18" fillId="4" borderId="3" xfId="0" applyFont="1" applyFill="1" applyBorder="1" applyAlignment="1">
      <alignment horizontal="center" vertical="center"/>
    </xf>
    <xf numFmtId="0" fontId="18" fillId="4" borderId="4" xfId="0" applyFont="1" applyFill="1" applyBorder="1" applyAlignment="1">
      <alignment horizontal="center" vertical="center"/>
    </xf>
    <xf numFmtId="0" fontId="31" fillId="2" borderId="1" xfId="0" applyFont="1" applyFill="1" applyBorder="1" applyAlignment="1">
      <alignment horizontal="center" vertical="top" wrapText="1"/>
    </xf>
    <xf numFmtId="0" fontId="31" fillId="2" borderId="0" xfId="0" applyFont="1" applyFill="1" applyBorder="1" applyAlignment="1">
      <alignment horizontal="center"/>
    </xf>
    <xf numFmtId="0" fontId="10" fillId="2" borderId="0" xfId="0" applyFont="1" applyFill="1" applyAlignment="1">
      <alignment horizontal="left" vertical="top"/>
    </xf>
    <xf numFmtId="14" fontId="0" fillId="2" borderId="0" xfId="0" applyNumberFormat="1" applyFill="1" applyBorder="1" applyAlignment="1">
      <alignment horizontal="left"/>
    </xf>
    <xf numFmtId="0" fontId="0" fillId="2" borderId="0" xfId="0" applyFill="1" applyBorder="1" applyAlignment="1">
      <alignment horizontal="left"/>
    </xf>
    <xf numFmtId="0" fontId="0" fillId="2" borderId="5" xfId="0" applyFill="1" applyBorder="1" applyAlignment="1">
      <alignment horizontal="left"/>
    </xf>
    <xf numFmtId="14" fontId="0" fillId="2" borderId="11" xfId="0" applyNumberFormat="1" applyFill="1" applyBorder="1" applyAlignment="1">
      <alignment horizontal="left" vertical="top"/>
    </xf>
    <xf numFmtId="0" fontId="10" fillId="2" borderId="11" xfId="0" applyFont="1" applyFill="1" applyBorder="1" applyAlignment="1">
      <alignment horizontal="left" vertical="top"/>
    </xf>
    <xf numFmtId="0" fontId="10" fillId="2" borderId="12" xfId="0" applyFont="1" applyFill="1" applyBorder="1" applyAlignment="1">
      <alignment horizontal="left" vertical="top"/>
    </xf>
    <xf numFmtId="0" fontId="0" fillId="2" borderId="7" xfId="0" applyFill="1" applyBorder="1" applyAlignment="1">
      <alignment horizontal="left" vertical="top"/>
    </xf>
    <xf numFmtId="0" fontId="25" fillId="2" borderId="7" xfId="0" applyFont="1" applyFill="1" applyBorder="1" applyAlignment="1">
      <alignment horizontal="center"/>
    </xf>
    <xf numFmtId="0" fontId="25" fillId="2" borderId="7" xfId="0" applyFont="1" applyFill="1" applyBorder="1" applyAlignment="1">
      <alignment horizontal="right"/>
    </xf>
    <xf numFmtId="0" fontId="25" fillId="2" borderId="8" xfId="0" applyFont="1" applyFill="1" applyBorder="1" applyAlignment="1">
      <alignment horizontal="right"/>
    </xf>
    <xf numFmtId="0" fontId="0" fillId="2" borderId="9" xfId="0" applyFill="1" applyBorder="1" applyAlignment="1">
      <alignment horizontal="left" vertical="top" wrapText="1"/>
    </xf>
    <xf numFmtId="0" fontId="0" fillId="2" borderId="0" xfId="0" applyFill="1" applyAlignment="1">
      <alignment horizontal="left" vertical="top" wrapText="1"/>
    </xf>
    <xf numFmtId="0" fontId="0" fillId="2" borderId="10" xfId="0" applyFill="1" applyBorder="1" applyAlignment="1">
      <alignment horizontal="left" vertical="top" wrapText="1"/>
    </xf>
    <xf numFmtId="0" fontId="0" fillId="2" borderId="11" xfId="0" applyFill="1" applyBorder="1" applyAlignment="1">
      <alignment horizontal="left" vertical="top" wrapText="1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right"/>
    </xf>
    <xf numFmtId="0" fontId="0" fillId="2" borderId="5" xfId="0" applyFill="1" applyBorder="1" applyAlignment="1">
      <alignment horizontal="right"/>
    </xf>
    <xf numFmtId="0" fontId="27" fillId="2" borderId="0" xfId="0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0" fontId="14" fillId="2" borderId="0" xfId="0" applyFont="1" applyFill="1" applyAlignment="1">
      <alignment horizontal="center"/>
    </xf>
    <xf numFmtId="0" fontId="17" fillId="2" borderId="0" xfId="0" applyFont="1" applyFill="1" applyAlignment="1">
      <alignment horizontal="right"/>
    </xf>
    <xf numFmtId="14" fontId="0" fillId="2" borderId="11" xfId="0" applyNumberFormat="1" applyFill="1" applyBorder="1" applyAlignment="1">
      <alignment horizontal="left"/>
    </xf>
    <xf numFmtId="0" fontId="0" fillId="2" borderId="11" xfId="0" applyFill="1" applyBorder="1" applyAlignment="1">
      <alignment horizontal="left"/>
    </xf>
    <xf numFmtId="0" fontId="10" fillId="2" borderId="7" xfId="0" applyFont="1" applyFill="1" applyBorder="1" applyAlignment="1">
      <alignment horizontal="left" vertical="top"/>
    </xf>
    <xf numFmtId="0" fontId="10" fillId="2" borderId="8" xfId="0" applyFont="1" applyFill="1" applyBorder="1" applyAlignment="1">
      <alignment horizontal="left" vertical="top"/>
    </xf>
    <xf numFmtId="0" fontId="10" fillId="2" borderId="0" xfId="0" applyFont="1" applyFill="1" applyBorder="1" applyAlignment="1">
      <alignment horizontal="left" vertical="top"/>
    </xf>
    <xf numFmtId="0" fontId="10" fillId="2" borderId="5" xfId="0" applyFont="1" applyFill="1" applyBorder="1" applyAlignment="1">
      <alignment horizontal="left" vertical="top"/>
    </xf>
    <xf numFmtId="0" fontId="0" fillId="2" borderId="0" xfId="0" applyFill="1" applyBorder="1" applyAlignment="1">
      <alignment horizontal="left" vertical="top"/>
    </xf>
    <xf numFmtId="0" fontId="28" fillId="2" borderId="0" xfId="0" applyFont="1" applyFill="1" applyAlignment="1">
      <alignment horizontal="center"/>
    </xf>
    <xf numFmtId="0" fontId="29" fillId="2" borderId="0" xfId="2" applyFill="1" applyAlignment="1">
      <alignment horizontal="center"/>
    </xf>
    <xf numFmtId="14" fontId="0" fillId="2" borderId="7" xfId="0" applyNumberFormat="1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0" fillId="2" borderId="8" xfId="0" applyFill="1" applyBorder="1" applyAlignment="1">
      <alignment horizontal="left"/>
    </xf>
    <xf numFmtId="0" fontId="15" fillId="2" borderId="0" xfId="0" applyFont="1" applyFill="1" applyAlignment="1">
      <alignment horizontal="center"/>
    </xf>
    <xf numFmtId="0" fontId="16" fillId="2" borderId="0" xfId="0" applyFont="1" applyFill="1" applyAlignment="1">
      <alignment horizontal="center"/>
    </xf>
    <xf numFmtId="14" fontId="0" fillId="2" borderId="7" xfId="0" applyNumberFormat="1" applyFill="1" applyBorder="1" applyAlignment="1">
      <alignment horizontal="left" vertical="top"/>
    </xf>
    <xf numFmtId="164" fontId="0" fillId="2" borderId="7" xfId="0" applyNumberFormat="1" applyFill="1" applyBorder="1" applyAlignment="1">
      <alignment horizontal="left"/>
    </xf>
    <xf numFmtId="164" fontId="0" fillId="2" borderId="8" xfId="0" applyNumberFormat="1" applyFill="1" applyBorder="1" applyAlignment="1">
      <alignment horizontal="left"/>
    </xf>
    <xf numFmtId="0" fontId="15" fillId="2" borderId="0" xfId="0" applyFont="1" applyFill="1" applyAlignment="1">
      <alignment horizontal="center" vertical="center" wrapText="1"/>
    </xf>
    <xf numFmtId="0" fontId="26" fillId="2" borderId="0" xfId="0" applyFont="1" applyFill="1" applyAlignment="1">
      <alignment horizontal="center" vertical="center" wrapText="1"/>
    </xf>
    <xf numFmtId="0" fontId="14" fillId="2" borderId="0" xfId="0" applyFont="1" applyFill="1" applyAlignment="1">
      <alignment horizontal="center" vertical="center" wrapText="1"/>
    </xf>
    <xf numFmtId="164" fontId="15" fillId="2" borderId="2" xfId="0" applyNumberFormat="1" applyFont="1" applyFill="1" applyBorder="1" applyAlignment="1">
      <alignment horizontal="center"/>
    </xf>
    <xf numFmtId="164" fontId="15" fillId="2" borderId="3" xfId="0" applyNumberFormat="1" applyFont="1" applyFill="1" applyBorder="1" applyAlignment="1">
      <alignment horizontal="center"/>
    </xf>
    <xf numFmtId="164" fontId="15" fillId="2" borderId="4" xfId="0" applyNumberFormat="1" applyFont="1" applyFill="1" applyBorder="1" applyAlignment="1">
      <alignment horizontal="center"/>
    </xf>
    <xf numFmtId="164" fontId="15" fillId="3" borderId="2" xfId="0" applyNumberFormat="1" applyFont="1" applyFill="1" applyBorder="1" applyAlignment="1">
      <alignment horizontal="center"/>
    </xf>
    <xf numFmtId="164" fontId="15" fillId="3" borderId="3" xfId="0" applyNumberFormat="1" applyFont="1" applyFill="1" applyBorder="1" applyAlignment="1">
      <alignment horizontal="center"/>
    </xf>
    <xf numFmtId="164" fontId="15" fillId="3" borderId="4" xfId="0" applyNumberFormat="1" applyFont="1" applyFill="1" applyBorder="1" applyAlignment="1">
      <alignment horizontal="center"/>
    </xf>
    <xf numFmtId="0" fontId="20" fillId="2" borderId="16" xfId="0" applyFont="1" applyFill="1" applyBorder="1" applyAlignment="1">
      <alignment horizontal="center" vertical="center" wrapText="1"/>
    </xf>
    <xf numFmtId="0" fontId="20" fillId="2" borderId="3" xfId="0" applyFont="1" applyFill="1" applyBorder="1" applyAlignment="1">
      <alignment horizontal="center" vertical="center" wrapText="1"/>
    </xf>
    <xf numFmtId="0" fontId="20" fillId="2" borderId="17" xfId="0" applyFont="1" applyFill="1" applyBorder="1" applyAlignment="1">
      <alignment horizontal="center" vertical="center" wrapText="1"/>
    </xf>
    <xf numFmtId="0" fontId="19" fillId="2" borderId="0" xfId="0" applyFont="1" applyFill="1" applyAlignment="1">
      <alignment horizontal="center" vertical="center" wrapText="1"/>
    </xf>
    <xf numFmtId="0" fontId="20" fillId="2" borderId="6" xfId="0" applyFont="1" applyFill="1" applyBorder="1" applyAlignment="1">
      <alignment horizontal="center" vertical="center" wrapText="1"/>
    </xf>
    <xf numFmtId="0" fontId="20" fillId="2" borderId="10" xfId="0" applyFont="1" applyFill="1" applyBorder="1" applyAlignment="1">
      <alignment horizontal="center" vertical="center" wrapText="1"/>
    </xf>
    <xf numFmtId="0" fontId="0" fillId="2" borderId="7" xfId="0" applyFill="1" applyBorder="1" applyAlignment="1">
      <alignment horizontal="left" vertical="top" indent="1"/>
    </xf>
    <xf numFmtId="0" fontId="10" fillId="2" borderId="0" xfId="0" applyFont="1" applyFill="1" applyBorder="1" applyAlignment="1">
      <alignment horizontal="left" vertical="top" indent="1"/>
    </xf>
    <xf numFmtId="0" fontId="20" fillId="2" borderId="8" xfId="0" applyFont="1" applyFill="1" applyBorder="1" applyAlignment="1">
      <alignment horizontal="center" vertical="center" wrapText="1"/>
    </xf>
    <xf numFmtId="0" fontId="20" fillId="2" borderId="12" xfId="0" applyFont="1" applyFill="1" applyBorder="1" applyAlignment="1">
      <alignment horizontal="center" vertical="center" wrapText="1"/>
    </xf>
    <xf numFmtId="0" fontId="6" fillId="2" borderId="0" xfId="0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20" fillId="2" borderId="7" xfId="0" applyFont="1" applyFill="1" applyBorder="1" applyAlignment="1">
      <alignment horizontal="center" vertical="center" wrapText="1"/>
    </xf>
    <xf numFmtId="0" fontId="20" fillId="2" borderId="11" xfId="0" applyFont="1" applyFill="1" applyBorder="1" applyAlignment="1">
      <alignment horizontal="center" vertical="center" wrapText="1"/>
    </xf>
    <xf numFmtId="14" fontId="0" fillId="2" borderId="11" xfId="0" applyNumberFormat="1" applyFill="1" applyBorder="1" applyAlignment="1">
      <alignment horizontal="left" vertical="top" indent="1"/>
    </xf>
    <xf numFmtId="14" fontId="0" fillId="2" borderId="8" xfId="0" applyNumberFormat="1" applyFill="1" applyBorder="1" applyAlignment="1">
      <alignment horizontal="left"/>
    </xf>
    <xf numFmtId="0" fontId="0" fillId="2" borderId="6" xfId="0" applyFill="1" applyBorder="1" applyAlignment="1">
      <alignment horizontal="right"/>
    </xf>
    <xf numFmtId="0" fontId="0" fillId="2" borderId="7" xfId="0" applyFill="1" applyBorder="1" applyAlignment="1">
      <alignment horizontal="right"/>
    </xf>
    <xf numFmtId="0" fontId="30" fillId="2" borderId="0" xfId="0" applyFont="1" applyFill="1" applyAlignment="1">
      <alignment horizontal="center" vertical="top" wrapText="1"/>
    </xf>
    <xf numFmtId="0" fontId="30" fillId="2" borderId="15" xfId="0" applyFont="1" applyFill="1" applyBorder="1" applyAlignment="1">
      <alignment horizontal="center"/>
    </xf>
    <xf numFmtId="14" fontId="1" fillId="2" borderId="11" xfId="0" applyNumberFormat="1" applyFont="1" applyFill="1" applyBorder="1" applyAlignment="1">
      <alignment horizontal="left" vertical="top"/>
    </xf>
    <xf numFmtId="0" fontId="9" fillId="2" borderId="11" xfId="0" applyFont="1" applyFill="1" applyBorder="1" applyAlignment="1">
      <alignment horizontal="left" vertical="top"/>
    </xf>
    <xf numFmtId="0" fontId="9" fillId="2" borderId="12" xfId="0" applyFont="1" applyFill="1" applyBorder="1" applyAlignment="1">
      <alignment horizontal="left" vertical="top"/>
    </xf>
    <xf numFmtId="0" fontId="1" fillId="2" borderId="7" xfId="0" applyFont="1" applyFill="1" applyBorder="1" applyAlignment="1">
      <alignment horizontal="left" vertical="top"/>
    </xf>
    <xf numFmtId="0" fontId="9" fillId="2" borderId="0" xfId="0" applyFont="1" applyFill="1" applyAlignment="1">
      <alignment horizontal="left" vertical="top"/>
    </xf>
    <xf numFmtId="14" fontId="1" fillId="2" borderId="7" xfId="0" applyNumberFormat="1" applyFont="1" applyFill="1" applyBorder="1" applyAlignment="1">
      <alignment horizontal="left"/>
    </xf>
    <xf numFmtId="0" fontId="1" fillId="2" borderId="7" xfId="0" applyFont="1" applyFill="1" applyBorder="1" applyAlignment="1">
      <alignment horizontal="left"/>
    </xf>
    <xf numFmtId="0" fontId="1" fillId="2" borderId="8" xfId="0" applyFont="1" applyFill="1" applyBorder="1" applyAlignment="1">
      <alignment horizontal="left"/>
    </xf>
    <xf numFmtId="0" fontId="9" fillId="2" borderId="5" xfId="0" applyFont="1" applyFill="1" applyBorder="1" applyAlignment="1">
      <alignment horizontal="left" vertical="top"/>
    </xf>
    <xf numFmtId="0" fontId="2" fillId="2" borderId="0" xfId="0" applyFont="1" applyFill="1" applyAlignment="1">
      <alignment horizontal="center"/>
    </xf>
  </cellXfs>
  <cellStyles count="3">
    <cellStyle name="Lien hypertexte" xfId="2" builtinId="8"/>
    <cellStyle name="Normal" xfId="0" builtinId="0"/>
    <cellStyle name="Normal_A49_Flakiness Index Test_BSEN933" xfId="1" xr:uid="{00000000-0005-0000-0000-000001000000}"/>
  </cellStyles>
  <dxfs count="84"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  <fill>
        <patternFill patternType="solid">
          <fgColor theme="4" tint="0.79998168889431442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/>
        <bottom style="thin">
          <color theme="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horizontal style="thin">
          <color theme="5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  <fill>
        <patternFill patternType="solid">
          <fgColor theme="4" tint="0.79998168889431442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/>
        <bottom style="thin">
          <color theme="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horizontal style="thin">
          <color theme="5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  <fill>
        <patternFill patternType="solid">
          <fgColor theme="4" tint="0.79998168889431442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/>
        <bottom style="thin">
          <color theme="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horizontal style="thin">
          <color theme="5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  <fill>
        <patternFill patternType="solid">
          <fgColor theme="4" tint="0.79998168889431442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/>
        <bottom style="thin">
          <color theme="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horizontal style="thin">
          <color theme="5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  <fill>
        <patternFill patternType="solid">
          <fgColor theme="4" tint="0.79998168889431442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/>
        <bottom style="thin">
          <color theme="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horizontal style="thin">
          <color theme="5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  <fill>
        <patternFill patternType="solid">
          <fgColor theme="4" tint="0.79998168889431442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/>
        <bottom style="thin">
          <color theme="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horizontal style="thin">
          <color theme="5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  <fill>
        <patternFill patternType="solid">
          <fgColor theme="4" tint="0.79998168889431442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/>
        <bottom style="thin">
          <color theme="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horizontal style="thin">
          <color theme="5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  <fill>
        <patternFill patternType="solid">
          <fgColor theme="4" tint="0.79998168889431442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/>
        <bottom style="thin">
          <color theme="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horizontal style="thin">
          <color theme="5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  <fill>
        <patternFill patternType="solid">
          <fgColor theme="4" tint="0.79998168889431442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/>
        <bottom style="thin">
          <color theme="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horizontal style="thin">
          <color theme="5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0.000000"/>
      <fill>
        <patternFill patternType="solid">
          <fgColor theme="4" tint="0.79998168889431442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/>
        <bottom style="thin">
          <color theme="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medium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horizontal style="thin">
          <color theme="5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0.000000"/>
      <fill>
        <patternFill patternType="solid">
          <fgColor theme="4" tint="0.79998168889431442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/>
        <bottom style="thin">
          <color theme="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  <fill>
        <patternFill patternType="solid">
          <fgColor theme="4" tint="0.79998168889431442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/>
        <bottom style="thin">
          <color theme="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" formatCode="0"/>
      <fill>
        <patternFill patternType="solid">
          <fgColor theme="4" tint="0.79998168889431442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5"/>
        </right>
        <top/>
        <bottom style="thin">
          <color theme="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4" formatCode="0.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medium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" formatCode="0"/>
      <fill>
        <patternFill patternType="solid">
          <fgColor theme="4" tint="0.79998168889431442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5"/>
        </right>
        <top/>
        <bottom style="thin">
          <color theme="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5" formatCode="0.00000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" formatCode="0"/>
      <fill>
        <patternFill patternType="solid">
          <fgColor theme="4" tint="0.79998168889431442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5"/>
        </right>
        <top/>
        <bottom style="thin">
          <color theme="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5" formatCode="0.00000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5"/>
        </top>
        <bottom style="thin">
          <color theme="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" formatCode="0"/>
      <fill>
        <patternFill patternType="solid">
          <fgColor theme="4" tint="0.79998168889431442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5"/>
        </right>
        <top/>
        <bottom style="thin">
          <color theme="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medium">
          <color theme="5"/>
        </left>
        <right/>
        <top style="thin">
          <color theme="5"/>
        </top>
        <bottom style="thin">
          <color theme="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" formatCode="0"/>
      <fill>
        <patternFill patternType="solid">
          <fgColor theme="4" tint="0.79998168889431442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5"/>
        </right>
        <top/>
        <bottom style="thin">
          <color theme="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theme="5"/>
        </right>
        <top style="thin">
          <color theme="5"/>
        </top>
        <bottom style="thin">
          <color theme="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" formatCode="0"/>
      <fill>
        <patternFill patternType="solid">
          <fgColor theme="4" tint="0.79998168889431442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5"/>
        </right>
        <top/>
        <bottom style="thin">
          <color theme="5"/>
        </bottom>
      </border>
    </dxf>
    <dxf>
      <border outline="0">
        <top style="thin">
          <color rgb="FFED7D31"/>
        </top>
      </border>
    </dxf>
    <dxf>
      <border outline="0">
        <left style="thin">
          <color rgb="FFED7D31"/>
        </left>
        <right style="thin">
          <color rgb="FFED7D31"/>
        </right>
        <top style="thin">
          <color rgb="FFED7D31"/>
        </top>
        <bottom style="thin">
          <color rgb="FFED7D3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numFmt numFmtId="166" formatCode="0\.0"/>
      <fill>
        <patternFill patternType="solid">
          <fgColor rgb="FF000000"/>
          <bgColor rgb="FFFFFFFF"/>
        </patternFill>
      </fill>
      <alignment horizontal="center" vertical="bottom" textRotation="0" wrapText="0" indent="0" justifyLastLine="0" shrinkToFit="0" readingOrder="0"/>
    </dxf>
    <dxf>
      <border outline="0">
        <bottom style="thin">
          <color rgb="FFED7D3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4" formatCode="0.0"/>
      <fill>
        <patternFill patternType="solid">
          <fgColor theme="4" tint="0.79998168889431442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  <fill>
        <patternFill patternType="solid">
          <fgColor theme="4" tint="0.79998168889431442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/>
        <bottom style="thin">
          <color theme="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horizontal style="thin">
          <color theme="5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  <fill>
        <patternFill patternType="solid">
          <fgColor theme="4" tint="0.79998168889431442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/>
        <bottom style="thin">
          <color theme="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horizontal style="thin">
          <color theme="5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  <fill>
        <patternFill patternType="solid">
          <fgColor theme="4" tint="0.79998168889431442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/>
        <bottom style="thin">
          <color theme="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horizontal style="thin">
          <color theme="5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  <fill>
        <patternFill patternType="solid">
          <fgColor theme="4" tint="0.79998168889431442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/>
        <bottom style="thin">
          <color theme="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horizontal style="thin">
          <color theme="5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  <fill>
        <patternFill patternType="solid">
          <fgColor theme="4" tint="0.79998168889431442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/>
        <bottom style="thin">
          <color theme="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horizontal style="thin">
          <color theme="5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  <fill>
        <patternFill patternType="solid">
          <fgColor theme="4" tint="0.79998168889431442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/>
        <bottom style="thin">
          <color theme="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horizontal style="thin">
          <color theme="5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  <fill>
        <patternFill patternType="solid">
          <fgColor theme="4" tint="0.79998168889431442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/>
        <bottom style="thin">
          <color theme="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horizontal style="thin">
          <color theme="5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  <fill>
        <patternFill patternType="solid">
          <fgColor theme="4" tint="0.79998168889431442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/>
        <bottom style="thin">
          <color theme="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horizontal style="thin">
          <color theme="5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  <fill>
        <patternFill patternType="solid">
          <fgColor theme="4" tint="0.79998168889431442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/>
        <bottom style="thin">
          <color theme="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horizontal style="thin">
          <color theme="5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0.000000"/>
      <fill>
        <patternFill patternType="solid">
          <fgColor theme="4" tint="0.79998168889431442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/>
        <bottom style="thin">
          <color theme="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medium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horizontal style="thin">
          <color theme="5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5" formatCode="0.000000"/>
      <fill>
        <patternFill patternType="solid">
          <fgColor theme="4" tint="0.79998168889431442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/>
        <bottom style="thin">
          <color theme="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0.0"/>
      <fill>
        <patternFill patternType="solid">
          <fgColor theme="4" tint="0.79998168889431442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/>
        <bottom style="thin">
          <color theme="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" formatCode="0"/>
      <fill>
        <patternFill patternType="solid">
          <fgColor theme="4" tint="0.79998168889431442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5"/>
        </right>
        <top/>
        <bottom style="thin">
          <color theme="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4" formatCode="0.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medium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" formatCode="0"/>
      <fill>
        <patternFill patternType="solid">
          <fgColor theme="4" tint="0.79998168889431442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5"/>
        </right>
        <top/>
        <bottom style="thin">
          <color theme="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5" formatCode="0.00000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" formatCode="0"/>
      <fill>
        <patternFill patternType="solid">
          <fgColor theme="4" tint="0.79998168889431442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5"/>
        </right>
        <top/>
        <bottom style="thin">
          <color theme="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5" formatCode="0.00000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5"/>
        </top>
        <bottom style="thin">
          <color theme="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" formatCode="0"/>
      <fill>
        <patternFill patternType="solid">
          <fgColor theme="4" tint="0.79998168889431442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5"/>
        </right>
        <top/>
        <bottom style="thin">
          <color theme="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medium">
          <color theme="5"/>
        </left>
        <right/>
        <top style="thin">
          <color theme="5"/>
        </top>
        <bottom style="thin">
          <color theme="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" formatCode="0"/>
      <fill>
        <patternFill patternType="solid">
          <fgColor theme="4" tint="0.79998168889431442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5"/>
        </right>
        <top/>
        <bottom style="thin">
          <color theme="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" formatCode="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5"/>
        </right>
        <top style="thin">
          <color theme="5"/>
        </top>
        <bottom style="thin">
          <color theme="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" formatCode="0"/>
      <fill>
        <patternFill patternType="solid">
          <fgColor theme="4" tint="0.79998168889431442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5"/>
        </right>
        <top/>
        <bottom style="thin">
          <color theme="5"/>
        </bottom>
      </border>
    </dxf>
    <dxf>
      <border outline="0">
        <top style="thin">
          <color theme="5"/>
        </top>
      </border>
    </dxf>
    <dxf>
      <border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6" formatCode="0\.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 outline="0">
        <bottom style="thin">
          <color theme="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4" formatCode="0.0"/>
      <fill>
        <patternFill patternType="solid">
          <fgColor theme="4" tint="0.79998168889431442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Deflexion</a:t>
            </a:r>
            <a:r>
              <a:rPr lang="fr-FR" baseline="0"/>
              <a:t> centrale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strRef>
              <c:f>ChartHeavydynModel!$C$44:$C$302</c:f>
              <c:strCache>
                <c:ptCount val="1"/>
                <c:pt idx="0">
                  <c:v>_Chainage</c:v>
                </c:pt>
              </c:strCache>
            </c:strRef>
          </c:xVal>
          <c:yVal>
            <c:numRef>
              <c:f>ChartHeavydynModel!$E$44:$E$302</c:f>
              <c:numCache>
                <c:formatCode>General</c:formatCode>
                <c:ptCount val="259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9C-4546-88B1-79603E64D565}"/>
            </c:ext>
          </c:extLst>
        </c:ser>
        <c:dLbls>
          <c:dLblPos val="r"/>
          <c:showLegendKey val="0"/>
          <c:showVal val="1"/>
          <c:showCatName val="1"/>
          <c:showSerName val="0"/>
          <c:showPercent val="0"/>
          <c:showBubbleSize val="0"/>
        </c:dLbls>
        <c:axId val="-868964608"/>
        <c:axId val="-868957536"/>
      </c:scatterChart>
      <c:valAx>
        <c:axId val="-868964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Chainage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868957536"/>
        <c:crosses val="autoZero"/>
        <c:crossBetween val="midCat"/>
      </c:valAx>
      <c:valAx>
        <c:axId val="-86895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Deflxion</a:t>
                </a:r>
                <a:r>
                  <a:rPr lang="fr-FR" baseline="0"/>
                  <a:t> (um)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868964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19685039370078741" l="0.70866141732283472" r="0.70866141732283472" t="0.19685039370078741" header="0" footer="0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Rayon de courbure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Rayon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ChartHeavydynModel!$C$44:$C$302</c:f>
              <c:strCache>
                <c:ptCount val="1"/>
                <c:pt idx="0">
                  <c:v>_Chainage</c:v>
                </c:pt>
              </c:strCache>
            </c:strRef>
          </c:xVal>
          <c:yVal>
            <c:numRef>
              <c:f>ChartHeavydynModel!$N$44:$N$302</c:f>
              <c:numCache>
                <c:formatCode>General</c:formatCode>
                <c:ptCount val="2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F8-4197-AD74-3CD76E9E88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4653776"/>
        <c:axId val="704654760"/>
      </c:scatterChart>
      <c:valAx>
        <c:axId val="704653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Chainage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04654760"/>
        <c:crosses val="autoZero"/>
        <c:crossBetween val="midCat"/>
      </c:valAx>
      <c:valAx>
        <c:axId val="704654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Rayon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04653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1</xdr:row>
      <xdr:rowOff>47625</xdr:rowOff>
    </xdr:from>
    <xdr:to>
      <xdr:col>4</xdr:col>
      <xdr:colOff>58118</xdr:colOff>
      <xdr:row>5</xdr:row>
      <xdr:rowOff>88656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CC2EF031-9E1E-41D0-B75B-828F5CC4E8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142875"/>
          <a:ext cx="1594818" cy="866531"/>
        </a:xfrm>
        <a:prstGeom prst="rect">
          <a:avLst/>
        </a:prstGeom>
      </xdr:spPr>
    </xdr:pic>
    <xdr:clientData/>
  </xdr:twoCellAnchor>
  <xdr:twoCellAnchor>
    <xdr:from>
      <xdr:col>1</xdr:col>
      <xdr:colOff>24847</xdr:colOff>
      <xdr:row>6</xdr:row>
      <xdr:rowOff>165662</xdr:rowOff>
    </xdr:from>
    <xdr:to>
      <xdr:col>15</xdr:col>
      <xdr:colOff>384646</xdr:colOff>
      <xdr:row>11</xdr:row>
      <xdr:rowOff>67099</xdr:rowOff>
    </xdr:to>
    <xdr:sp macro="" textlink="">
      <xdr:nvSpPr>
        <xdr:cNvPr id="3" name="Freeform 15">
          <a:extLst>
            <a:ext uri="{FF2B5EF4-FFF2-40B4-BE49-F238E27FC236}">
              <a16:creationId xmlns:a16="http://schemas.microsoft.com/office/drawing/2014/main" id="{257367F8-B526-4EF1-A4F4-182D7483DF91}"/>
            </a:ext>
          </a:extLst>
        </xdr:cNvPr>
        <xdr:cNvSpPr>
          <a:spLocks/>
        </xdr:cNvSpPr>
      </xdr:nvSpPr>
      <xdr:spPr bwMode="auto">
        <a:xfrm>
          <a:off x="228047" y="1188012"/>
          <a:ext cx="6690749" cy="669787"/>
        </a:xfrm>
        <a:custGeom>
          <a:avLst/>
          <a:gdLst>
            <a:gd name="T0" fmla="*/ 0 w 2448"/>
            <a:gd name="T1" fmla="*/ 248 h 248"/>
            <a:gd name="T2" fmla="*/ 2448 w 2448"/>
            <a:gd name="T3" fmla="*/ 55 h 248"/>
          </a:gdLst>
          <a:ahLst/>
          <a:cxnLst>
            <a:cxn ang="0">
              <a:pos x="T0" y="T1"/>
            </a:cxn>
            <a:cxn ang="0">
              <a:pos x="T2" y="T3"/>
            </a:cxn>
          </a:cxnLst>
          <a:rect l="0" t="0" r="r" b="b"/>
          <a:pathLst>
            <a:path w="2448" h="248">
              <a:moveTo>
                <a:pt x="0" y="248"/>
              </a:moveTo>
              <a:cubicBezTo>
                <a:pt x="929" y="0"/>
                <a:pt x="1821" y="1"/>
                <a:pt x="2448" y="55"/>
              </a:cubicBezTo>
            </a:path>
          </a:pathLst>
        </a:custGeom>
        <a:noFill/>
        <a:ln w="6350">
          <a:solidFill>
            <a:srgbClr val="EFB32F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E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C8682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25396</xdr:colOff>
      <xdr:row>7</xdr:row>
      <xdr:rowOff>53099</xdr:rowOff>
    </xdr:from>
    <xdr:to>
      <xdr:col>15</xdr:col>
      <xdr:colOff>385195</xdr:colOff>
      <xdr:row>11</xdr:row>
      <xdr:rowOff>72685</xdr:rowOff>
    </xdr:to>
    <xdr:sp macro="" textlink="">
      <xdr:nvSpPr>
        <xdr:cNvPr id="4" name="Freeform 15">
          <a:extLst>
            <a:ext uri="{FF2B5EF4-FFF2-40B4-BE49-F238E27FC236}">
              <a16:creationId xmlns:a16="http://schemas.microsoft.com/office/drawing/2014/main" id="{930232E5-8041-494B-ADB8-5AD7B6FB3C26}"/>
            </a:ext>
          </a:extLst>
        </xdr:cNvPr>
        <xdr:cNvSpPr>
          <a:spLocks/>
        </xdr:cNvSpPr>
      </xdr:nvSpPr>
      <xdr:spPr bwMode="auto">
        <a:xfrm rot="153218">
          <a:off x="228596" y="1284999"/>
          <a:ext cx="6690749" cy="578386"/>
        </a:xfrm>
        <a:custGeom>
          <a:avLst/>
          <a:gdLst>
            <a:gd name="T0" fmla="*/ 0 w 2448"/>
            <a:gd name="T1" fmla="*/ 248 h 248"/>
            <a:gd name="T2" fmla="*/ 2448 w 2448"/>
            <a:gd name="T3" fmla="*/ 55 h 248"/>
          </a:gdLst>
          <a:ahLst/>
          <a:cxnLst>
            <a:cxn ang="0">
              <a:pos x="T0" y="T1"/>
            </a:cxn>
            <a:cxn ang="0">
              <a:pos x="T2" y="T3"/>
            </a:cxn>
          </a:cxnLst>
          <a:rect l="0" t="0" r="r" b="b"/>
          <a:pathLst>
            <a:path w="2448" h="248">
              <a:moveTo>
                <a:pt x="0" y="248"/>
              </a:moveTo>
              <a:cubicBezTo>
                <a:pt x="929" y="0"/>
                <a:pt x="1821" y="1"/>
                <a:pt x="2448" y="55"/>
              </a:cubicBezTo>
            </a:path>
          </a:pathLst>
        </a:custGeom>
        <a:noFill/>
        <a:ln w="6350">
          <a:solidFill>
            <a:srgbClr val="EFB32F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E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C8682"/>
                </a:outerShdw>
              </a:effectLst>
            </a14:hiddenEffects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1</xdr:row>
      <xdr:rowOff>47625</xdr:rowOff>
    </xdr:from>
    <xdr:to>
      <xdr:col>3</xdr:col>
      <xdr:colOff>92575</xdr:colOff>
      <xdr:row>3</xdr:row>
      <xdr:rowOff>107384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77810A71-1145-46B0-A4E0-C653FB867B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142875"/>
          <a:ext cx="1080000" cy="58680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1</xdr:row>
      <xdr:rowOff>47625</xdr:rowOff>
    </xdr:from>
    <xdr:to>
      <xdr:col>3</xdr:col>
      <xdr:colOff>92575</xdr:colOff>
      <xdr:row>3</xdr:row>
      <xdr:rowOff>107384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3BBA9C0E-D8CE-4F54-8AAB-46D2DB3021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142875"/>
          <a:ext cx="1057775" cy="58680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22411</xdr:colOff>
      <xdr:row>0</xdr:row>
      <xdr:rowOff>67235</xdr:rowOff>
    </xdr:from>
    <xdr:to>
      <xdr:col>3</xdr:col>
      <xdr:colOff>213411</xdr:colOff>
      <xdr:row>3</xdr:row>
      <xdr:rowOff>38039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0EBE8351-4E34-4455-B128-A5031EF00F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5611" y="67235"/>
          <a:ext cx="1080000" cy="58040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1</xdr:row>
      <xdr:rowOff>1</xdr:rowOff>
    </xdr:from>
    <xdr:to>
      <xdr:col>2</xdr:col>
      <xdr:colOff>445830</xdr:colOff>
      <xdr:row>3</xdr:row>
      <xdr:rowOff>73861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72794ADE-F1EC-4C65-9F71-45BC706D33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8784" y="93871"/>
          <a:ext cx="1080000" cy="592903"/>
        </a:xfrm>
        <a:prstGeom prst="rect">
          <a:avLst/>
        </a:prstGeom>
      </xdr:spPr>
    </xdr:pic>
    <xdr:clientData/>
  </xdr:twoCellAnchor>
  <xdr:twoCellAnchor>
    <xdr:from>
      <xdr:col>1</xdr:col>
      <xdr:colOff>12700</xdr:colOff>
      <xdr:row>11</xdr:row>
      <xdr:rowOff>76200</xdr:rowOff>
    </xdr:from>
    <xdr:to>
      <xdr:col>16</xdr:col>
      <xdr:colOff>6350</xdr:colOff>
      <xdr:row>23</xdr:row>
      <xdr:rowOff>133350</xdr:rowOff>
    </xdr:to>
    <xdr:graphicFrame macro="">
      <xdr:nvGraphicFramePr>
        <xdr:cNvPr id="5" name="HeavyChartResult">
          <a:extLst>
            <a:ext uri="{FF2B5EF4-FFF2-40B4-BE49-F238E27FC236}">
              <a16:creationId xmlns:a16="http://schemas.microsoft.com/office/drawing/2014/main" id="{09349C3C-A6D6-4C01-9629-D99C0D434A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31750</xdr:colOff>
      <xdr:row>24</xdr:row>
      <xdr:rowOff>120650</xdr:rowOff>
    </xdr:from>
    <xdr:to>
      <xdr:col>16</xdr:col>
      <xdr:colOff>0</xdr:colOff>
      <xdr:row>36</xdr:row>
      <xdr:rowOff>66659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F2A79D64-52D9-4889-B702-E75BE46A47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Result" displayName="TableResult" ref="B14:S35" headerRowCount="0" totalsRowShown="0" headerRowDxfId="83" dataDxfId="81" headerRowBorderDxfId="82" tableBorderDxfId="80" totalsRowBorderDxfId="79">
  <tableColumns count="18">
    <tableColumn id="1" xr3:uid="{00000000-0010-0000-0000-000001000000}" name="Colonne1" headerRowDxfId="78" dataDxfId="77"/>
    <tableColumn id="17" xr3:uid="{1312710C-440F-458C-92B0-3A2C80D255EB}" name="Colonne17" headerRowDxfId="76" dataDxfId="75"/>
    <tableColumn id="18" xr3:uid="{D247897E-35A4-431F-B21D-427C62200B33}" name="Colonne18" headerRowDxfId="74" dataDxfId="73"/>
    <tableColumn id="16" xr3:uid="{1DD98B2E-5A08-4FB2-837D-0A438C4F2355}" name="Colonne16" headerRowDxfId="72" dataDxfId="71"/>
    <tableColumn id="19" xr3:uid="{BD0CD00C-71CE-471B-B02E-D569E8E78844}" name="Colonne10" headerRowDxfId="70" dataDxfId="69"/>
    <tableColumn id="10" xr3:uid="{3588F657-2BEA-4009-B02B-8FDC1B089F44}" name="Colonne11" headerRowDxfId="68" dataDxfId="67"/>
    <tableColumn id="2" xr3:uid="{00000000-0010-0000-0000-000002000000}" name="Colonne2" headerRowDxfId="66" dataDxfId="65">
      <calculatedColumnFormula>IF(TableResult[[#This Row],[Colonne10]]="","",IFERROR(TableResult[[#This Row],[Colonne10]]/Calibrations_DPlaque/Calibrations_DPlaque*4/PI()/1000,""))</calculatedColumnFormula>
    </tableColumn>
    <tableColumn id="3" xr3:uid="{00000000-0010-0000-0000-000003000000}" name="Colonne3" headerRowDxfId="64" dataDxfId="63"/>
    <tableColumn id="4" xr3:uid="{00000000-0010-0000-0000-000004000000}" name="Colonne4" headerRowDxfId="62" dataDxfId="61"/>
    <tableColumn id="5" xr3:uid="{00000000-0010-0000-0000-000005000000}" name="Colonne5" headerRowDxfId="60" dataDxfId="59"/>
    <tableColumn id="13" xr3:uid="{934135F6-3536-4A90-B133-5936A13E7E71}" name="Colonne13" headerRowDxfId="58" dataDxfId="57"/>
    <tableColumn id="14" xr3:uid="{6155A034-537A-42F9-8E5D-644CF8A3BC18}" name="Colonne14" headerRowDxfId="56" dataDxfId="55"/>
    <tableColumn id="15" xr3:uid="{6297E8F4-25B3-4C97-829D-AFF688F644FB}" name="Colonne15" headerRowDxfId="54" dataDxfId="53"/>
    <tableColumn id="6" xr3:uid="{00000000-0010-0000-0000-000006000000}" name="Colonne6" headerRowDxfId="52" dataDxfId="51"/>
    <tableColumn id="7" xr3:uid="{00000000-0010-0000-0000-000007000000}" name="Colonne7" headerRowDxfId="50" dataDxfId="49"/>
    <tableColumn id="8" xr3:uid="{00000000-0010-0000-0000-000008000000}" name="Colonne8" headerRowDxfId="48" dataDxfId="47"/>
    <tableColumn id="9" xr3:uid="{00000000-0010-0000-0000-000009000000}" name="Colonne9" headerRowDxfId="46" dataDxfId="45"/>
    <tableColumn id="12" xr3:uid="{00000000-0010-0000-0000-00000C000000}" name="Colonne12" headerRowDxfId="44" dataDxfId="43">
      <calculatedColumnFormula>IF(TableResult[[#This Row],[Colonne4]]="","",IFERROR((POWER(200000,2)/2/(TableResult[[#This Row],[Colonne4]]-TableResult[[#This Row],[Colonne5]])+POWER(300000,2)/2/(TableResult[[#This Row],[Colonne4]]-TableResult[[#This Row],[Colonne13]]))/2*0.00001,""))</calculatedColumnFormula>
    </tableColumn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F6578D62-5923-43FE-8A03-5CD8C74424AE}" name="ArrayResult" displayName="ArrayResult" ref="B14:S35" headerRowCount="0" totalsRowShown="0" headerRowDxfId="42" dataDxfId="40" headerRowBorderDxfId="41" tableBorderDxfId="39" totalsRowBorderDxfId="38">
  <tableColumns count="18">
    <tableColumn id="1" xr3:uid="{A941E67F-ED48-44CE-AEB9-E12809F44450}" name="Colonne1" headerRowDxfId="37" dataDxfId="36">
      <calculatedColumnFormula>IF(TableRaw[[#This Row],[Numero]]="","",TableRaw[[#This Row],[Numero]])</calculatedColumnFormula>
    </tableColumn>
    <tableColumn id="17" xr3:uid="{E1BDFF4C-2463-42C4-9D16-7503EC6168C2}" name="Colonne17" headerRowDxfId="35" dataDxfId="34">
      <calculatedColumnFormula>IF(TableRaw[[#This Row],[Chainage]]="","",TableRaw[[#This Row],[Chainage]])</calculatedColumnFormula>
    </tableColumn>
    <tableColumn id="18" xr3:uid="{8272AA1A-868F-47AC-8096-F2BB4E282BA0}" name="Colonne18" headerRowDxfId="33" dataDxfId="32">
      <calculatedColumnFormula>IF(TableRaw[[#This Row],[Longitude]]="","",TableRaw[[#This Row],[Longitude]])</calculatedColumnFormula>
    </tableColumn>
    <tableColumn id="16" xr3:uid="{59633A16-2AC5-465E-8737-6A2659888B27}" name="Colonne16" headerRowDxfId="31" dataDxfId="30">
      <calculatedColumnFormula>IF(TableRaw[[#This Row],[Latitude]]="","",TableRaw[[#This Row],[Latitude]])</calculatedColumnFormula>
    </tableColumn>
    <tableColumn id="19" xr3:uid="{682A35D1-6528-4FE3-89D8-E06EA4DBD806}" name="Colonne10" headerRowDxfId="29" dataDxfId="28">
      <calculatedColumnFormula>IF(TableRaw[[#This Row],[Numero]]="","",TableRaw[[#This Row],[Force]]*TableRaw[[#This Row],[Ratio]])</calculatedColumnFormula>
    </tableColumn>
    <tableColumn id="10" xr3:uid="{FF7DB253-EC27-4122-821B-5852311F34B2}" name="Colonne11" headerRowDxfId="27" dataDxfId="26">
      <calculatedColumnFormula>IF(TableRaw[[#This Row],[Timpact]]="","",TableRaw[[#This Row],[Timpact]])</calculatedColumnFormula>
    </tableColumn>
    <tableColumn id="2" xr3:uid="{654AEA25-2539-4347-A9AB-ACABCD46EB0D}" name="Colonne2" headerRowDxfId="25" dataDxfId="24">
      <calculatedColumnFormula>IF(ArrayResult[[#This Row],[Colonne10]]="","",IFERROR(ArrayResult[[#This Row],[Colonne10]]/Calibrations_DPlaque/Calibrations_DPlaque*4/PI()/1000,""))</calculatedColumnFormula>
    </tableColumn>
    <tableColumn id="3" xr3:uid="{FF27C5E0-3ADA-41FA-AC0A-E16B3FD7A328}" name="Colonne3" headerRowDxfId="23" dataDxfId="22">
      <calculatedColumnFormula>IF(TableRaw[[#This Row],[Numero]]="","",TableRaw[[#This Row],[d_300]]*TableRaw[[#This Row],[Ratio]])</calculatedColumnFormula>
    </tableColumn>
    <tableColumn id="4" xr3:uid="{D9BBB129-FDFA-4FAA-BDDC-EDA333DD0AF4}" name="Colonne4" headerRowDxfId="21" dataDxfId="20">
      <calculatedColumnFormula>IF(TableRaw[[#This Row],[Numero]]="","",TableRaw[[#This Row],[d0]]*TableRaw[[#This Row],[Ratio]])</calculatedColumnFormula>
    </tableColumn>
    <tableColumn id="5" xr3:uid="{A585A419-C3D8-4146-BD5F-201C93C362E1}" name="Colonne5" headerRowDxfId="19" dataDxfId="18">
      <calculatedColumnFormula>IF(TableRaw[[#This Row],[Numero]]="","",TableRaw[[#This Row],[d200]]*TableRaw[[#This Row],[Ratio]])</calculatedColumnFormula>
    </tableColumn>
    <tableColumn id="13" xr3:uid="{6BDA46F4-38D4-41C0-9451-4AB88467A04F}" name="Colonne13" headerRowDxfId="17" dataDxfId="16">
      <calculatedColumnFormula>IF(TableRaw[[#This Row],[Numero]]="","",TableRaw[[#This Row],[d300]]*TableRaw[[#This Row],[Ratio]])</calculatedColumnFormula>
    </tableColumn>
    <tableColumn id="14" xr3:uid="{7F6D4B51-889E-4147-A960-066A26F9D1CC}" name="Colonne14" headerRowDxfId="15" dataDxfId="14">
      <calculatedColumnFormula>IF(TableRaw[[#This Row],[Numero]]="","",TableRaw[[#This Row],[d600]]*TableRaw[[#This Row],[Ratio]])</calculatedColumnFormula>
    </tableColumn>
    <tableColumn id="15" xr3:uid="{DA0D2FCA-8861-41F2-A238-061CAA9783F1}" name="Colonne15" headerRowDxfId="13" dataDxfId="12">
      <calculatedColumnFormula>IF(TableRaw[[#This Row],[Numero]]="","",TableRaw[[#This Row],[d900]]*TableRaw[[#This Row],[Ratio]])</calculatedColumnFormula>
    </tableColumn>
    <tableColumn id="6" xr3:uid="{F47E058B-41AA-44AD-B77D-C9430265A0C3}" name="Colonne6" headerRowDxfId="11" dataDxfId="10">
      <calculatedColumnFormula>IF(TableRaw[[#This Row],[Numero]]="","",TableRaw[[#This Row],[d1200]]*TableRaw[[#This Row],[Ratio]])</calculatedColumnFormula>
    </tableColumn>
    <tableColumn id="7" xr3:uid="{3754B824-0ABF-4CEE-B3B0-510CFEBB0230}" name="Colonne7" headerRowDxfId="9" dataDxfId="8">
      <calculatedColumnFormula>IF(TableRaw[[#This Row],[Numero]]="","",TableRaw[[#This Row],[d1500]]*TableRaw[[#This Row],[Ratio]])</calculatedColumnFormula>
    </tableColumn>
    <tableColumn id="8" xr3:uid="{D55FFB38-8FE7-4C62-9AF6-456114A9E97A}" name="Colonne8" headerRowDxfId="7" dataDxfId="6">
      <calculatedColumnFormula>IF(TableRaw[[#This Row],[Numero]]="","",TableRaw[[#This Row],[d1800]]*TableRaw[[#This Row],[Ratio]])</calculatedColumnFormula>
    </tableColumn>
    <tableColumn id="9" xr3:uid="{CC1999DB-FC9E-401B-8CDB-8CC84B403F9E}" name="Colonne9" headerRowDxfId="5" dataDxfId="4">
      <calculatedColumnFormula>IF(TableRaw[[#This Row],[Numero]]="","",TableRaw[[#This Row],[d2100]]*TableRaw[[#This Row],[Ratio]])</calculatedColumnFormula>
    </tableColumn>
    <tableColumn id="12" xr3:uid="{90B1D692-7EED-4D9C-A688-FDB1D4A3A2AC}" name="Colonne12" headerRowDxfId="3" dataDxfId="2">
      <calculatedColumnFormula>IF(ArrayResult[[#This Row],[Colonne4]]="","",IFERROR((POWER(200000,2)/2/(ArrayResult[[#This Row],[Colonne4]]-ArrayResult[[#This Row],[Colonne5]])+POWER(300000,2)/2/(ArrayResult[[#This Row],[Colonne4]]-ArrayResult[[#This Row],[Colonne13]]))/2*0.00001,""))</calculatedColumnFormula>
    </tableColumn>
  </tableColumns>
  <tableStyleInfo name="TableStyleMedium2"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79D2D689-1819-4995-8C84-89366913ABBB}" name="TableRaw" displayName="TableRaw" ref="Z13:AP35" totalsRowShown="0">
  <autoFilter ref="Z13:AP35" xr:uid="{A6AFE77C-A5A7-41BF-8572-E3E578EB684B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</autoFilter>
  <tableColumns count="17">
    <tableColumn id="1" xr3:uid="{858634D0-26A5-4376-A218-493A848C9853}" name="Force"/>
    <tableColumn id="2" xr3:uid="{CA02C40C-5369-4BA9-AB59-0EF5CD480727}" name="Ratio" dataDxfId="1">
      <calculatedColumnFormula>IFERROR(ChargeCorrection/TableRaw[[#This Row],[Force]],"")</calculatedColumnFormula>
    </tableColumn>
    <tableColumn id="13" xr3:uid="{587708C6-3664-4DD7-9365-8829E72B237D}" name="Numero"/>
    <tableColumn id="17" xr3:uid="{177230CA-828D-4F24-BB65-6E7DDAD45A88}" name="Chainage"/>
    <tableColumn id="16" xr3:uid="{A8C0A4AC-4FCF-401A-991F-AAFD66BE0E20}" name="Longitude"/>
    <tableColumn id="15" xr3:uid="{E47584C4-2370-4AF5-8A95-44184468678D}" name="Latitude"/>
    <tableColumn id="14" xr3:uid="{343B5FC3-FD25-4CDF-8B54-0E539F445E82}" name="Timpact"/>
    <tableColumn id="3" xr3:uid="{D84CDA05-2B3F-49BD-BB04-E7492A5CA81A}" name="d_300"/>
    <tableColumn id="4" xr3:uid="{81593AB1-FF97-4B6E-A41D-E11D55BB661E}" name="d0"/>
    <tableColumn id="5" xr3:uid="{396BAE32-14E4-4804-A540-9120318448E1}" name="d200"/>
    <tableColumn id="6" xr3:uid="{2422979C-9981-43CF-BB01-04B4ACE77DAE}" name="d300"/>
    <tableColumn id="7" xr3:uid="{12037B2E-0547-4455-9904-3BD45295A3B8}" name="d600"/>
    <tableColumn id="8" xr3:uid="{BDC35030-1906-4EF6-8B6C-433590D95D84}" name="d900"/>
    <tableColumn id="9" xr3:uid="{53B66289-D1AB-4F91-9003-A6A1B46A1E6A}" name="d1200"/>
    <tableColumn id="10" xr3:uid="{372610CA-D097-4B23-8BA0-897708F43C24}" name="d1500"/>
    <tableColumn id="11" xr3:uid="{10E39185-22A3-48E2-ADF5-434B7FC918D7}" name="d1800"/>
    <tableColumn id="12" xr3:uid="{B0FE6A9C-59F0-43F4-AC28-DD28BB18CC17}" name="d210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4D83990-FFAB-4D3A-98A6-6A2D5B4AC417}" name="TableChart4" displayName="TableChart4" ref="B44:N302" headerRowCount="0" totalsRowShown="0">
  <tableColumns count="13">
    <tableColumn id="1" xr3:uid="{2AE2F7A5-3AFE-47FD-8701-3A2C4A7C6254}" name="Colonne1"/>
    <tableColumn id="2" xr3:uid="{87C6680E-2096-472C-B672-53496D2E9E9F}" name="Colonne2"/>
    <tableColumn id="3" xr3:uid="{E67D4F5B-4A13-4AE3-8409-E3B8479AABC6}" name="Colonne3"/>
    <tableColumn id="4" xr3:uid="{5D2EB49C-2874-44C2-8531-7CBB928A486F}" name="Colonne4"/>
    <tableColumn id="5" xr3:uid="{2758F087-328B-4EED-89A0-8F4A3F57B515}" name="Colonne5"/>
    <tableColumn id="6" xr3:uid="{FC3CACA3-FF92-4478-BF42-614B7F414B4A}" name="Colonne6"/>
    <tableColumn id="7" xr3:uid="{33F8D6B9-4016-4918-840C-C0C5CDF11E62}" name="Colonne7"/>
    <tableColumn id="8" xr3:uid="{64BF4998-57A9-4046-96B2-D08C8322EE0E}" name="Colonne8"/>
    <tableColumn id="9" xr3:uid="{1E669A26-3988-418D-812F-313DEBB1CB79}" name="Colonne9"/>
    <tableColumn id="10" xr3:uid="{5D83511E-EAA9-4B31-BCDE-56840846EAF4}" name="Colonne10"/>
    <tableColumn id="11" xr3:uid="{072BEE68-34C0-464E-B02E-FF8E98249379}" name="Colonne11"/>
    <tableColumn id="12" xr3:uid="{F7725D27-D712-44B7-A1F9-C08CD9DDD888}" name="Colonne12"/>
    <tableColumn id="13" xr3:uid="{55556931-F134-4798-8C9A-66B5A14D4B9A}" name="Colonne13" dataDxfId="0">
      <calculatedColumnFormula>IF(TableChart4[[#This Row],[Colonne4]]="","",IFERROR((POWER(200000,2)/2/(TableChart4[[#This Row],[Colonne4]]-TableChart4[[#This Row],[Colonne5]])+POWER(300000,2)/2/(TableChart4[[#This Row],[Colonne4]]-TableChart4[[#This Row],[Colonne6]]))/2*0.00001,""))</calculatedColumnFormula>
    </tableColumn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rincent.fr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3"/>
  <dimension ref="A1"/>
  <sheetViews>
    <sheetView workbookViewId="0">
      <selection activeCell="E20" sqref="E20"/>
    </sheetView>
  </sheetViews>
  <sheetFormatPr baseColWidth="10" defaultRowHeight="15" x14ac:dyDescent="0.25"/>
  <sheetData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B76CE-86CE-456F-B632-AF6588595519}">
  <sheetPr>
    <pageSetUpPr fitToPage="1"/>
  </sheetPr>
  <dimension ref="A1:Q56"/>
  <sheetViews>
    <sheetView showWhiteSpace="0" view="pageLayout" zoomScale="85" zoomScaleNormal="115" zoomScaleSheetLayoutView="85" zoomScalePageLayoutView="85" workbookViewId="0">
      <selection activeCell="G5" sqref="G5"/>
    </sheetView>
  </sheetViews>
  <sheetFormatPr baseColWidth="10" defaultColWidth="11.42578125" defaultRowHeight="15" x14ac:dyDescent="0.25"/>
  <cols>
    <col min="1" max="1" width="2.85546875" customWidth="1"/>
    <col min="2" max="3" width="7.28515625" customWidth="1"/>
    <col min="4" max="5" width="6.7109375" customWidth="1"/>
    <col min="6" max="12" width="5.7109375" customWidth="1"/>
    <col min="13" max="13" width="8" customWidth="1"/>
    <col min="14" max="16" width="6" customWidth="1"/>
    <col min="17" max="17" width="2.28515625" customWidth="1"/>
  </cols>
  <sheetData>
    <row r="1" spans="1:17" ht="7.5" customHeight="1" x14ac:dyDescent="0.25">
      <c r="A1" s="30"/>
      <c r="B1" s="30"/>
      <c r="C1" s="30"/>
      <c r="D1" s="30"/>
      <c r="E1" s="30"/>
      <c r="F1" s="30"/>
      <c r="G1" s="30"/>
      <c r="H1" s="30"/>
      <c r="I1" s="30"/>
      <c r="J1" s="31"/>
      <c r="K1" s="30"/>
      <c r="L1" s="30"/>
      <c r="M1" s="30"/>
      <c r="N1" s="30"/>
      <c r="O1" s="30"/>
      <c r="P1" s="30"/>
      <c r="Q1" s="30"/>
    </row>
    <row r="2" spans="1:17" ht="26.25" x14ac:dyDescent="0.4">
      <c r="A2" s="30"/>
      <c r="B2" s="30"/>
      <c r="C2" s="30"/>
      <c r="D2" s="30"/>
      <c r="E2" s="185" t="s">
        <v>49</v>
      </c>
      <c r="F2" s="186"/>
      <c r="G2" s="186"/>
      <c r="H2" s="186"/>
      <c r="I2" s="186"/>
      <c r="J2" s="186"/>
      <c r="K2" s="186"/>
      <c r="L2" s="186"/>
      <c r="M2" s="186"/>
      <c r="N2" s="186"/>
      <c r="O2" s="186"/>
      <c r="P2" s="186"/>
      <c r="Q2" s="30"/>
    </row>
    <row r="3" spans="1:17" ht="15.75" customHeight="1" x14ac:dyDescent="0.25">
      <c r="A3" s="30"/>
      <c r="B3" s="30"/>
      <c r="C3" s="30"/>
      <c r="D3" s="30"/>
      <c r="E3" s="32"/>
      <c r="F3" s="32"/>
      <c r="G3" s="187"/>
      <c r="H3" s="187"/>
      <c r="I3" s="187"/>
      <c r="J3" s="187"/>
      <c r="K3" s="187"/>
      <c r="L3" s="187"/>
      <c r="M3" s="187"/>
      <c r="N3" s="187"/>
      <c r="O3" s="187"/>
      <c r="P3" s="30"/>
      <c r="Q3" s="30"/>
    </row>
    <row r="4" spans="1:17" ht="15.75" x14ac:dyDescent="0.25">
      <c r="A4" s="30"/>
      <c r="B4" s="30"/>
      <c r="C4" s="30"/>
      <c r="D4" s="30"/>
      <c r="E4" s="32"/>
      <c r="F4" s="32"/>
      <c r="G4" s="32"/>
      <c r="H4" s="32"/>
      <c r="I4" s="32"/>
      <c r="J4" s="32"/>
      <c r="K4" s="30"/>
      <c r="L4" s="30"/>
      <c r="M4" s="30"/>
      <c r="N4" s="30"/>
      <c r="O4" s="30"/>
      <c r="P4" s="30"/>
      <c r="Q4" s="30"/>
    </row>
    <row r="5" spans="1:17" ht="8.25" customHeight="1" x14ac:dyDescent="0.25">
      <c r="A5" s="30"/>
      <c r="B5" s="30"/>
      <c r="C5" s="30"/>
      <c r="D5" s="30"/>
      <c r="E5" s="30"/>
      <c r="F5" s="30"/>
      <c r="G5" s="30"/>
      <c r="H5" s="30"/>
      <c r="I5" s="33"/>
      <c r="J5" s="33"/>
      <c r="K5" s="30"/>
      <c r="L5" s="30"/>
      <c r="M5" s="30"/>
      <c r="N5" s="30"/>
      <c r="O5" s="30"/>
      <c r="P5" s="30"/>
      <c r="Q5" s="30"/>
    </row>
    <row r="6" spans="1:17" ht="8.25" customHeight="1" x14ac:dyDescent="0.25">
      <c r="A6" s="30"/>
      <c r="B6" s="30"/>
      <c r="C6" s="30"/>
      <c r="D6" s="30"/>
      <c r="E6" s="30"/>
      <c r="F6" s="30"/>
      <c r="G6" s="30"/>
      <c r="H6" s="30"/>
      <c r="I6" s="33"/>
      <c r="J6" s="33"/>
      <c r="K6" s="30"/>
      <c r="L6" s="30"/>
      <c r="M6" s="30"/>
      <c r="N6" s="30"/>
      <c r="O6" s="30"/>
      <c r="P6" s="30"/>
      <c r="Q6" s="30"/>
    </row>
    <row r="7" spans="1:17" ht="16.5" customHeight="1" x14ac:dyDescent="0.25">
      <c r="A7" s="30"/>
      <c r="B7" s="196"/>
      <c r="C7" s="196"/>
      <c r="D7" s="196"/>
      <c r="E7" s="30"/>
      <c r="F7" s="30"/>
      <c r="G7" s="30"/>
      <c r="H7" s="30"/>
      <c r="I7" s="33"/>
      <c r="J7" s="33"/>
      <c r="K7" s="30"/>
      <c r="L7" s="30"/>
      <c r="M7" s="30"/>
      <c r="N7" s="30"/>
      <c r="O7" s="30"/>
      <c r="P7" s="30"/>
      <c r="Q7" s="30"/>
    </row>
    <row r="8" spans="1:17" ht="12.75" customHeight="1" x14ac:dyDescent="0.25">
      <c r="A8" s="30"/>
      <c r="B8" s="197" t="s">
        <v>50</v>
      </c>
      <c r="C8" s="182"/>
      <c r="D8" s="182"/>
      <c r="E8" s="30"/>
      <c r="F8" s="30"/>
      <c r="G8" s="30"/>
      <c r="H8" s="30"/>
      <c r="I8" s="33"/>
      <c r="J8" s="33"/>
      <c r="K8" s="30"/>
      <c r="L8" s="30"/>
      <c r="M8" s="30"/>
      <c r="N8" s="30"/>
      <c r="O8" s="30"/>
      <c r="P8" s="30"/>
      <c r="Q8" s="30"/>
    </row>
    <row r="9" spans="1:17" ht="15" customHeight="1" x14ac:dyDescent="0.25">
      <c r="A9" s="201"/>
      <c r="B9" s="201"/>
      <c r="C9" s="201"/>
      <c r="D9" s="201"/>
      <c r="E9" s="201"/>
      <c r="F9" s="201"/>
      <c r="G9" s="30"/>
      <c r="H9" s="30"/>
      <c r="I9" s="33"/>
      <c r="J9" s="33"/>
      <c r="K9" s="30"/>
      <c r="L9" s="30"/>
      <c r="M9" s="30"/>
      <c r="N9" s="30"/>
      <c r="O9" s="30"/>
      <c r="P9" s="30"/>
      <c r="Q9" s="30"/>
    </row>
    <row r="10" spans="1:17" ht="15" customHeight="1" x14ac:dyDescent="0.25">
      <c r="A10" s="202"/>
      <c r="B10" s="202"/>
      <c r="C10" s="202"/>
      <c r="D10" s="202"/>
      <c r="E10" s="202"/>
      <c r="F10" s="202"/>
      <c r="G10" s="30"/>
      <c r="H10" s="30"/>
      <c r="I10" s="33"/>
      <c r="J10" s="35"/>
      <c r="K10" s="188"/>
      <c r="L10" s="188"/>
      <c r="M10" s="188"/>
      <c r="N10" s="188"/>
      <c r="O10" s="30"/>
      <c r="P10" s="30"/>
      <c r="Q10" s="30"/>
    </row>
    <row r="11" spans="1:17" ht="1.5" customHeight="1" x14ac:dyDescent="0.25">
      <c r="A11" s="206"/>
      <c r="B11" s="206"/>
      <c r="C11" s="206"/>
      <c r="D11" s="206"/>
      <c r="E11" s="206"/>
      <c r="F11" s="206"/>
      <c r="G11" s="36"/>
      <c r="H11" s="36"/>
      <c r="I11" s="36"/>
      <c r="J11" s="36"/>
      <c r="K11" s="36"/>
      <c r="L11" s="36"/>
      <c r="M11" s="36"/>
      <c r="N11" s="36"/>
      <c r="O11" s="36"/>
      <c r="P11" s="30"/>
      <c r="Q11" s="30"/>
    </row>
    <row r="12" spans="1:17" ht="21" customHeight="1" x14ac:dyDescent="0.25">
      <c r="A12" s="36"/>
      <c r="B12" s="207" t="s">
        <v>52</v>
      </c>
      <c r="C12" s="207"/>
      <c r="D12" s="207"/>
      <c r="E12" s="207"/>
      <c r="F12" s="207"/>
      <c r="G12" s="207"/>
      <c r="H12" s="207"/>
      <c r="I12" s="207"/>
      <c r="J12" s="207"/>
      <c r="K12" s="207"/>
      <c r="L12" s="207"/>
      <c r="M12" s="207"/>
      <c r="N12" s="207"/>
      <c r="O12" s="207"/>
      <c r="P12" s="207"/>
      <c r="Q12" s="30"/>
    </row>
    <row r="13" spans="1:17" ht="20.25" customHeight="1" x14ac:dyDescent="0.25">
      <c r="A13" s="36"/>
      <c r="B13" s="208" t="s">
        <v>53</v>
      </c>
      <c r="C13" s="208"/>
      <c r="D13" s="208"/>
      <c r="E13" s="208"/>
      <c r="F13" s="208"/>
      <c r="G13" s="208"/>
      <c r="H13" s="208"/>
      <c r="I13" s="208"/>
      <c r="J13" s="208"/>
      <c r="K13" s="208"/>
      <c r="L13" s="208"/>
      <c r="M13" s="208"/>
      <c r="N13" s="208"/>
      <c r="O13" s="208"/>
      <c r="P13" s="208"/>
      <c r="Q13" s="30"/>
    </row>
    <row r="14" spans="1:17" ht="15.75" x14ac:dyDescent="0.25">
      <c r="A14" s="36"/>
      <c r="B14" s="208"/>
      <c r="C14" s="208"/>
      <c r="D14" s="208"/>
      <c r="E14" s="208"/>
      <c r="F14" s="208"/>
      <c r="G14" s="208"/>
      <c r="H14" s="208"/>
      <c r="I14" s="208"/>
      <c r="J14" s="208"/>
      <c r="K14" s="208"/>
      <c r="L14" s="208"/>
      <c r="M14" s="208"/>
      <c r="N14" s="208"/>
      <c r="O14" s="208"/>
      <c r="P14" s="208"/>
      <c r="Q14" s="30"/>
    </row>
    <row r="15" spans="1:17" ht="6.75" customHeight="1" x14ac:dyDescent="0.25">
      <c r="A15" s="36"/>
      <c r="B15" s="36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0"/>
      <c r="Q15" s="30"/>
    </row>
    <row r="16" spans="1:17" ht="18" customHeight="1" x14ac:dyDescent="0.25">
      <c r="A16" s="85"/>
      <c r="B16" s="162" t="s">
        <v>48</v>
      </c>
      <c r="C16" s="163"/>
      <c r="D16" s="163"/>
      <c r="E16" s="163"/>
      <c r="F16" s="163"/>
      <c r="G16" s="163"/>
      <c r="H16" s="163"/>
      <c r="I16" s="163"/>
      <c r="J16" s="163"/>
      <c r="K16" s="163"/>
      <c r="L16" s="163"/>
      <c r="M16" s="163"/>
      <c r="N16" s="163"/>
      <c r="O16" s="163"/>
      <c r="P16" s="164"/>
      <c r="Q16" s="30"/>
    </row>
    <row r="17" spans="1:17" x14ac:dyDescent="0.25">
      <c r="A17" s="37"/>
      <c r="B17" s="38"/>
      <c r="C17" s="39"/>
      <c r="D17" s="40" t="s">
        <v>11</v>
      </c>
      <c r="E17" s="174" t="e">
        <f>IF(Dossiers_Nom="","",Dossiers_Nom)</f>
        <v>#NAME?</v>
      </c>
      <c r="F17" s="174"/>
      <c r="G17" s="174"/>
      <c r="H17" s="174"/>
      <c r="I17" s="41"/>
      <c r="J17" s="41"/>
      <c r="K17" s="41"/>
      <c r="L17" s="40" t="s">
        <v>55</v>
      </c>
      <c r="M17" s="198">
        <f ca="1">TODAY()</f>
        <v>44243</v>
      </c>
      <c r="N17" s="199"/>
      <c r="O17" s="199"/>
      <c r="P17" s="200"/>
      <c r="Q17" s="30"/>
    </row>
    <row r="18" spans="1:17" x14ac:dyDescent="0.25">
      <c r="A18" s="37"/>
      <c r="B18" s="42"/>
      <c r="C18" s="106"/>
      <c r="D18" s="107" t="s">
        <v>12</v>
      </c>
      <c r="E18" s="193" t="e">
        <f>IF(Dossiers_Localite="","",Dossiers_Localite)</f>
        <v>#NAME?</v>
      </c>
      <c r="F18" s="193"/>
      <c r="G18" s="193"/>
      <c r="H18" s="193"/>
      <c r="I18" s="108"/>
      <c r="J18" s="108"/>
      <c r="K18" s="109"/>
      <c r="L18" s="107" t="s">
        <v>13</v>
      </c>
      <c r="M18" s="193" t="e">
        <f>IF(Dossiers_Dossier="","", Dossiers_Dossier)</f>
        <v>#NAME?</v>
      </c>
      <c r="N18" s="193"/>
      <c r="O18" s="193"/>
      <c r="P18" s="194"/>
      <c r="Q18" s="30"/>
    </row>
    <row r="19" spans="1:17" x14ac:dyDescent="0.25">
      <c r="A19" s="37"/>
      <c r="B19" s="44"/>
      <c r="C19" s="45"/>
      <c r="D19" s="46" t="s">
        <v>54</v>
      </c>
      <c r="E19" s="171" t="e">
        <f>IF(Dossiers_Client="","",Dossiers_Client)</f>
        <v>#NAME?</v>
      </c>
      <c r="F19" s="171"/>
      <c r="G19" s="171"/>
      <c r="H19" s="171"/>
      <c r="I19" s="47"/>
      <c r="J19" s="47"/>
      <c r="K19" s="47"/>
      <c r="L19" s="46" t="s">
        <v>14</v>
      </c>
      <c r="M19" s="172" t="e">
        <f>IF(Dossiers_ContactClient="","",Dossiers_ContactClient)</f>
        <v>#NAME?</v>
      </c>
      <c r="N19" s="172"/>
      <c r="O19" s="172"/>
      <c r="P19" s="173"/>
      <c r="Q19" s="30"/>
    </row>
    <row r="20" spans="1:17" ht="18.75" customHeight="1" x14ac:dyDescent="0.25">
      <c r="A20" s="37"/>
      <c r="B20" s="29"/>
      <c r="C20" s="29"/>
      <c r="D20" s="48"/>
      <c r="E20" s="48"/>
      <c r="F20" s="48"/>
      <c r="G20" s="48"/>
      <c r="H20" s="48"/>
      <c r="I20" s="48"/>
      <c r="J20" s="48"/>
      <c r="K20" s="48"/>
      <c r="L20" s="43"/>
      <c r="M20" s="43"/>
      <c r="N20" s="43"/>
      <c r="O20" s="43"/>
      <c r="P20" s="30"/>
      <c r="Q20" s="30"/>
    </row>
    <row r="21" spans="1:17" ht="15.75" x14ac:dyDescent="0.25">
      <c r="A21" s="49"/>
      <c r="B21" s="162" t="s">
        <v>73</v>
      </c>
      <c r="C21" s="163"/>
      <c r="D21" s="163"/>
      <c r="E21" s="163"/>
      <c r="F21" s="163"/>
      <c r="G21" s="163"/>
      <c r="H21" s="163"/>
      <c r="I21" s="163"/>
      <c r="J21" s="163"/>
      <c r="K21" s="163"/>
      <c r="L21" s="163"/>
      <c r="M21" s="163"/>
      <c r="N21" s="163"/>
      <c r="O21" s="163"/>
      <c r="P21" s="164"/>
      <c r="Q21" s="30"/>
    </row>
    <row r="22" spans="1:17" ht="14.25" customHeight="1" x14ac:dyDescent="0.25">
      <c r="A22" s="50"/>
      <c r="B22" s="38"/>
      <c r="C22" s="39"/>
      <c r="D22" s="40" t="s">
        <v>78</v>
      </c>
      <c r="E22" s="174" t="e">
        <f>IF(Dossiers_Ouvrage="","",Dossiers_Ouvrage)</f>
        <v>#NAME?</v>
      </c>
      <c r="F22" s="174"/>
      <c r="G22" s="174"/>
      <c r="H22" s="174"/>
      <c r="I22" s="41"/>
      <c r="J22" s="41"/>
      <c r="K22" s="41"/>
      <c r="L22" s="40" t="s">
        <v>35</v>
      </c>
      <c r="M22" s="198" t="e">
        <f>IF(LEN(DAY(PVs_Date)) = 1, "0" &amp; DAY(PVs_Date),DAY(PVs_Date)) &amp; "/" &amp; IF(LEN(MONTH(PVs_Date)) = 1, "0" &amp; MONTH(PVs_Date),MONTH(PVs_Date))  &amp; "/" &amp; YEAR(PVs_Date)</f>
        <v>#NAME?</v>
      </c>
      <c r="N22" s="199"/>
      <c r="O22" s="199"/>
      <c r="P22" s="200"/>
      <c r="Q22" s="30"/>
    </row>
    <row r="23" spans="1:17" ht="14.25" customHeight="1" x14ac:dyDescent="0.25">
      <c r="A23" s="51"/>
      <c r="B23" s="42"/>
      <c r="C23" s="29"/>
      <c r="D23" s="89" t="s">
        <v>74</v>
      </c>
      <c r="E23" s="167" t="e">
        <f>IF(PVs_Voie="","",PVs_Voie)</f>
        <v>#NAME?</v>
      </c>
      <c r="F23" s="167"/>
      <c r="G23" s="167"/>
      <c r="H23" s="112"/>
      <c r="I23" s="112"/>
      <c r="J23" s="112"/>
      <c r="K23" s="112"/>
      <c r="L23" s="107" t="s">
        <v>79</v>
      </c>
      <c r="M23" s="168" t="e">
        <f>IF(PVs_PartieOuvrage="","",PVs_PartieOuvrage)</f>
        <v>#NAME?</v>
      </c>
      <c r="N23" s="169"/>
      <c r="O23" s="169"/>
      <c r="P23" s="170"/>
      <c r="Q23" s="52"/>
    </row>
    <row r="24" spans="1:17" ht="14.25" customHeight="1" x14ac:dyDescent="0.25">
      <c r="A24" s="51"/>
      <c r="B24" s="44"/>
      <c r="C24" s="45"/>
      <c r="D24" s="46" t="s">
        <v>75</v>
      </c>
      <c r="E24" s="171" t="e">
        <f>IF(PVs_Sens="","",PVs_Sens)</f>
        <v>#NAME?</v>
      </c>
      <c r="F24" s="171"/>
      <c r="G24" s="171"/>
      <c r="H24" s="171"/>
      <c r="I24" s="47"/>
      <c r="J24" s="47"/>
      <c r="K24" s="47"/>
      <c r="L24" s="46"/>
      <c r="M24" s="172"/>
      <c r="N24" s="172"/>
      <c r="O24" s="172"/>
      <c r="P24" s="173"/>
      <c r="Q24" s="30"/>
    </row>
    <row r="25" spans="1:17" ht="18.75" customHeight="1" x14ac:dyDescent="0.25">
      <c r="A25" s="37"/>
      <c r="B25" s="29"/>
      <c r="C25" s="29"/>
      <c r="D25" s="48"/>
      <c r="E25" s="48"/>
      <c r="F25" s="48"/>
      <c r="G25" s="48"/>
      <c r="H25" s="48"/>
      <c r="I25" s="48"/>
      <c r="J25" s="48"/>
      <c r="K25" s="48"/>
      <c r="L25" s="43"/>
      <c r="M25" s="43"/>
      <c r="N25" s="43"/>
      <c r="O25" s="43"/>
      <c r="P25" s="30"/>
      <c r="Q25" s="30"/>
    </row>
    <row r="26" spans="1:17" ht="15.75" x14ac:dyDescent="0.25">
      <c r="A26" s="49"/>
      <c r="B26" s="162" t="s">
        <v>77</v>
      </c>
      <c r="C26" s="163"/>
      <c r="D26" s="163"/>
      <c r="E26" s="163"/>
      <c r="F26" s="163"/>
      <c r="G26" s="163"/>
      <c r="H26" s="163"/>
      <c r="I26" s="163"/>
      <c r="J26" s="163"/>
      <c r="K26" s="163"/>
      <c r="L26" s="163"/>
      <c r="M26" s="163"/>
      <c r="N26" s="163"/>
      <c r="O26" s="163"/>
      <c r="P26" s="164"/>
      <c r="Q26" s="30"/>
    </row>
    <row r="27" spans="1:17" x14ac:dyDescent="0.25">
      <c r="A27" s="50"/>
      <c r="B27" s="38"/>
      <c r="C27" s="39"/>
      <c r="D27" s="40" t="s">
        <v>82</v>
      </c>
      <c r="E27" s="174" t="e">
        <f>IF(Plateformes_Type="","",Plateformes_Type)</f>
        <v>#NAME?</v>
      </c>
      <c r="F27" s="174"/>
      <c r="G27" s="174"/>
      <c r="H27" s="174"/>
      <c r="I27" s="41"/>
      <c r="J27" s="41"/>
      <c r="K27" s="41"/>
      <c r="L27" s="129" t="s">
        <v>16</v>
      </c>
      <c r="M27" s="128" t="e">
        <f>ROUND(AVERAGE(ArrayResult_Tsurf),1) &amp; " °C"</f>
        <v>#NAME?</v>
      </c>
      <c r="N27" s="128"/>
      <c r="O27" s="128"/>
      <c r="P27" s="125"/>
      <c r="Q27" s="30"/>
    </row>
    <row r="28" spans="1:17" ht="15" customHeight="1" x14ac:dyDescent="0.25">
      <c r="A28" s="51"/>
      <c r="B28" s="42"/>
      <c r="C28" s="29"/>
      <c r="D28" s="129" t="s">
        <v>72</v>
      </c>
      <c r="E28" s="167" t="e">
        <f>IF(Plateformes_Couche="","",Plateformes_Couche)</f>
        <v>#NAME?</v>
      </c>
      <c r="F28" s="167"/>
      <c r="G28" s="167"/>
      <c r="H28" s="167"/>
      <c r="I28" s="112"/>
      <c r="J28" s="112"/>
      <c r="K28" s="112"/>
      <c r="L28" s="129" t="s">
        <v>85</v>
      </c>
      <c r="M28" s="128" t="e">
        <f>ROUND(AVERAGE(ArrayResult_Tair),1) &amp; " °C"</f>
        <v>#NAME?</v>
      </c>
      <c r="N28" s="128"/>
      <c r="O28" s="128"/>
      <c r="P28" s="125"/>
      <c r="Q28" s="52"/>
    </row>
    <row r="29" spans="1:17" ht="15" customHeight="1" x14ac:dyDescent="0.25">
      <c r="A29" s="51"/>
      <c r="B29" s="42"/>
      <c r="C29" s="29"/>
      <c r="D29" s="107" t="s">
        <v>81</v>
      </c>
      <c r="E29" s="195" t="e">
        <f>IF(Plateformes_Materiau="","",Plateformes_Materiau)</f>
        <v>#NAME?</v>
      </c>
      <c r="F29" s="195"/>
      <c r="G29" s="195"/>
      <c r="H29" s="195"/>
      <c r="I29" s="112"/>
      <c r="J29" s="112"/>
      <c r="K29" s="112"/>
      <c r="L29" s="107" t="s">
        <v>36</v>
      </c>
      <c r="M29" s="193" t="e">
        <f>IF(PVs_Climat="","",PVs_Climat)</f>
        <v>#NAME?</v>
      </c>
      <c r="N29" s="193"/>
      <c r="O29" s="193"/>
      <c r="P29" s="194"/>
      <c r="Q29" s="52"/>
    </row>
    <row r="30" spans="1:17" x14ac:dyDescent="0.25">
      <c r="A30" s="51"/>
      <c r="B30" s="44"/>
      <c r="C30" s="45"/>
      <c r="D30" s="46" t="s">
        <v>83</v>
      </c>
      <c r="E30" s="189" t="e">
        <f>IF(Plateformes_Etat="","",Plateformes_Etat)</f>
        <v>#NAME?</v>
      </c>
      <c r="F30" s="190"/>
      <c r="G30" s="190"/>
      <c r="H30" s="190"/>
      <c r="I30" s="47"/>
      <c r="J30" s="47"/>
      <c r="K30" s="47"/>
      <c r="L30" s="46"/>
      <c r="M30" s="172"/>
      <c r="N30" s="172"/>
      <c r="O30" s="172"/>
      <c r="P30" s="173"/>
      <c r="Q30" s="30"/>
    </row>
    <row r="31" spans="1:17" ht="18.75" customHeight="1" x14ac:dyDescent="0.25">
      <c r="A31" s="37"/>
      <c r="B31" s="29"/>
      <c r="C31" s="29"/>
      <c r="D31" s="48"/>
      <c r="E31" s="48"/>
      <c r="F31" s="48"/>
      <c r="G31" s="48"/>
      <c r="H31" s="48"/>
      <c r="I31" s="48"/>
      <c r="J31" s="48"/>
      <c r="K31" s="48"/>
      <c r="L31" s="43"/>
      <c r="M31" s="43"/>
      <c r="N31" s="43"/>
      <c r="O31" s="43"/>
      <c r="P31" s="30"/>
      <c r="Q31" s="30"/>
    </row>
    <row r="32" spans="1:17" ht="15.75" x14ac:dyDescent="0.25">
      <c r="A32" s="49"/>
      <c r="B32" s="162" t="s">
        <v>76</v>
      </c>
      <c r="C32" s="163"/>
      <c r="D32" s="163"/>
      <c r="E32" s="163"/>
      <c r="F32" s="163"/>
      <c r="G32" s="163"/>
      <c r="H32" s="163"/>
      <c r="I32" s="163"/>
      <c r="J32" s="163"/>
      <c r="K32" s="163"/>
      <c r="L32" s="163"/>
      <c r="M32" s="163"/>
      <c r="N32" s="163"/>
      <c r="O32" s="163"/>
      <c r="P32" s="164"/>
      <c r="Q32" s="30"/>
    </row>
    <row r="33" spans="1:17" x14ac:dyDescent="0.25">
      <c r="A33" s="50"/>
      <c r="B33" s="136"/>
      <c r="C33" s="53"/>
      <c r="D33" s="40" t="s">
        <v>15</v>
      </c>
      <c r="E33" s="203" t="e">
        <f xml:space="preserve"> IF(Machines_Serial="","","Heavydyn " &amp; Machines_Serial)</f>
        <v>#NAME?</v>
      </c>
      <c r="F33" s="203"/>
      <c r="G33" s="203"/>
      <c r="H33" s="203"/>
      <c r="I33" s="55"/>
      <c r="J33" s="55"/>
      <c r="K33" s="55"/>
      <c r="L33" s="40" t="s">
        <v>80</v>
      </c>
      <c r="M33" s="191" t="e">
        <f>IF(Calibrations_Date="","",Calibrations_Date)</f>
        <v>#NAME?</v>
      </c>
      <c r="N33" s="191"/>
      <c r="O33" s="191"/>
      <c r="P33" s="192"/>
      <c r="Q33" s="30"/>
    </row>
    <row r="34" spans="1:17" ht="15" customHeight="1" x14ac:dyDescent="0.25">
      <c r="A34" s="51"/>
      <c r="B34" s="42"/>
      <c r="C34" s="29"/>
      <c r="D34" s="129" t="s">
        <v>84</v>
      </c>
      <c r="E34" s="167" t="e">
        <f>IF(Calibrations_DPlaque="","",Calibrations_DPlaque*1000 &amp; " mm")</f>
        <v>#NAME?</v>
      </c>
      <c r="F34" s="167"/>
      <c r="G34" s="167"/>
      <c r="H34" s="183"/>
      <c r="I34" s="183"/>
      <c r="J34" s="183"/>
      <c r="K34" s="183"/>
      <c r="L34" s="183"/>
      <c r="M34" s="167"/>
      <c r="N34" s="167"/>
      <c r="O34" s="167"/>
      <c r="P34" s="194"/>
      <c r="Q34" s="52"/>
    </row>
    <row r="35" spans="1:17" ht="18.75" customHeight="1" x14ac:dyDescent="0.25">
      <c r="A35" s="51"/>
      <c r="B35" s="53"/>
      <c r="C35" s="53"/>
      <c r="D35" s="40"/>
      <c r="E35" s="54"/>
      <c r="F35" s="54"/>
      <c r="G35" s="54"/>
      <c r="H35" s="54"/>
      <c r="I35" s="55"/>
      <c r="J35" s="55"/>
      <c r="K35" s="55"/>
      <c r="L35" s="40"/>
      <c r="M35" s="56"/>
      <c r="N35" s="56"/>
      <c r="O35" s="56"/>
      <c r="P35" s="56"/>
      <c r="Q35" s="30"/>
    </row>
    <row r="36" spans="1:17" ht="15.75" x14ac:dyDescent="0.25">
      <c r="A36" s="51"/>
      <c r="B36" s="162" t="s">
        <v>31</v>
      </c>
      <c r="C36" s="163"/>
      <c r="D36" s="163"/>
      <c r="E36" s="163"/>
      <c r="F36" s="163"/>
      <c r="G36" s="163"/>
      <c r="H36" s="163"/>
      <c r="I36" s="163"/>
      <c r="J36" s="163"/>
      <c r="K36" s="163"/>
      <c r="L36" s="163"/>
      <c r="M36" s="163"/>
      <c r="N36" s="163"/>
      <c r="O36" s="163"/>
      <c r="P36" s="164"/>
      <c r="Q36" s="30"/>
    </row>
    <row r="37" spans="1:17" x14ac:dyDescent="0.25">
      <c r="A37" s="51"/>
      <c r="B37" s="38"/>
      <c r="C37" s="39"/>
      <c r="D37" s="129" t="s">
        <v>32</v>
      </c>
      <c r="E37" s="124" t="e">
        <f>IF(ResultatsPV_Points_Nombre="","",ResultatsPV_Points_Nombre)</f>
        <v>#NAME?</v>
      </c>
      <c r="F37" s="41"/>
      <c r="G37" s="41"/>
      <c r="H37" s="41"/>
      <c r="I37" s="41"/>
      <c r="J37" s="41"/>
      <c r="K37" s="41"/>
      <c r="L37" s="57" t="s">
        <v>34</v>
      </c>
      <c r="M37" s="204" t="e">
        <f>AVERAGE(ArrayResult_Forcemax)</f>
        <v>#NAME?</v>
      </c>
      <c r="N37" s="204"/>
      <c r="O37" s="204"/>
      <c r="P37" s="205"/>
      <c r="Q37" s="30"/>
    </row>
    <row r="38" spans="1:17" s="66" customFormat="1" ht="14.25" customHeight="1" x14ac:dyDescent="0.25">
      <c r="A38" s="58"/>
      <c r="B38" s="59"/>
      <c r="C38" s="60"/>
      <c r="D38" s="61" t="s">
        <v>62</v>
      </c>
      <c r="E38" s="62" t="e">
        <f>MAX(ArrayResult_D0000)</f>
        <v>#NAME?</v>
      </c>
      <c r="F38" s="63"/>
      <c r="G38" s="63"/>
      <c r="H38" s="63"/>
      <c r="I38" s="60"/>
      <c r="J38" s="60"/>
      <c r="K38" s="60"/>
      <c r="L38" s="61" t="s">
        <v>86</v>
      </c>
      <c r="M38" s="62" t="e">
        <f>AVERAGE(ArrayResult_Forcemax)/Calibrations_DPlaque/Calibrations_DPlaque*4/PI()/1000</f>
        <v>#NAME?</v>
      </c>
      <c r="N38" s="64"/>
      <c r="O38" s="64"/>
      <c r="P38" s="65"/>
      <c r="Q38" s="60"/>
    </row>
    <row r="39" spans="1:17" s="66" customFormat="1" ht="14.25" customHeight="1" x14ac:dyDescent="0.25">
      <c r="A39" s="58"/>
      <c r="B39" s="67"/>
      <c r="C39" s="68"/>
      <c r="D39" s="61" t="s">
        <v>63</v>
      </c>
      <c r="E39" s="126" t="e">
        <f>AVERAGE(ArrayResult_D0000)</f>
        <v>#NAME?</v>
      </c>
      <c r="F39" s="68"/>
      <c r="G39" s="68"/>
      <c r="H39" s="68"/>
      <c r="I39" s="68"/>
      <c r="J39" s="68"/>
      <c r="K39" s="63"/>
      <c r="L39" s="61" t="s">
        <v>38</v>
      </c>
      <c r="M39" s="62" t="e">
        <f>E40+2*M40</f>
        <v>#NAME?</v>
      </c>
      <c r="N39" s="64"/>
      <c r="O39" s="64"/>
      <c r="P39" s="65"/>
      <c r="Q39" s="60"/>
    </row>
    <row r="40" spans="1:17" s="66" customFormat="1" ht="14.25" customHeight="1" x14ac:dyDescent="0.25">
      <c r="A40" s="58"/>
      <c r="B40" s="70"/>
      <c r="C40" s="71"/>
      <c r="D40" s="72" t="s">
        <v>64</v>
      </c>
      <c r="E40" s="73" t="e">
        <f>MIN(ArrayResult_D0000)</f>
        <v>#NAME?</v>
      </c>
      <c r="F40" s="74"/>
      <c r="G40" s="74"/>
      <c r="H40" s="74"/>
      <c r="I40" s="71"/>
      <c r="J40" s="71"/>
      <c r="K40" s="75"/>
      <c r="L40" s="69" t="s">
        <v>39</v>
      </c>
      <c r="M40" s="126" t="e">
        <f>STDEVA((ArrayResult_D0000))</f>
        <v>#NAME?</v>
      </c>
      <c r="N40" s="126"/>
      <c r="O40" s="126"/>
      <c r="P40" s="127"/>
      <c r="Q40" s="60"/>
    </row>
    <row r="41" spans="1:17" s="66" customFormat="1" ht="14.25" customHeight="1" x14ac:dyDescent="0.25">
      <c r="A41" s="58"/>
      <c r="B41" s="101"/>
      <c r="C41" s="101"/>
      <c r="D41" s="102"/>
      <c r="E41" s="103"/>
      <c r="F41" s="104"/>
      <c r="G41" s="104"/>
      <c r="H41" s="104"/>
      <c r="I41" s="101"/>
      <c r="J41" s="101"/>
      <c r="K41" s="105"/>
      <c r="L41" s="102"/>
      <c r="M41" s="104"/>
      <c r="N41" s="104"/>
      <c r="O41" s="104"/>
      <c r="P41" s="104"/>
      <c r="Q41" s="60"/>
    </row>
    <row r="42" spans="1:17" s="66" customFormat="1" ht="14.25" customHeight="1" x14ac:dyDescent="0.25">
      <c r="A42" s="58"/>
      <c r="B42" s="96"/>
      <c r="C42" s="96"/>
      <c r="D42" s="97"/>
      <c r="E42" s="98"/>
      <c r="F42" s="99"/>
      <c r="G42" s="99"/>
      <c r="H42" s="99"/>
      <c r="I42" s="96"/>
      <c r="J42" s="96"/>
      <c r="K42" s="100"/>
      <c r="L42" s="97"/>
      <c r="M42" s="99"/>
      <c r="N42" s="99"/>
      <c r="O42" s="99"/>
      <c r="P42" s="99"/>
      <c r="Q42" s="60"/>
    </row>
    <row r="43" spans="1:17" s="66" customFormat="1" ht="14.25" customHeight="1" x14ac:dyDescent="0.25">
      <c r="A43" s="58"/>
      <c r="B43" s="96"/>
      <c r="C43" s="96"/>
      <c r="D43" s="97"/>
      <c r="E43" s="98"/>
      <c r="F43" s="99"/>
      <c r="G43" s="99"/>
      <c r="H43" s="99"/>
      <c r="I43" s="96"/>
      <c r="J43" s="96"/>
      <c r="K43" s="100"/>
      <c r="L43" s="97"/>
      <c r="M43" s="99"/>
      <c r="N43" s="99"/>
      <c r="O43" s="99"/>
      <c r="P43" s="99"/>
      <c r="Q43" s="60"/>
    </row>
    <row r="44" spans="1:17" s="66" customFormat="1" ht="14.25" customHeight="1" x14ac:dyDescent="0.25">
      <c r="A44" s="58"/>
      <c r="B44" s="96"/>
      <c r="C44" s="96"/>
      <c r="D44" s="97"/>
      <c r="E44" s="98"/>
      <c r="F44" s="99"/>
      <c r="G44" s="99"/>
      <c r="H44" s="99"/>
      <c r="I44" s="96"/>
      <c r="J44" s="96"/>
      <c r="K44" s="100"/>
      <c r="L44" s="97"/>
      <c r="M44" s="99"/>
      <c r="N44" s="99"/>
      <c r="O44" s="99"/>
      <c r="P44" s="99"/>
      <c r="Q44" s="60"/>
    </row>
    <row r="45" spans="1:17" s="66" customFormat="1" ht="14.25" customHeight="1" x14ac:dyDescent="0.25">
      <c r="A45" s="58"/>
      <c r="B45" s="96"/>
      <c r="C45" s="96"/>
      <c r="D45" s="97"/>
      <c r="E45" s="98"/>
      <c r="F45" s="99"/>
      <c r="G45" s="99"/>
      <c r="H45" s="99"/>
      <c r="I45" s="96"/>
      <c r="J45" s="96"/>
      <c r="K45" s="100"/>
      <c r="L45" s="97"/>
      <c r="M45" s="99"/>
      <c r="N45" s="99"/>
      <c r="O45" s="99"/>
      <c r="P45" s="99"/>
      <c r="Q45" s="60"/>
    </row>
    <row r="46" spans="1:17" s="66" customFormat="1" ht="14.25" customHeight="1" x14ac:dyDescent="0.25">
      <c r="A46" s="58"/>
      <c r="B46" s="96"/>
      <c r="C46" s="96"/>
      <c r="D46" s="97"/>
      <c r="E46" s="98"/>
      <c r="F46" s="99"/>
      <c r="G46" s="99"/>
      <c r="H46" s="99"/>
      <c r="I46" s="96"/>
      <c r="J46" s="96"/>
      <c r="K46" s="100"/>
      <c r="L46" s="97"/>
      <c r="M46" s="99"/>
      <c r="N46" s="99"/>
      <c r="O46" s="99"/>
      <c r="P46" s="99"/>
      <c r="Q46" s="60"/>
    </row>
    <row r="47" spans="1:17" s="66" customFormat="1" ht="14.25" customHeight="1" x14ac:dyDescent="0.25">
      <c r="A47" s="58"/>
      <c r="B47" s="96"/>
      <c r="C47" s="96"/>
      <c r="D47" s="97"/>
      <c r="E47" s="98"/>
      <c r="F47" s="99"/>
      <c r="G47" s="99"/>
      <c r="H47" s="99"/>
      <c r="I47" s="96"/>
      <c r="J47" s="96"/>
      <c r="K47" s="100"/>
      <c r="L47" s="97"/>
      <c r="M47" s="99"/>
      <c r="N47" s="99"/>
      <c r="O47" s="99"/>
      <c r="P47" s="99"/>
      <c r="Q47" s="60"/>
    </row>
    <row r="48" spans="1:17" s="66" customFormat="1" ht="14.25" customHeight="1" x14ac:dyDescent="0.25">
      <c r="A48" s="58"/>
      <c r="B48" s="96"/>
      <c r="C48" s="96"/>
      <c r="D48" s="97"/>
      <c r="E48" s="98"/>
      <c r="F48" s="99"/>
      <c r="G48" s="99"/>
      <c r="H48" s="99"/>
      <c r="I48" s="96"/>
      <c r="J48" s="96"/>
      <c r="K48" s="100"/>
      <c r="L48" s="97"/>
      <c r="M48" s="99"/>
      <c r="N48" s="99"/>
      <c r="O48" s="99"/>
      <c r="P48" s="99"/>
      <c r="Q48" s="60"/>
    </row>
    <row r="49" spans="1:17" s="66" customFormat="1" ht="14.25" customHeight="1" x14ac:dyDescent="0.25">
      <c r="A49" s="58"/>
      <c r="B49" s="71"/>
      <c r="C49" s="71"/>
      <c r="D49" s="72"/>
      <c r="E49" s="73"/>
      <c r="F49" s="74"/>
      <c r="G49" s="74"/>
      <c r="H49" s="74"/>
      <c r="I49" s="71"/>
      <c r="J49" s="71"/>
      <c r="K49" s="75"/>
      <c r="L49" s="72"/>
      <c r="M49" s="74"/>
      <c r="N49" s="74"/>
      <c r="O49" s="74"/>
      <c r="P49" s="74"/>
      <c r="Q49" s="60"/>
    </row>
    <row r="50" spans="1:17" x14ac:dyDescent="0.25">
      <c r="A50" s="30"/>
      <c r="B50" s="82" t="s">
        <v>19</v>
      </c>
      <c r="C50" s="83"/>
      <c r="D50" s="88"/>
      <c r="E50" s="83"/>
      <c r="F50" s="83"/>
      <c r="G50" s="175" t="s">
        <v>20</v>
      </c>
      <c r="H50" s="175"/>
      <c r="I50" s="175"/>
      <c r="J50" s="175"/>
      <c r="K50" s="175"/>
      <c r="L50" s="39"/>
      <c r="M50" s="176" t="s">
        <v>21</v>
      </c>
      <c r="N50" s="176"/>
      <c r="O50" s="176"/>
      <c r="P50" s="177"/>
      <c r="Q50" s="30"/>
    </row>
    <row r="51" spans="1:17" ht="15" customHeight="1" x14ac:dyDescent="0.25">
      <c r="A51" s="30"/>
      <c r="B51" s="178" t="e">
        <f>IF(PVs_Commentaire="","",PVs_Commentaire)</f>
        <v>#NAME?</v>
      </c>
      <c r="C51" s="179"/>
      <c r="D51" s="179"/>
      <c r="E51" s="179"/>
      <c r="F51" s="179"/>
      <c r="G51" s="182" t="e">
        <f>IF(PVs_Operateur="","",PVs_Operateur)</f>
        <v>#NAME?</v>
      </c>
      <c r="H51" s="182"/>
      <c r="I51" s="182"/>
      <c r="J51" s="182"/>
      <c r="K51" s="182"/>
      <c r="L51" s="30"/>
      <c r="M51" s="183"/>
      <c r="N51" s="183"/>
      <c r="O51" s="183"/>
      <c r="P51" s="184"/>
      <c r="Q51" s="30"/>
    </row>
    <row r="52" spans="1:17" x14ac:dyDescent="0.25">
      <c r="A52" s="30"/>
      <c r="B52" s="178"/>
      <c r="C52" s="179"/>
      <c r="D52" s="179"/>
      <c r="E52" s="179"/>
      <c r="F52" s="179"/>
      <c r="G52" s="182" t="s">
        <v>51</v>
      </c>
      <c r="H52" s="182"/>
      <c r="I52" s="182"/>
      <c r="J52" s="182"/>
      <c r="K52" s="182"/>
      <c r="L52" s="30"/>
      <c r="M52" s="30"/>
      <c r="N52" s="30"/>
      <c r="O52" s="30"/>
      <c r="P52" s="90"/>
      <c r="Q52" s="30"/>
    </row>
    <row r="53" spans="1:17" ht="5.25" customHeight="1" x14ac:dyDescent="0.25">
      <c r="A53" s="30"/>
      <c r="B53" s="180"/>
      <c r="C53" s="181"/>
      <c r="D53" s="181"/>
      <c r="E53" s="181"/>
      <c r="F53" s="181"/>
      <c r="G53" s="77"/>
      <c r="H53" s="46"/>
      <c r="I53" s="46"/>
      <c r="J53" s="77"/>
      <c r="K53" s="77"/>
      <c r="L53" s="77"/>
      <c r="M53" s="77"/>
      <c r="N53" s="77"/>
      <c r="O53" s="77"/>
      <c r="P53" s="84"/>
      <c r="Q53" s="30"/>
    </row>
    <row r="54" spans="1:17" ht="14.1" customHeight="1" x14ac:dyDescent="0.25">
      <c r="A54" s="30"/>
      <c r="B54" s="87"/>
      <c r="C54" s="87"/>
      <c r="D54" s="87"/>
      <c r="E54" s="87"/>
      <c r="F54" s="87"/>
      <c r="G54" s="30"/>
      <c r="H54" s="89"/>
      <c r="I54" s="89"/>
      <c r="J54" s="30"/>
      <c r="K54" s="30"/>
      <c r="L54" s="30"/>
      <c r="M54" s="30"/>
      <c r="N54" s="30"/>
      <c r="O54" s="30"/>
      <c r="P54" s="30"/>
      <c r="Q54" s="30"/>
    </row>
    <row r="55" spans="1:17" ht="11.45" customHeight="1" x14ac:dyDescent="0.25">
      <c r="A55" s="30"/>
      <c r="B55" s="120"/>
      <c r="C55" s="120"/>
      <c r="D55" s="120"/>
      <c r="E55" s="165" t="s">
        <v>56</v>
      </c>
      <c r="F55" s="165"/>
      <c r="G55" s="165"/>
      <c r="H55" s="165"/>
      <c r="I55" s="165"/>
      <c r="J55" s="165"/>
      <c r="K55" s="165"/>
      <c r="L55" s="165"/>
      <c r="M55" s="165"/>
      <c r="N55" s="120"/>
      <c r="O55" s="160" t="s">
        <v>18</v>
      </c>
      <c r="P55" s="160"/>
      <c r="Q55" s="30"/>
    </row>
    <row r="56" spans="1:17" ht="12" customHeight="1" x14ac:dyDescent="0.25">
      <c r="A56" s="30"/>
      <c r="B56" s="30"/>
      <c r="C56" s="30"/>
      <c r="D56" s="30"/>
      <c r="E56" s="166" t="s">
        <v>57</v>
      </c>
      <c r="F56" s="166"/>
      <c r="G56" s="166"/>
      <c r="H56" s="166"/>
      <c r="I56" s="166"/>
      <c r="J56" s="166"/>
      <c r="K56" s="166"/>
      <c r="L56" s="166"/>
      <c r="M56" s="166"/>
      <c r="N56" s="30"/>
      <c r="O56" s="161"/>
      <c r="P56" s="161"/>
      <c r="Q56" s="30"/>
    </row>
  </sheetData>
  <mergeCells count="49">
    <mergeCell ref="M37:P37"/>
    <mergeCell ref="A11:F11"/>
    <mergeCell ref="B12:P12"/>
    <mergeCell ref="B13:P13"/>
    <mergeCell ref="B14:P14"/>
    <mergeCell ref="B16:P16"/>
    <mergeCell ref="E17:H17"/>
    <mergeCell ref="M17:P17"/>
    <mergeCell ref="E18:H18"/>
    <mergeCell ref="M18:P18"/>
    <mergeCell ref="E19:H19"/>
    <mergeCell ref="M19:P19"/>
    <mergeCell ref="M22:P22"/>
    <mergeCell ref="A9:F9"/>
    <mergeCell ref="E28:H28"/>
    <mergeCell ref="A10:F10"/>
    <mergeCell ref="E33:H33"/>
    <mergeCell ref="H34:L34"/>
    <mergeCell ref="M51:P51"/>
    <mergeCell ref="G52:K52"/>
    <mergeCell ref="E2:P2"/>
    <mergeCell ref="G3:O3"/>
    <mergeCell ref="K10:N10"/>
    <mergeCell ref="E30:H30"/>
    <mergeCell ref="M30:P30"/>
    <mergeCell ref="B32:P32"/>
    <mergeCell ref="M33:P33"/>
    <mergeCell ref="M29:P29"/>
    <mergeCell ref="E29:H29"/>
    <mergeCell ref="M34:P34"/>
    <mergeCell ref="B7:D7"/>
    <mergeCell ref="B8:D8"/>
    <mergeCell ref="E22:H22"/>
    <mergeCell ref="O55:P56"/>
    <mergeCell ref="B21:P21"/>
    <mergeCell ref="E55:M55"/>
    <mergeCell ref="E56:M56"/>
    <mergeCell ref="E23:G23"/>
    <mergeCell ref="M23:P23"/>
    <mergeCell ref="E24:H24"/>
    <mergeCell ref="M24:P24"/>
    <mergeCell ref="B36:P36"/>
    <mergeCell ref="B26:P26"/>
    <mergeCell ref="E27:H27"/>
    <mergeCell ref="G50:K50"/>
    <mergeCell ref="M50:P50"/>
    <mergeCell ref="B51:F53"/>
    <mergeCell ref="G51:K51"/>
    <mergeCell ref="E34:G34"/>
  </mergeCells>
  <hyperlinks>
    <hyperlink ref="B8" r:id="rId1" xr:uid="{65FC982D-A0D1-4178-BD0A-E30A4E658D7B}"/>
  </hyperlinks>
  <printOptions horizontalCentered="1"/>
  <pageMargins left="0.23622047244094491" right="0.23622047244094491" top="0.39370078740157483" bottom="0.19685039370078741" header="0" footer="0"/>
  <pageSetup paperSize="9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euil2">
    <pageSetUpPr fitToPage="1"/>
  </sheetPr>
  <dimension ref="A1:W38"/>
  <sheetViews>
    <sheetView view="pageLayout" zoomScaleNormal="115" zoomScaleSheetLayoutView="85" workbookViewId="0">
      <selection activeCell="E3" sqref="E3"/>
    </sheetView>
  </sheetViews>
  <sheetFormatPr baseColWidth="10" defaultColWidth="11.42578125" defaultRowHeight="15" x14ac:dyDescent="0.25"/>
  <cols>
    <col min="1" max="1" width="2.85546875" customWidth="1"/>
    <col min="2" max="2" width="6.7109375" customWidth="1"/>
    <col min="3" max="3" width="7" customWidth="1"/>
    <col min="4" max="5" width="10" customWidth="1"/>
    <col min="6" max="6" width="7" customWidth="1"/>
    <col min="7" max="8" width="6.85546875" customWidth="1"/>
    <col min="9" max="10" width="6.7109375" customWidth="1"/>
    <col min="11" max="18" width="5.7109375" customWidth="1"/>
    <col min="19" max="19" width="8" customWidth="1"/>
    <col min="20" max="21" width="6.28515625" customWidth="1"/>
    <col min="22" max="22" width="5.5703125" customWidth="1"/>
    <col min="23" max="23" width="2.28515625" customWidth="1"/>
  </cols>
  <sheetData>
    <row r="1" spans="1:23" ht="7.5" customHeight="1" x14ac:dyDescent="0.25">
      <c r="A1" s="30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1"/>
      <c r="S1" s="30"/>
      <c r="T1" s="30"/>
      <c r="U1" s="30"/>
      <c r="V1" s="30"/>
      <c r="W1" s="30"/>
    </row>
    <row r="2" spans="1:23" s="112" customFormat="1" ht="26.1" customHeight="1" x14ac:dyDescent="0.35">
      <c r="J2" s="225" t="s">
        <v>10</v>
      </c>
      <c r="K2" s="225"/>
      <c r="L2" s="225"/>
      <c r="M2" s="225"/>
      <c r="N2" s="225"/>
      <c r="O2" s="225"/>
      <c r="P2" s="225"/>
      <c r="Q2" s="225"/>
      <c r="R2" s="225"/>
      <c r="S2" s="225"/>
    </row>
    <row r="3" spans="1:23" s="112" customFormat="1" ht="15.75" customHeight="1" x14ac:dyDescent="0.25">
      <c r="J3" s="226" t="s">
        <v>53</v>
      </c>
      <c r="K3" s="226"/>
      <c r="L3" s="226"/>
      <c r="M3" s="226"/>
      <c r="N3" s="226"/>
      <c r="O3" s="226"/>
      <c r="P3" s="226"/>
      <c r="Q3" s="226"/>
      <c r="R3" s="226"/>
      <c r="S3" s="226"/>
    </row>
    <row r="4" spans="1:23" ht="15.75" x14ac:dyDescent="0.25">
      <c r="A4" s="30"/>
      <c r="B4" s="30"/>
      <c r="C4" s="30"/>
      <c r="D4" s="30"/>
      <c r="E4" s="30"/>
      <c r="F4" s="30"/>
      <c r="G4" s="30"/>
      <c r="H4" s="30"/>
      <c r="I4" s="30"/>
      <c r="J4" s="32"/>
      <c r="K4" s="32"/>
      <c r="L4" s="32"/>
      <c r="M4" s="32"/>
      <c r="N4" s="32"/>
      <c r="O4" s="32"/>
      <c r="P4" s="32"/>
      <c r="Q4" s="32"/>
      <c r="R4" s="32"/>
      <c r="S4" s="30"/>
      <c r="T4" s="30"/>
      <c r="U4" s="30"/>
      <c r="V4" s="30"/>
      <c r="W4" s="30"/>
    </row>
    <row r="5" spans="1:23" ht="15" customHeight="1" x14ac:dyDescent="0.25">
      <c r="A5" s="201"/>
      <c r="B5" s="201"/>
      <c r="C5" s="201"/>
      <c r="D5" s="201"/>
      <c r="E5" s="201"/>
      <c r="F5" s="201"/>
      <c r="G5" s="201"/>
      <c r="H5" s="201"/>
      <c r="I5" s="201"/>
      <c r="J5" s="201"/>
      <c r="K5" s="201"/>
      <c r="L5" s="91"/>
      <c r="M5" s="91"/>
      <c r="N5" s="91"/>
      <c r="O5" s="30"/>
      <c r="P5" s="30"/>
      <c r="Q5" s="33"/>
      <c r="R5" s="33"/>
      <c r="S5" s="30"/>
      <c r="T5" s="30"/>
      <c r="U5" s="30"/>
      <c r="V5" s="30"/>
      <c r="W5" s="30"/>
    </row>
    <row r="6" spans="1:23" ht="18" customHeight="1" x14ac:dyDescent="0.25">
      <c r="A6" s="85"/>
      <c r="B6" s="162" t="s">
        <v>48</v>
      </c>
      <c r="C6" s="163"/>
      <c r="D6" s="163"/>
      <c r="E6" s="163"/>
      <c r="F6" s="163"/>
      <c r="G6" s="163"/>
      <c r="H6" s="163"/>
      <c r="I6" s="163"/>
      <c r="J6" s="163"/>
      <c r="K6" s="163"/>
      <c r="L6" s="163"/>
      <c r="M6" s="163"/>
      <c r="N6" s="163"/>
      <c r="O6" s="163"/>
      <c r="P6" s="163"/>
      <c r="Q6" s="163"/>
      <c r="R6" s="163"/>
      <c r="S6" s="163"/>
      <c r="T6" s="163"/>
      <c r="U6" s="163"/>
      <c r="V6" s="164"/>
      <c r="W6" s="30"/>
    </row>
    <row r="7" spans="1:23" x14ac:dyDescent="0.25">
      <c r="A7" s="37"/>
      <c r="B7" s="86"/>
      <c r="C7" s="107" t="s">
        <v>11</v>
      </c>
      <c r="D7" s="221" t="e">
        <f>IF(Dossiers_Nom="","",Dossiers_Nom)</f>
        <v>#NAME?</v>
      </c>
      <c r="E7" s="221"/>
      <c r="F7" s="221"/>
      <c r="G7" s="221"/>
      <c r="H7" s="221"/>
      <c r="I7" s="221"/>
      <c r="J7" s="221"/>
      <c r="K7" s="111"/>
      <c r="L7" s="111"/>
      <c r="M7" s="40" t="s">
        <v>55</v>
      </c>
      <c r="N7" s="168">
        <f ca="1">TODAY()</f>
        <v>44243</v>
      </c>
      <c r="O7" s="169"/>
      <c r="P7" s="169"/>
      <c r="Q7" s="169"/>
      <c r="R7" s="41"/>
      <c r="S7" s="168"/>
      <c r="T7" s="169"/>
      <c r="U7" s="169"/>
      <c r="V7" s="170"/>
      <c r="W7" s="30"/>
    </row>
    <row r="8" spans="1:23" x14ac:dyDescent="0.25">
      <c r="A8" s="37"/>
      <c r="B8" s="42"/>
      <c r="C8" s="107" t="s">
        <v>12</v>
      </c>
      <c r="D8" s="222" t="e">
        <f>IF(Dossiers_Localite="","",Dossiers_Localite)</f>
        <v>#NAME?</v>
      </c>
      <c r="E8" s="222"/>
      <c r="F8" s="222"/>
      <c r="G8" s="222"/>
      <c r="H8" s="222"/>
      <c r="I8" s="222"/>
      <c r="J8" s="222"/>
      <c r="K8" s="108"/>
      <c r="L8" s="108"/>
      <c r="M8" s="107" t="s">
        <v>13</v>
      </c>
      <c r="N8" s="193" t="e">
        <f>IF(Dossiers_Dossier="","", Dossiers_Dossier)</f>
        <v>#NAME?</v>
      </c>
      <c r="O8" s="193"/>
      <c r="P8" s="193"/>
      <c r="Q8" s="193"/>
      <c r="R8" s="108"/>
      <c r="S8" s="193"/>
      <c r="T8" s="193"/>
      <c r="U8" s="193"/>
      <c r="V8" s="194"/>
      <c r="W8" s="30"/>
    </row>
    <row r="9" spans="1:23" x14ac:dyDescent="0.25">
      <c r="A9" s="37"/>
      <c r="B9" s="44"/>
      <c r="C9" s="46" t="s">
        <v>54</v>
      </c>
      <c r="D9" s="229" t="e">
        <f>IF(Dossiers_Client="","",Dossiers_Client)</f>
        <v>#NAME?</v>
      </c>
      <c r="E9" s="229"/>
      <c r="F9" s="229"/>
      <c r="G9" s="229"/>
      <c r="H9" s="229"/>
      <c r="I9" s="229"/>
      <c r="J9" s="229"/>
      <c r="K9" s="47"/>
      <c r="L9" s="47"/>
      <c r="M9" s="46" t="s">
        <v>14</v>
      </c>
      <c r="N9" s="172" t="e">
        <f>IF(Dossiers_ContactClient="","",Dossiers_ContactClient)</f>
        <v>#NAME?</v>
      </c>
      <c r="O9" s="172"/>
      <c r="P9" s="172"/>
      <c r="Q9" s="172"/>
      <c r="R9" s="47"/>
      <c r="S9" s="172"/>
      <c r="T9" s="172"/>
      <c r="U9" s="172"/>
      <c r="V9" s="173"/>
      <c r="W9" s="30"/>
    </row>
    <row r="10" spans="1:23" ht="10.5" customHeight="1" x14ac:dyDescent="0.25">
      <c r="A10" s="51"/>
      <c r="B10" s="76"/>
      <c r="C10" s="76"/>
      <c r="D10" s="76"/>
      <c r="E10" s="76"/>
      <c r="F10" s="76"/>
      <c r="G10" s="76"/>
      <c r="H10" s="76"/>
      <c r="I10" s="76"/>
      <c r="J10" s="76"/>
      <c r="K10" s="76"/>
      <c r="L10" s="76"/>
      <c r="M10" s="76"/>
      <c r="N10" s="76"/>
      <c r="O10" s="76"/>
      <c r="P10" s="76"/>
      <c r="Q10" s="76"/>
      <c r="R10" s="76"/>
      <c r="S10" s="76"/>
      <c r="T10" s="76"/>
      <c r="U10" s="76"/>
      <c r="V10" s="77"/>
      <c r="W10" s="30"/>
    </row>
    <row r="11" spans="1:23" ht="15.75" x14ac:dyDescent="0.25">
      <c r="A11" s="49"/>
      <c r="B11" s="162" t="s">
        <v>37</v>
      </c>
      <c r="C11" s="163"/>
      <c r="D11" s="163"/>
      <c r="E11" s="163"/>
      <c r="F11" s="163"/>
      <c r="G11" s="163"/>
      <c r="H11" s="163"/>
      <c r="I11" s="163"/>
      <c r="J11" s="163"/>
      <c r="K11" s="163"/>
      <c r="L11" s="163"/>
      <c r="M11" s="163"/>
      <c r="N11" s="163"/>
      <c r="O11" s="163"/>
      <c r="P11" s="163"/>
      <c r="Q11" s="163"/>
      <c r="R11" s="163"/>
      <c r="S11" s="163"/>
      <c r="T11" s="163"/>
      <c r="U11" s="163"/>
      <c r="V11" s="164"/>
      <c r="W11" s="30"/>
    </row>
    <row r="12" spans="1:23" ht="14.1" customHeight="1" x14ac:dyDescent="0.25">
      <c r="A12" s="218"/>
      <c r="B12" s="219" t="s">
        <v>22</v>
      </c>
      <c r="C12" s="215" t="s">
        <v>71</v>
      </c>
      <c r="D12" s="216"/>
      <c r="E12" s="217"/>
      <c r="F12" s="215" t="s">
        <v>68</v>
      </c>
      <c r="G12" s="216"/>
      <c r="H12" s="217"/>
      <c r="I12" s="215" t="s">
        <v>61</v>
      </c>
      <c r="J12" s="216"/>
      <c r="K12" s="216"/>
      <c r="L12" s="216"/>
      <c r="M12" s="216"/>
      <c r="N12" s="216"/>
      <c r="O12" s="216"/>
      <c r="P12" s="216"/>
      <c r="Q12" s="216"/>
      <c r="R12" s="217"/>
      <c r="S12" s="223" t="s">
        <v>30</v>
      </c>
      <c r="T12" s="219" t="s">
        <v>33</v>
      </c>
      <c r="U12" s="227"/>
      <c r="V12" s="223"/>
      <c r="W12" s="52"/>
    </row>
    <row r="13" spans="1:23" ht="33" customHeight="1" x14ac:dyDescent="0.25">
      <c r="A13" s="218"/>
      <c r="B13" s="220"/>
      <c r="C13" s="137" t="s">
        <v>58</v>
      </c>
      <c r="D13" s="130" t="s">
        <v>23</v>
      </c>
      <c r="E13" s="138" t="s">
        <v>24</v>
      </c>
      <c r="F13" s="137" t="s">
        <v>67</v>
      </c>
      <c r="G13" s="130" t="s">
        <v>70</v>
      </c>
      <c r="H13" s="138" t="s">
        <v>66</v>
      </c>
      <c r="I13" s="150" t="s">
        <v>59</v>
      </c>
      <c r="J13" s="78" t="s">
        <v>40</v>
      </c>
      <c r="K13" s="78" t="s">
        <v>41</v>
      </c>
      <c r="L13" s="78" t="s">
        <v>42</v>
      </c>
      <c r="M13" s="78" t="s">
        <v>43</v>
      </c>
      <c r="N13" s="78" t="s">
        <v>44</v>
      </c>
      <c r="O13" s="78" t="s">
        <v>45</v>
      </c>
      <c r="P13" s="78" t="s">
        <v>46</v>
      </c>
      <c r="Q13" s="151" t="s">
        <v>47</v>
      </c>
      <c r="R13" s="151" t="s">
        <v>87</v>
      </c>
      <c r="S13" s="224"/>
      <c r="T13" s="220"/>
      <c r="U13" s="228"/>
      <c r="V13" s="224"/>
      <c r="W13" s="30"/>
    </row>
    <row r="14" spans="1:23" x14ac:dyDescent="0.25">
      <c r="A14" s="34"/>
      <c r="B14" s="143" t="s">
        <v>1</v>
      </c>
      <c r="C14" s="144" t="s">
        <v>0</v>
      </c>
      <c r="D14" s="131" t="s">
        <v>27</v>
      </c>
      <c r="E14" s="145" t="s">
        <v>28</v>
      </c>
      <c r="F14" s="139" t="s">
        <v>25</v>
      </c>
      <c r="G14" s="133" t="s">
        <v>69</v>
      </c>
      <c r="H14" s="140" t="str">
        <f>IF(TableResult[[#This Row],[Colonne10]]="","",IFERROR(TableResult[[#This Row],[Colonne10]]/Calibrations_DPlaque/Calibrations_DPlaque*4/PI()/1000,""))</f>
        <v/>
      </c>
      <c r="I14" s="144" t="s">
        <v>60</v>
      </c>
      <c r="J14" s="133" t="s">
        <v>2</v>
      </c>
      <c r="K14" s="133" t="s">
        <v>3</v>
      </c>
      <c r="L14" s="133" t="s">
        <v>4</v>
      </c>
      <c r="M14" s="133" t="s">
        <v>5</v>
      </c>
      <c r="N14" s="133" t="s">
        <v>6</v>
      </c>
      <c r="O14" s="133" t="s">
        <v>7</v>
      </c>
      <c r="P14" s="133" t="s">
        <v>8</v>
      </c>
      <c r="Q14" s="152" t="s">
        <v>26</v>
      </c>
      <c r="R14" s="152" t="s">
        <v>9</v>
      </c>
      <c r="S14" s="143" t="str">
        <f>IF(TableResult[[#This Row],[Colonne4]]="","",IFERROR((POWER(200000,2)/2/(TableResult[[#This Row],[Colonne4]]-TableResult[[#This Row],[Colonne5]])+POWER(300000,2)/2/(TableResult[[#This Row],[Colonne4]]-TableResult[[#This Row],[Colonne13]]))/2*0.00001,""))</f>
        <v/>
      </c>
      <c r="T14" s="212"/>
      <c r="U14" s="213"/>
      <c r="V14" s="214"/>
      <c r="W14" s="30"/>
    </row>
    <row r="15" spans="1:23" x14ac:dyDescent="0.25">
      <c r="A15" s="34"/>
      <c r="B15" s="134"/>
      <c r="C15" s="146"/>
      <c r="D15" s="132"/>
      <c r="E15" s="147"/>
      <c r="F15" s="141"/>
      <c r="G15" s="79"/>
      <c r="H15" s="142" t="str">
        <f>IF(TableResult[[#This Row],[Colonne10]]="","",IFERROR(TableResult[[#This Row],[Colonne10]]/Calibrations_DPlaque/Calibrations_DPlaque*4/PI()/1000,""))</f>
        <v/>
      </c>
      <c r="I15" s="146"/>
      <c r="J15" s="80"/>
      <c r="K15" s="80"/>
      <c r="L15" s="80"/>
      <c r="M15" s="80"/>
      <c r="N15" s="80"/>
      <c r="O15" s="80"/>
      <c r="P15" s="80"/>
      <c r="Q15" s="80"/>
      <c r="R15" s="153"/>
      <c r="S15" s="143" t="str">
        <f>IF(TableResult[[#This Row],[Colonne4]]="","",IFERROR((POWER(200000,2)/2/(TableResult[[#This Row],[Colonne4]]-TableResult[[#This Row],[Colonne5]])+POWER(300000,2)/2/(TableResult[[#This Row],[Colonne4]]-TableResult[[#This Row],[Colonne13]]))/2*0.00001,""))</f>
        <v/>
      </c>
      <c r="T15" s="209"/>
      <c r="U15" s="210"/>
      <c r="V15" s="211"/>
      <c r="W15" s="30"/>
    </row>
    <row r="16" spans="1:23" x14ac:dyDescent="0.25">
      <c r="A16" s="34"/>
      <c r="B16" s="134"/>
      <c r="C16" s="146"/>
      <c r="D16" s="132"/>
      <c r="E16" s="147"/>
      <c r="F16" s="141"/>
      <c r="G16" s="79"/>
      <c r="H16" s="142" t="str">
        <f>IF(TableResult[[#This Row],[Colonne10]]="","",IFERROR(TableResult[[#This Row],[Colonne10]]/Calibrations_DPlaque/Calibrations_DPlaque*4/PI()/1000,""))</f>
        <v/>
      </c>
      <c r="I16" s="146"/>
      <c r="J16" s="80"/>
      <c r="K16" s="80"/>
      <c r="L16" s="80"/>
      <c r="M16" s="80"/>
      <c r="N16" s="80"/>
      <c r="O16" s="80"/>
      <c r="P16" s="80"/>
      <c r="Q16" s="80"/>
      <c r="R16" s="153"/>
      <c r="S16" s="79" t="str">
        <f>IF(TableResult[[#This Row],[Colonne4]]="","",IFERROR((POWER(200000,2)/2/(TableResult[[#This Row],[Colonne4]]-TableResult[[#This Row],[Colonne5]])+POWER(300000,2)/2/(TableResult[[#This Row],[Colonne4]]-TableResult[[#This Row],[Colonne13]]))/2*0.00001,""))</f>
        <v/>
      </c>
      <c r="T16" s="209"/>
      <c r="U16" s="210"/>
      <c r="V16" s="211"/>
      <c r="W16" s="30"/>
    </row>
    <row r="17" spans="1:23" x14ac:dyDescent="0.25">
      <c r="A17" s="34"/>
      <c r="B17" s="134"/>
      <c r="C17" s="146"/>
      <c r="D17" s="132"/>
      <c r="E17" s="147"/>
      <c r="F17" s="141"/>
      <c r="G17" s="79"/>
      <c r="H17" s="142" t="str">
        <f>IF(TableResult[[#This Row],[Colonne10]]="","",IFERROR(TableResult[[#This Row],[Colonne10]]/Calibrations_DPlaque/Calibrations_DPlaque*4/PI()/1000,""))</f>
        <v/>
      </c>
      <c r="I17" s="146"/>
      <c r="J17" s="80"/>
      <c r="K17" s="80"/>
      <c r="L17" s="80"/>
      <c r="M17" s="80"/>
      <c r="N17" s="80"/>
      <c r="O17" s="80"/>
      <c r="P17" s="80"/>
      <c r="Q17" s="80"/>
      <c r="R17" s="153"/>
      <c r="S17" s="79" t="str">
        <f>IF(TableResult[[#This Row],[Colonne4]]="","",IFERROR((POWER(200000,2)/2/(TableResult[[#This Row],[Colonne4]]-TableResult[[#This Row],[Colonne5]])+POWER(300000,2)/2/(TableResult[[#This Row],[Colonne4]]-TableResult[[#This Row],[Colonne13]]))/2*0.00001,""))</f>
        <v/>
      </c>
      <c r="T17" s="209"/>
      <c r="U17" s="210"/>
      <c r="V17" s="211"/>
      <c r="W17" s="30"/>
    </row>
    <row r="18" spans="1:23" x14ac:dyDescent="0.25">
      <c r="A18" s="34"/>
      <c r="B18" s="134"/>
      <c r="C18" s="146"/>
      <c r="D18" s="132"/>
      <c r="E18" s="147"/>
      <c r="F18" s="141"/>
      <c r="G18" s="79"/>
      <c r="H18" s="142" t="str">
        <f>IF(TableResult[[#This Row],[Colonne10]]="","",IFERROR(TableResult[[#This Row],[Colonne10]]/Calibrations_DPlaque/Calibrations_DPlaque*4/PI()/1000,""))</f>
        <v/>
      </c>
      <c r="I18" s="146"/>
      <c r="J18" s="80"/>
      <c r="K18" s="80"/>
      <c r="L18" s="80"/>
      <c r="M18" s="80"/>
      <c r="N18" s="80"/>
      <c r="O18" s="80"/>
      <c r="P18" s="80"/>
      <c r="Q18" s="80"/>
      <c r="R18" s="153"/>
      <c r="S18" s="79" t="str">
        <f>IF(TableResult[[#This Row],[Colonne4]]="","",IFERROR((POWER(200000,2)/2/(TableResult[[#This Row],[Colonne4]]-TableResult[[#This Row],[Colonne5]])+POWER(300000,2)/2/(TableResult[[#This Row],[Colonne4]]-TableResult[[#This Row],[Colonne13]]))/2*0.00001,""))</f>
        <v/>
      </c>
      <c r="T18" s="209"/>
      <c r="U18" s="210"/>
      <c r="V18" s="211"/>
      <c r="W18" s="30"/>
    </row>
    <row r="19" spans="1:23" x14ac:dyDescent="0.25">
      <c r="A19" s="92"/>
      <c r="B19" s="134"/>
      <c r="C19" s="146"/>
      <c r="D19" s="132"/>
      <c r="E19" s="147"/>
      <c r="F19" s="141"/>
      <c r="G19" s="79"/>
      <c r="H19" s="142" t="str">
        <f>IF(TableResult[[#This Row],[Colonne10]]="","",IFERROR(TableResult[[#This Row],[Colonne10]]/Calibrations_DPlaque/Calibrations_DPlaque*4/PI()/1000,""))</f>
        <v/>
      </c>
      <c r="I19" s="146"/>
      <c r="J19" s="80"/>
      <c r="K19" s="80"/>
      <c r="L19" s="80"/>
      <c r="M19" s="80"/>
      <c r="N19" s="80"/>
      <c r="O19" s="80"/>
      <c r="P19" s="80"/>
      <c r="Q19" s="80"/>
      <c r="R19" s="153"/>
      <c r="S19" s="79" t="str">
        <f>IF(TableResult[[#This Row],[Colonne4]]="","",IFERROR((POWER(200000,2)/2/(TableResult[[#This Row],[Colonne4]]-TableResult[[#This Row],[Colonne5]])+POWER(300000,2)/2/(TableResult[[#This Row],[Colonne4]]-TableResult[[#This Row],[Colonne13]]))/2*0.00001,""))</f>
        <v/>
      </c>
      <c r="T19" s="93"/>
      <c r="U19" s="94"/>
      <c r="V19" s="95"/>
      <c r="W19" s="30"/>
    </row>
    <row r="20" spans="1:23" x14ac:dyDescent="0.25">
      <c r="A20" s="92"/>
      <c r="B20" s="134"/>
      <c r="C20" s="146"/>
      <c r="D20" s="132"/>
      <c r="E20" s="147"/>
      <c r="F20" s="141"/>
      <c r="G20" s="79"/>
      <c r="H20" s="142" t="str">
        <f>IF(TableResult[[#This Row],[Colonne10]]="","",IFERROR(TableResult[[#This Row],[Colonne10]]/Calibrations_DPlaque/Calibrations_DPlaque*4/PI()/1000,""))</f>
        <v/>
      </c>
      <c r="I20" s="146"/>
      <c r="J20" s="80"/>
      <c r="K20" s="80"/>
      <c r="L20" s="80"/>
      <c r="M20" s="80"/>
      <c r="N20" s="80"/>
      <c r="O20" s="80"/>
      <c r="P20" s="80"/>
      <c r="Q20" s="80"/>
      <c r="R20" s="153"/>
      <c r="S20" s="79" t="str">
        <f>IF(TableResult[[#This Row],[Colonne4]]="","",IFERROR((POWER(200000,2)/2/(TableResult[[#This Row],[Colonne4]]-TableResult[[#This Row],[Colonne5]])+POWER(300000,2)/2/(TableResult[[#This Row],[Colonne4]]-TableResult[[#This Row],[Colonne13]]))/2*0.00001,""))</f>
        <v/>
      </c>
      <c r="T20" s="93"/>
      <c r="U20" s="94"/>
      <c r="V20" s="95"/>
      <c r="W20" s="30"/>
    </row>
    <row r="21" spans="1:23" x14ac:dyDescent="0.25">
      <c r="A21" s="92"/>
      <c r="B21" s="134"/>
      <c r="C21" s="146"/>
      <c r="D21" s="132"/>
      <c r="E21" s="147"/>
      <c r="F21" s="141"/>
      <c r="G21" s="79"/>
      <c r="H21" s="142" t="str">
        <f>IF(TableResult[[#This Row],[Colonne10]]="","",IFERROR(TableResult[[#This Row],[Colonne10]]/Calibrations_DPlaque/Calibrations_DPlaque*4/PI()/1000,""))</f>
        <v/>
      </c>
      <c r="I21" s="146"/>
      <c r="J21" s="80"/>
      <c r="K21" s="80"/>
      <c r="L21" s="80"/>
      <c r="M21" s="80"/>
      <c r="N21" s="80"/>
      <c r="O21" s="80"/>
      <c r="P21" s="80"/>
      <c r="Q21" s="80"/>
      <c r="R21" s="153"/>
      <c r="S21" s="79" t="str">
        <f>IF(TableResult[[#This Row],[Colonne4]]="","",IFERROR((POWER(200000,2)/2/(TableResult[[#This Row],[Colonne4]]-TableResult[[#This Row],[Colonne5]])+POWER(300000,2)/2/(TableResult[[#This Row],[Colonne4]]-TableResult[[#This Row],[Colonne13]]))/2*0.00001,""))</f>
        <v/>
      </c>
      <c r="T21" s="93"/>
      <c r="U21" s="94"/>
      <c r="V21" s="95"/>
      <c r="W21" s="30"/>
    </row>
    <row r="22" spans="1:23" x14ac:dyDescent="0.25">
      <c r="A22" s="92"/>
      <c r="B22" s="134"/>
      <c r="C22" s="146"/>
      <c r="D22" s="132"/>
      <c r="E22" s="147"/>
      <c r="F22" s="141"/>
      <c r="G22" s="79"/>
      <c r="H22" s="142" t="str">
        <f>IF(TableResult[[#This Row],[Colonne10]]="","",IFERROR(TableResult[[#This Row],[Colonne10]]/Calibrations_DPlaque/Calibrations_DPlaque*4/PI()/1000,""))</f>
        <v/>
      </c>
      <c r="I22" s="146"/>
      <c r="J22" s="80"/>
      <c r="K22" s="80"/>
      <c r="L22" s="80"/>
      <c r="M22" s="80"/>
      <c r="N22" s="80"/>
      <c r="O22" s="80"/>
      <c r="P22" s="80"/>
      <c r="Q22" s="80"/>
      <c r="R22" s="153"/>
      <c r="S22" s="79" t="str">
        <f>IF(TableResult[[#This Row],[Colonne4]]="","",IFERROR((POWER(200000,2)/2/(TableResult[[#This Row],[Colonne4]]-TableResult[[#This Row],[Colonne5]])+POWER(300000,2)/2/(TableResult[[#This Row],[Colonne4]]-TableResult[[#This Row],[Colonne13]]))/2*0.00001,""))</f>
        <v/>
      </c>
      <c r="T22" s="93"/>
      <c r="U22" s="94"/>
      <c r="V22" s="95"/>
      <c r="W22" s="30"/>
    </row>
    <row r="23" spans="1:23" x14ac:dyDescent="0.25">
      <c r="A23" s="92"/>
      <c r="B23" s="134"/>
      <c r="C23" s="146"/>
      <c r="D23" s="132"/>
      <c r="E23" s="147"/>
      <c r="F23" s="141"/>
      <c r="G23" s="79"/>
      <c r="H23" s="142" t="str">
        <f>IF(TableResult[[#This Row],[Colonne10]]="","",IFERROR(TableResult[[#This Row],[Colonne10]]/Calibrations_DPlaque/Calibrations_DPlaque*4/PI()/1000,""))</f>
        <v/>
      </c>
      <c r="I23" s="146"/>
      <c r="J23" s="80"/>
      <c r="K23" s="80"/>
      <c r="L23" s="80"/>
      <c r="M23" s="80"/>
      <c r="N23" s="80"/>
      <c r="O23" s="80"/>
      <c r="P23" s="80"/>
      <c r="Q23" s="80"/>
      <c r="R23" s="153"/>
      <c r="S23" s="79" t="str">
        <f>IF(TableResult[[#This Row],[Colonne4]]="","",IFERROR((POWER(200000,2)/2/(TableResult[[#This Row],[Colonne4]]-TableResult[[#This Row],[Colonne5]])+POWER(300000,2)/2/(TableResult[[#This Row],[Colonne4]]-TableResult[[#This Row],[Colonne13]]))/2*0.00001,""))</f>
        <v/>
      </c>
      <c r="T23" s="93"/>
      <c r="U23" s="94"/>
      <c r="V23" s="95"/>
      <c r="W23" s="30"/>
    </row>
    <row r="24" spans="1:23" x14ac:dyDescent="0.25">
      <c r="A24" s="92"/>
      <c r="B24" s="134"/>
      <c r="C24" s="146"/>
      <c r="D24" s="132"/>
      <c r="E24" s="147"/>
      <c r="F24" s="141"/>
      <c r="G24" s="79"/>
      <c r="H24" s="142" t="str">
        <f>IF(TableResult[[#This Row],[Colonne10]]="","",IFERROR(TableResult[[#This Row],[Colonne10]]/Calibrations_DPlaque/Calibrations_DPlaque*4/PI()/1000,""))</f>
        <v/>
      </c>
      <c r="I24" s="146"/>
      <c r="J24" s="80"/>
      <c r="K24" s="80"/>
      <c r="L24" s="80"/>
      <c r="M24" s="80"/>
      <c r="N24" s="80"/>
      <c r="O24" s="80"/>
      <c r="P24" s="80"/>
      <c r="Q24" s="80"/>
      <c r="R24" s="153"/>
      <c r="S24" s="79" t="str">
        <f>IF(TableResult[[#This Row],[Colonne4]]="","",IFERROR((POWER(200000,2)/2/(TableResult[[#This Row],[Colonne4]]-TableResult[[#This Row],[Colonne5]])+POWER(300000,2)/2/(TableResult[[#This Row],[Colonne4]]-TableResult[[#This Row],[Colonne13]]))/2*0.00001,""))</f>
        <v/>
      </c>
      <c r="T24" s="93"/>
      <c r="U24" s="94"/>
      <c r="V24" s="95"/>
      <c r="W24" s="30"/>
    </row>
    <row r="25" spans="1:23" x14ac:dyDescent="0.25">
      <c r="A25" s="113"/>
      <c r="B25" s="134"/>
      <c r="C25" s="148"/>
      <c r="D25" s="135"/>
      <c r="E25" s="149"/>
      <c r="F25" s="141"/>
      <c r="G25" s="79"/>
      <c r="H25" s="142" t="str">
        <f>IF(TableResult[[#This Row],[Colonne10]]="","",IFERROR(TableResult[[#This Row],[Colonne10]]/Calibrations_DPlaque/Calibrations_DPlaque*4/PI()/1000,""))</f>
        <v/>
      </c>
      <c r="I25" s="146"/>
      <c r="J25" s="80"/>
      <c r="K25" s="80"/>
      <c r="L25" s="80"/>
      <c r="M25" s="80"/>
      <c r="N25" s="80"/>
      <c r="O25" s="80"/>
      <c r="P25" s="80"/>
      <c r="Q25" s="80"/>
      <c r="R25" s="153"/>
      <c r="S25" s="79" t="str">
        <f>IF(TableResult[[#This Row],[Colonne4]]="","",IFERROR((POWER(200000,2)/2/(TableResult[[#This Row],[Colonne4]]-TableResult[[#This Row],[Colonne5]])+POWER(300000,2)/2/(TableResult[[#This Row],[Colonne4]]-TableResult[[#This Row],[Colonne13]]))/2*0.00001,""))</f>
        <v/>
      </c>
      <c r="T25" s="114"/>
      <c r="U25" s="115"/>
      <c r="V25" s="116"/>
      <c r="W25" s="30"/>
    </row>
    <row r="26" spans="1:23" x14ac:dyDescent="0.25">
      <c r="A26" s="34"/>
      <c r="B26" s="134"/>
      <c r="C26" s="146"/>
      <c r="D26" s="132"/>
      <c r="E26" s="147"/>
      <c r="F26" s="141"/>
      <c r="G26" s="79"/>
      <c r="H26" s="142" t="str">
        <f>IF(TableResult[[#This Row],[Colonne10]]="","",IFERROR(TableResult[[#This Row],[Colonne10]]/Calibrations_DPlaque/Calibrations_DPlaque*4/PI()/1000,""))</f>
        <v/>
      </c>
      <c r="I26" s="146"/>
      <c r="J26" s="80"/>
      <c r="K26" s="80"/>
      <c r="L26" s="80"/>
      <c r="M26" s="80"/>
      <c r="N26" s="80"/>
      <c r="O26" s="80"/>
      <c r="P26" s="80"/>
      <c r="Q26" s="80"/>
      <c r="R26" s="153"/>
      <c r="S26" s="79" t="str">
        <f>IF(TableResult[[#This Row],[Colonne4]]="","",IFERROR((POWER(200000,2)/2/(TableResult[[#This Row],[Colonne4]]-TableResult[[#This Row],[Colonne5]])+POWER(300000,2)/2/(TableResult[[#This Row],[Colonne4]]-TableResult[[#This Row],[Colonne13]]))/2*0.00001,""))</f>
        <v/>
      </c>
      <c r="T26" s="209"/>
      <c r="U26" s="210"/>
      <c r="V26" s="211"/>
      <c r="W26" s="30"/>
    </row>
    <row r="27" spans="1:23" x14ac:dyDescent="0.25">
      <c r="A27" s="34"/>
      <c r="B27" s="134"/>
      <c r="C27" s="146"/>
      <c r="D27" s="132"/>
      <c r="E27" s="147"/>
      <c r="F27" s="141"/>
      <c r="G27" s="79"/>
      <c r="H27" s="142" t="str">
        <f>IF(TableResult[[#This Row],[Colonne10]]="","",IFERROR(TableResult[[#This Row],[Colonne10]]/Calibrations_DPlaque/Calibrations_DPlaque*4/PI()/1000,""))</f>
        <v/>
      </c>
      <c r="I27" s="146"/>
      <c r="J27" s="80"/>
      <c r="K27" s="80"/>
      <c r="L27" s="80"/>
      <c r="M27" s="80"/>
      <c r="N27" s="80"/>
      <c r="O27" s="80"/>
      <c r="P27" s="80"/>
      <c r="Q27" s="80"/>
      <c r="R27" s="153"/>
      <c r="S27" s="79" t="str">
        <f>IF(TableResult[[#This Row],[Colonne4]]="","",IFERROR((POWER(200000,2)/2/(TableResult[[#This Row],[Colonne4]]-TableResult[[#This Row],[Colonne5]])+POWER(300000,2)/2/(TableResult[[#This Row],[Colonne4]]-TableResult[[#This Row],[Colonne13]]))/2*0.00001,""))</f>
        <v/>
      </c>
      <c r="T27" s="209"/>
      <c r="U27" s="210"/>
      <c r="V27" s="211"/>
      <c r="W27" s="30"/>
    </row>
    <row r="28" spans="1:23" x14ac:dyDescent="0.25">
      <c r="A28" s="34"/>
      <c r="B28" s="134"/>
      <c r="C28" s="146"/>
      <c r="D28" s="132"/>
      <c r="E28" s="147"/>
      <c r="F28" s="141"/>
      <c r="G28" s="79"/>
      <c r="H28" s="142" t="str">
        <f>IF(TableResult[[#This Row],[Colonne10]]="","",IFERROR(TableResult[[#This Row],[Colonne10]]/Calibrations_DPlaque/Calibrations_DPlaque*4/PI()/1000,""))</f>
        <v/>
      </c>
      <c r="I28" s="146"/>
      <c r="J28" s="80"/>
      <c r="K28" s="80"/>
      <c r="L28" s="80"/>
      <c r="M28" s="80"/>
      <c r="N28" s="80"/>
      <c r="O28" s="80"/>
      <c r="P28" s="80"/>
      <c r="Q28" s="80"/>
      <c r="R28" s="153"/>
      <c r="S28" s="79" t="str">
        <f>IF(TableResult[[#This Row],[Colonne4]]="","",IFERROR((POWER(200000,2)/2/(TableResult[[#This Row],[Colonne4]]-TableResult[[#This Row],[Colonne5]])+POWER(300000,2)/2/(TableResult[[#This Row],[Colonne4]]-TableResult[[#This Row],[Colonne13]]))/2*0.00001,""))</f>
        <v/>
      </c>
      <c r="T28" s="209"/>
      <c r="U28" s="210"/>
      <c r="V28" s="211"/>
      <c r="W28" s="30"/>
    </row>
    <row r="29" spans="1:23" x14ac:dyDescent="0.25">
      <c r="A29" s="34"/>
      <c r="B29" s="134"/>
      <c r="C29" s="146"/>
      <c r="D29" s="132"/>
      <c r="E29" s="147"/>
      <c r="F29" s="141"/>
      <c r="G29" s="79"/>
      <c r="H29" s="142" t="str">
        <f>IF(TableResult[[#This Row],[Colonne10]]="","",IFERROR(TableResult[[#This Row],[Colonne10]]/Calibrations_DPlaque/Calibrations_DPlaque*4/PI()/1000,""))</f>
        <v/>
      </c>
      <c r="I29" s="146"/>
      <c r="J29" s="80"/>
      <c r="K29" s="80"/>
      <c r="L29" s="80"/>
      <c r="M29" s="80"/>
      <c r="N29" s="80"/>
      <c r="O29" s="80"/>
      <c r="P29" s="80"/>
      <c r="Q29" s="80"/>
      <c r="R29" s="153"/>
      <c r="S29" s="79" t="str">
        <f>IF(TableResult[[#This Row],[Colonne4]]="","",IFERROR((POWER(200000,2)/2/(TableResult[[#This Row],[Colonne4]]-TableResult[[#This Row],[Colonne5]])+POWER(300000,2)/2/(TableResult[[#This Row],[Colonne4]]-TableResult[[#This Row],[Colonne13]]))/2*0.00001,""))</f>
        <v/>
      </c>
      <c r="T29" s="209"/>
      <c r="U29" s="210"/>
      <c r="V29" s="211"/>
      <c r="W29" s="30"/>
    </row>
    <row r="30" spans="1:23" x14ac:dyDescent="0.25">
      <c r="A30" s="34"/>
      <c r="B30" s="134"/>
      <c r="C30" s="146"/>
      <c r="D30" s="132"/>
      <c r="E30" s="147"/>
      <c r="F30" s="141"/>
      <c r="G30" s="79"/>
      <c r="H30" s="142" t="str">
        <f>IF(TableResult[[#This Row],[Colonne10]]="","",IFERROR(TableResult[[#This Row],[Colonne10]]/Calibrations_DPlaque/Calibrations_DPlaque*4/PI()/1000,""))</f>
        <v/>
      </c>
      <c r="I30" s="146"/>
      <c r="J30" s="80"/>
      <c r="K30" s="80"/>
      <c r="L30" s="80"/>
      <c r="M30" s="80"/>
      <c r="N30" s="80"/>
      <c r="O30" s="80"/>
      <c r="P30" s="80"/>
      <c r="Q30" s="80"/>
      <c r="R30" s="153"/>
      <c r="S30" s="79" t="str">
        <f>IF(TableResult[[#This Row],[Colonne4]]="","",IFERROR((POWER(200000,2)/2/(TableResult[[#This Row],[Colonne4]]-TableResult[[#This Row],[Colonne5]])+POWER(300000,2)/2/(TableResult[[#This Row],[Colonne4]]-TableResult[[#This Row],[Colonne13]]))/2*0.00001,""))</f>
        <v/>
      </c>
      <c r="T30" s="209"/>
      <c r="U30" s="210"/>
      <c r="V30" s="211"/>
      <c r="W30" s="30"/>
    </row>
    <row r="31" spans="1:23" x14ac:dyDescent="0.25">
      <c r="A31" s="92"/>
      <c r="B31" s="134"/>
      <c r="C31" s="146"/>
      <c r="D31" s="132"/>
      <c r="E31" s="147"/>
      <c r="F31" s="141"/>
      <c r="G31" s="79"/>
      <c r="H31" s="142" t="str">
        <f>IF(TableResult[[#This Row],[Colonne10]]="","",IFERROR(TableResult[[#This Row],[Colonne10]]/Calibrations_DPlaque/Calibrations_DPlaque*4/PI()/1000,""))</f>
        <v/>
      </c>
      <c r="I31" s="146"/>
      <c r="J31" s="80"/>
      <c r="K31" s="80"/>
      <c r="L31" s="80"/>
      <c r="M31" s="80"/>
      <c r="N31" s="80"/>
      <c r="O31" s="80"/>
      <c r="P31" s="80"/>
      <c r="Q31" s="80"/>
      <c r="R31" s="153"/>
      <c r="S31" s="79" t="str">
        <f>IF(TableResult[[#This Row],[Colonne4]]="","",IFERROR((POWER(200000,2)/2/(TableResult[[#This Row],[Colonne4]]-TableResult[[#This Row],[Colonne5]])+POWER(300000,2)/2/(TableResult[[#This Row],[Colonne4]]-TableResult[[#This Row],[Colonne13]]))/2*0.00001,""))</f>
        <v/>
      </c>
      <c r="T31" s="93"/>
      <c r="U31" s="94"/>
      <c r="V31" s="95"/>
      <c r="W31" s="30"/>
    </row>
    <row r="32" spans="1:23" x14ac:dyDescent="0.25">
      <c r="A32" s="92"/>
      <c r="B32" s="134"/>
      <c r="C32" s="146"/>
      <c r="D32" s="132"/>
      <c r="E32" s="147"/>
      <c r="F32" s="141"/>
      <c r="G32" s="79"/>
      <c r="H32" s="142" t="str">
        <f>IF(TableResult[[#This Row],[Colonne10]]="","",IFERROR(TableResult[[#This Row],[Colonne10]]/Calibrations_DPlaque/Calibrations_DPlaque*4/PI()/1000,""))</f>
        <v/>
      </c>
      <c r="I32" s="146"/>
      <c r="J32" s="80"/>
      <c r="K32" s="80"/>
      <c r="L32" s="80"/>
      <c r="M32" s="80"/>
      <c r="N32" s="80"/>
      <c r="O32" s="80"/>
      <c r="P32" s="80"/>
      <c r="Q32" s="80"/>
      <c r="R32" s="153"/>
      <c r="S32" s="79" t="str">
        <f>IF(TableResult[[#This Row],[Colonne4]]="","",IFERROR((POWER(200000,2)/2/(TableResult[[#This Row],[Colonne4]]-TableResult[[#This Row],[Colonne5]])+POWER(300000,2)/2/(TableResult[[#This Row],[Colonne4]]-TableResult[[#This Row],[Colonne13]]))/2*0.00001,""))</f>
        <v/>
      </c>
      <c r="T32" s="93"/>
      <c r="U32" s="94"/>
      <c r="V32" s="95"/>
      <c r="W32" s="30"/>
    </row>
    <row r="33" spans="1:23" x14ac:dyDescent="0.25">
      <c r="A33" s="34"/>
      <c r="B33" s="134"/>
      <c r="C33" s="146"/>
      <c r="D33" s="132"/>
      <c r="E33" s="147"/>
      <c r="F33" s="141"/>
      <c r="G33" s="79"/>
      <c r="H33" s="142" t="str">
        <f>IF(TableResult[[#This Row],[Colonne10]]="","",IFERROR(TableResult[[#This Row],[Colonne10]]/Calibrations_DPlaque/Calibrations_DPlaque*4/PI()/1000,""))</f>
        <v/>
      </c>
      <c r="I33" s="146"/>
      <c r="J33" s="80"/>
      <c r="K33" s="80"/>
      <c r="L33" s="80"/>
      <c r="M33" s="80"/>
      <c r="N33" s="80"/>
      <c r="O33" s="80"/>
      <c r="P33" s="80"/>
      <c r="Q33" s="80"/>
      <c r="R33" s="153"/>
      <c r="S33" s="79" t="str">
        <f>IF(TableResult[[#This Row],[Colonne4]]="","",IFERROR((POWER(200000,2)/2/(TableResult[[#This Row],[Colonne4]]-TableResult[[#This Row],[Colonne5]])+POWER(300000,2)/2/(TableResult[[#This Row],[Colonne4]]-TableResult[[#This Row],[Colonne13]]))/2*0.00001,""))</f>
        <v/>
      </c>
      <c r="T33" s="209"/>
      <c r="U33" s="210"/>
      <c r="V33" s="211"/>
      <c r="W33" s="30"/>
    </row>
    <row r="34" spans="1:23" x14ac:dyDescent="0.25">
      <c r="A34" s="34"/>
      <c r="B34" s="134"/>
      <c r="C34" s="146"/>
      <c r="D34" s="132"/>
      <c r="E34" s="147"/>
      <c r="F34" s="141"/>
      <c r="G34" s="79"/>
      <c r="H34" s="142" t="str">
        <f>IF(TableResult[[#This Row],[Colonne10]]="","",IFERROR(TableResult[[#This Row],[Colonne10]]/Calibrations_DPlaque/Calibrations_DPlaque*4/PI()/1000,""))</f>
        <v/>
      </c>
      <c r="I34" s="146"/>
      <c r="J34" s="80"/>
      <c r="K34" s="80"/>
      <c r="L34" s="80"/>
      <c r="M34" s="80"/>
      <c r="N34" s="80"/>
      <c r="O34" s="80"/>
      <c r="P34" s="80"/>
      <c r="Q34" s="80"/>
      <c r="R34" s="153"/>
      <c r="S34" s="79" t="str">
        <f>IF(TableResult[[#This Row],[Colonne4]]="","",IFERROR((POWER(200000,2)/2/(TableResult[[#This Row],[Colonne4]]-TableResult[[#This Row],[Colonne5]])+POWER(300000,2)/2/(TableResult[[#This Row],[Colonne4]]-TableResult[[#This Row],[Colonne13]]))/2*0.00001,""))</f>
        <v/>
      </c>
      <c r="T34" s="209"/>
      <c r="U34" s="210"/>
      <c r="V34" s="211"/>
      <c r="W34" s="30"/>
    </row>
    <row r="35" spans="1:23" x14ac:dyDescent="0.25">
      <c r="A35" s="34"/>
      <c r="B35" s="134"/>
      <c r="C35" s="146"/>
      <c r="D35" s="132"/>
      <c r="E35" s="147"/>
      <c r="F35" s="141"/>
      <c r="G35" s="79"/>
      <c r="H35" s="142" t="str">
        <f>IF(TableResult[[#This Row],[Colonne10]]="","",IFERROR(TableResult[[#This Row],[Colonne10]]/Calibrations_DPlaque/Calibrations_DPlaque*4/PI()/1000,""))</f>
        <v/>
      </c>
      <c r="I35" s="146"/>
      <c r="J35" s="80"/>
      <c r="K35" s="80"/>
      <c r="L35" s="80"/>
      <c r="M35" s="80"/>
      <c r="N35" s="80"/>
      <c r="O35" s="80"/>
      <c r="P35" s="80"/>
      <c r="Q35" s="80"/>
      <c r="R35" s="153"/>
      <c r="S35" s="79" t="str">
        <f>IF(TableResult[[#This Row],[Colonne4]]="","",IFERROR((POWER(200000,2)/2/(TableResult[[#This Row],[Colonne4]]-TableResult[[#This Row],[Colonne5]])+POWER(300000,2)/2/(TableResult[[#This Row],[Colonne4]]-TableResult[[#This Row],[Colonne13]]))/2*0.00001,""))</f>
        <v/>
      </c>
      <c r="T35" s="209"/>
      <c r="U35" s="210"/>
      <c r="V35" s="211"/>
      <c r="W35" s="30"/>
    </row>
    <row r="36" spans="1:23" x14ac:dyDescent="0.25">
      <c r="A36" s="30"/>
      <c r="B36" s="117"/>
      <c r="C36" s="117"/>
      <c r="D36" s="117"/>
      <c r="E36" s="117"/>
      <c r="F36" s="117"/>
      <c r="G36" s="117"/>
      <c r="H36" s="117"/>
      <c r="I36" s="118"/>
      <c r="J36" s="118"/>
      <c r="K36" s="119"/>
      <c r="L36" s="119"/>
      <c r="M36" s="119"/>
      <c r="N36" s="119"/>
      <c r="O36" s="119"/>
      <c r="P36" s="119"/>
      <c r="Q36" s="119"/>
      <c r="R36" s="119"/>
      <c r="S36" s="119"/>
      <c r="T36" s="81"/>
      <c r="U36" s="81"/>
      <c r="V36" s="30"/>
      <c r="W36" s="30"/>
    </row>
    <row r="37" spans="1:23" ht="11.1" customHeight="1" x14ac:dyDescent="0.25">
      <c r="A37" s="30"/>
      <c r="B37" s="120"/>
      <c r="C37" s="120"/>
      <c r="D37" s="165" t="s">
        <v>56</v>
      </c>
      <c r="E37" s="165"/>
      <c r="F37" s="165"/>
      <c r="G37" s="165"/>
      <c r="H37" s="165"/>
      <c r="I37" s="165"/>
      <c r="J37" s="165"/>
      <c r="K37" s="165"/>
      <c r="L37" s="165"/>
      <c r="M37" s="165"/>
      <c r="N37" s="165"/>
      <c r="O37" s="165"/>
      <c r="P37" s="165"/>
      <c r="Q37" s="165"/>
      <c r="R37" s="165"/>
      <c r="S37" s="165"/>
      <c r="T37" s="165"/>
      <c r="U37" s="160" t="s">
        <v>18</v>
      </c>
      <c r="V37" s="160"/>
      <c r="W37" s="30"/>
    </row>
    <row r="38" spans="1:23" ht="11.1" customHeight="1" x14ac:dyDescent="0.25">
      <c r="A38" s="30"/>
      <c r="B38" s="30"/>
      <c r="C38" s="30"/>
      <c r="D38" s="166" t="s">
        <v>57</v>
      </c>
      <c r="E38" s="166"/>
      <c r="F38" s="166"/>
      <c r="G38" s="166"/>
      <c r="H38" s="166"/>
      <c r="I38" s="166"/>
      <c r="J38" s="166"/>
      <c r="K38" s="166"/>
      <c r="L38" s="166"/>
      <c r="M38" s="166"/>
      <c r="N38" s="166"/>
      <c r="O38" s="166"/>
      <c r="P38" s="166"/>
      <c r="Q38" s="166"/>
      <c r="R38" s="166"/>
      <c r="S38" s="166"/>
      <c r="T38" s="166"/>
      <c r="U38" s="161"/>
      <c r="V38" s="161"/>
      <c r="W38" s="30"/>
    </row>
  </sheetData>
  <mergeCells count="37">
    <mergeCell ref="J2:S2"/>
    <mergeCell ref="J3:S3"/>
    <mergeCell ref="I12:R12"/>
    <mergeCell ref="T35:V35"/>
    <mergeCell ref="T29:V29"/>
    <mergeCell ref="T30:V30"/>
    <mergeCell ref="T34:V34"/>
    <mergeCell ref="T17:V17"/>
    <mergeCell ref="T18:V18"/>
    <mergeCell ref="T12:V13"/>
    <mergeCell ref="T16:V16"/>
    <mergeCell ref="D9:J9"/>
    <mergeCell ref="N7:Q7"/>
    <mergeCell ref="A12:A13"/>
    <mergeCell ref="B12:B13"/>
    <mergeCell ref="A5:K5"/>
    <mergeCell ref="B6:V6"/>
    <mergeCell ref="S7:V7"/>
    <mergeCell ref="S8:V8"/>
    <mergeCell ref="S9:V9"/>
    <mergeCell ref="D7:J7"/>
    <mergeCell ref="D8:J8"/>
    <mergeCell ref="B11:V11"/>
    <mergeCell ref="S12:S13"/>
    <mergeCell ref="D38:T38"/>
    <mergeCell ref="U37:V38"/>
    <mergeCell ref="N8:Q8"/>
    <mergeCell ref="N9:Q9"/>
    <mergeCell ref="T26:V26"/>
    <mergeCell ref="T27:V27"/>
    <mergeCell ref="T28:V28"/>
    <mergeCell ref="T14:V14"/>
    <mergeCell ref="T15:V15"/>
    <mergeCell ref="T33:V33"/>
    <mergeCell ref="D37:T37"/>
    <mergeCell ref="F12:H12"/>
    <mergeCell ref="C12:E12"/>
  </mergeCells>
  <printOptions horizontalCentered="1"/>
  <pageMargins left="0.23622047244094491" right="0.23622047244094491" top="0.19685039370078741" bottom="0.19685039370078741" header="0" footer="0"/>
  <pageSetup paperSize="9" scale="99" orientation="landscape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193EF-8999-4BE7-8423-10476CCE7493}">
  <sheetPr>
    <pageSetUpPr fitToPage="1"/>
  </sheetPr>
  <dimension ref="A1:AP38"/>
  <sheetViews>
    <sheetView view="pageLayout" topLeftCell="A4" zoomScaleNormal="115" zoomScaleSheetLayoutView="85" workbookViewId="0">
      <selection activeCell="H34" sqref="H34"/>
    </sheetView>
  </sheetViews>
  <sheetFormatPr baseColWidth="10" defaultColWidth="11.42578125" defaultRowHeight="15" x14ac:dyDescent="0.25"/>
  <cols>
    <col min="1" max="1" width="2.85546875" customWidth="1"/>
    <col min="2" max="2" width="6.7109375" customWidth="1"/>
    <col min="3" max="3" width="7" customWidth="1"/>
    <col min="4" max="5" width="10" customWidth="1"/>
    <col min="6" max="6" width="7" customWidth="1"/>
    <col min="7" max="8" width="6.85546875" customWidth="1"/>
    <col min="9" max="10" width="6.7109375" customWidth="1"/>
    <col min="11" max="18" width="5.7109375" customWidth="1"/>
    <col min="19" max="19" width="8" customWidth="1"/>
    <col min="20" max="21" width="6.28515625" customWidth="1"/>
    <col min="22" max="22" width="5.5703125" customWidth="1"/>
    <col min="23" max="23" width="2.28515625" customWidth="1"/>
    <col min="40" max="42" width="11.7109375" customWidth="1"/>
  </cols>
  <sheetData>
    <row r="1" spans="1:42" ht="7.5" customHeight="1" x14ac:dyDescent="0.25">
      <c r="A1" s="30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1"/>
      <c r="S1" s="30"/>
      <c r="T1" s="30"/>
      <c r="U1" s="30"/>
      <c r="V1" s="30"/>
      <c r="W1" s="30"/>
    </row>
    <row r="2" spans="1:42" s="112" customFormat="1" ht="26.1" customHeight="1" x14ac:dyDescent="0.35">
      <c r="J2" s="225" t="s">
        <v>10</v>
      </c>
      <c r="K2" s="225"/>
      <c r="L2" s="225"/>
      <c r="M2" s="225"/>
      <c r="N2" s="225"/>
      <c r="O2" s="225"/>
      <c r="P2" s="225"/>
      <c r="Q2" s="225"/>
      <c r="R2" s="225"/>
      <c r="S2" s="225"/>
    </row>
    <row r="3" spans="1:42" s="112" customFormat="1" ht="15.75" customHeight="1" x14ac:dyDescent="0.25">
      <c r="J3" s="226" t="s">
        <v>53</v>
      </c>
      <c r="K3" s="226"/>
      <c r="L3" s="226"/>
      <c r="M3" s="226"/>
      <c r="N3" s="226"/>
      <c r="O3" s="226"/>
      <c r="P3" s="226"/>
      <c r="Q3" s="226"/>
      <c r="R3" s="226"/>
      <c r="S3" s="226"/>
    </row>
    <row r="4" spans="1:42" ht="15.75" x14ac:dyDescent="0.25">
      <c r="A4" s="30"/>
      <c r="B4" s="30"/>
      <c r="C4" s="30"/>
      <c r="D4" s="30"/>
      <c r="E4" s="30"/>
      <c r="F4" s="30"/>
      <c r="G4" s="30"/>
      <c r="H4" s="30"/>
      <c r="I4" s="30"/>
      <c r="J4" s="32"/>
      <c r="K4" s="32"/>
      <c r="L4" s="32"/>
      <c r="M4" s="32"/>
      <c r="N4" s="32"/>
      <c r="O4" s="32"/>
      <c r="P4" s="32"/>
      <c r="Q4" s="32"/>
      <c r="R4" s="32"/>
      <c r="S4" s="30"/>
      <c r="T4" s="30"/>
      <c r="U4" s="30"/>
      <c r="V4" s="30"/>
      <c r="W4" s="30"/>
    </row>
    <row r="5" spans="1:42" ht="15" customHeight="1" x14ac:dyDescent="0.25">
      <c r="A5" s="201"/>
      <c r="B5" s="201"/>
      <c r="C5" s="201"/>
      <c r="D5" s="201"/>
      <c r="E5" s="201"/>
      <c r="F5" s="201"/>
      <c r="G5" s="201"/>
      <c r="H5" s="201"/>
      <c r="I5" s="201"/>
      <c r="J5" s="201"/>
      <c r="K5" s="201"/>
      <c r="L5" s="156"/>
      <c r="M5" s="156"/>
      <c r="N5" s="156"/>
      <c r="O5" s="30"/>
      <c r="P5" s="30"/>
      <c r="Q5" s="33"/>
      <c r="R5" s="33"/>
      <c r="S5" s="30"/>
      <c r="T5" s="30"/>
      <c r="U5" s="30"/>
      <c r="V5" s="30"/>
      <c r="W5" s="30"/>
    </row>
    <row r="6" spans="1:42" ht="18" customHeight="1" x14ac:dyDescent="0.25">
      <c r="A6" s="85"/>
      <c r="B6" s="162" t="s">
        <v>48</v>
      </c>
      <c r="C6" s="163"/>
      <c r="D6" s="163"/>
      <c r="E6" s="163"/>
      <c r="F6" s="163"/>
      <c r="G6" s="163"/>
      <c r="H6" s="163"/>
      <c r="I6" s="163"/>
      <c r="J6" s="163"/>
      <c r="K6" s="163"/>
      <c r="L6" s="163"/>
      <c r="M6" s="163"/>
      <c r="N6" s="163"/>
      <c r="O6" s="163"/>
      <c r="P6" s="163"/>
      <c r="Q6" s="163"/>
      <c r="R6" s="163"/>
      <c r="S6" s="163"/>
      <c r="T6" s="163"/>
      <c r="U6" s="163"/>
      <c r="V6" s="164"/>
      <c r="W6" s="30"/>
    </row>
    <row r="7" spans="1:42" x14ac:dyDescent="0.25">
      <c r="A7" s="37"/>
      <c r="B7" s="231" t="s">
        <v>88</v>
      </c>
      <c r="C7" s="232"/>
      <c r="D7" s="232"/>
      <c r="E7" s="11">
        <v>65</v>
      </c>
      <c r="F7" s="11" t="s">
        <v>89</v>
      </c>
      <c r="G7" s="41"/>
      <c r="H7" s="107" t="s">
        <v>11</v>
      </c>
      <c r="I7" s="174" t="e">
        <f>IF(Dossiers_Nom="","",Dossiers_Nom)</f>
        <v>#NAME?</v>
      </c>
      <c r="J7" s="174"/>
      <c r="K7" s="174"/>
      <c r="L7" s="174"/>
      <c r="M7" s="174"/>
      <c r="N7" s="154"/>
      <c r="O7" s="155"/>
      <c r="P7" s="155"/>
      <c r="Q7" s="40" t="s">
        <v>55</v>
      </c>
      <c r="R7" s="198">
        <f ca="1">TODAY()</f>
        <v>44243</v>
      </c>
      <c r="S7" s="198"/>
      <c r="T7" s="198"/>
      <c r="U7" s="198"/>
      <c r="V7" s="230"/>
      <c r="W7" s="30"/>
    </row>
    <row r="8" spans="1:42" x14ac:dyDescent="0.25">
      <c r="A8" s="37"/>
      <c r="B8" s="42"/>
      <c r="C8" s="107"/>
      <c r="D8" s="108"/>
      <c r="E8" s="108"/>
      <c r="F8" s="108"/>
      <c r="G8" s="108"/>
      <c r="H8" s="107" t="s">
        <v>12</v>
      </c>
      <c r="I8" s="193" t="e">
        <f>IF(Dossiers_Localite="","",Dossiers_Localite)</f>
        <v>#NAME?</v>
      </c>
      <c r="J8" s="193"/>
      <c r="K8" s="193"/>
      <c r="L8" s="193"/>
      <c r="M8" s="193"/>
      <c r="N8" s="108"/>
      <c r="O8" s="108"/>
      <c r="P8" s="108"/>
      <c r="Q8" s="107" t="s">
        <v>13</v>
      </c>
      <c r="R8" s="193" t="e">
        <f>IF(Dossiers_Dossier="","", Dossiers_Dossier)</f>
        <v>#NAME?</v>
      </c>
      <c r="S8" s="193"/>
      <c r="T8" s="193"/>
      <c r="U8" s="193"/>
      <c r="V8" s="194"/>
      <c r="W8" s="30"/>
    </row>
    <row r="9" spans="1:42" x14ac:dyDescent="0.25">
      <c r="A9" s="37"/>
      <c r="B9" s="44"/>
      <c r="C9" s="46"/>
      <c r="D9" s="47"/>
      <c r="E9" s="47"/>
      <c r="F9" s="47"/>
      <c r="G9" s="47"/>
      <c r="H9" s="46" t="s">
        <v>54</v>
      </c>
      <c r="I9" s="171" t="e">
        <f>IF(Dossiers_Client="","",Dossiers_Client)</f>
        <v>#NAME?</v>
      </c>
      <c r="J9" s="171"/>
      <c r="K9" s="171"/>
      <c r="L9" s="171"/>
      <c r="M9" s="171"/>
      <c r="N9" s="76"/>
      <c r="O9" s="76"/>
      <c r="P9" s="76"/>
      <c r="Q9" s="46" t="s">
        <v>14</v>
      </c>
      <c r="R9" s="172" t="e">
        <f>IF(Dossiers_ContactClient="","",Dossiers_ContactClient)</f>
        <v>#NAME?</v>
      </c>
      <c r="S9" s="172"/>
      <c r="T9" s="172"/>
      <c r="U9" s="172"/>
      <c r="V9" s="173"/>
      <c r="W9" s="30"/>
    </row>
    <row r="10" spans="1:42" ht="10.5" customHeight="1" x14ac:dyDescent="0.25">
      <c r="A10" s="51"/>
      <c r="B10" s="76"/>
      <c r="C10" s="76"/>
      <c r="D10" s="76"/>
      <c r="E10" s="76"/>
      <c r="F10" s="76"/>
      <c r="G10" s="76"/>
      <c r="H10" s="76"/>
      <c r="I10" s="76"/>
      <c r="J10" s="76"/>
      <c r="K10" s="76"/>
      <c r="L10" s="76"/>
      <c r="M10" s="76"/>
      <c r="N10" s="76"/>
      <c r="O10" s="76"/>
      <c r="P10" s="76"/>
      <c r="Q10" s="76"/>
      <c r="R10" s="76"/>
      <c r="S10" s="76"/>
      <c r="T10" s="76"/>
      <c r="U10" s="76"/>
      <c r="V10" s="77"/>
      <c r="W10" s="30"/>
    </row>
    <row r="11" spans="1:42" ht="15.75" x14ac:dyDescent="0.25">
      <c r="A11" s="49"/>
      <c r="B11" s="162" t="s">
        <v>37</v>
      </c>
      <c r="C11" s="163"/>
      <c r="D11" s="163"/>
      <c r="E11" s="163"/>
      <c r="F11" s="163"/>
      <c r="G11" s="163"/>
      <c r="H11" s="163"/>
      <c r="I11" s="163"/>
      <c r="J11" s="163"/>
      <c r="K11" s="163"/>
      <c r="L11" s="163"/>
      <c r="M11" s="163"/>
      <c r="N11" s="163"/>
      <c r="O11" s="163"/>
      <c r="P11" s="163"/>
      <c r="Q11" s="163"/>
      <c r="R11" s="163"/>
      <c r="S11" s="163"/>
      <c r="T11" s="163"/>
      <c r="U11" s="163"/>
      <c r="V11" s="164"/>
      <c r="W11" s="30"/>
    </row>
    <row r="12" spans="1:42" ht="14.1" customHeight="1" x14ac:dyDescent="0.25">
      <c r="A12" s="218"/>
      <c r="B12" s="219" t="s">
        <v>22</v>
      </c>
      <c r="C12" s="215" t="s">
        <v>71</v>
      </c>
      <c r="D12" s="216"/>
      <c r="E12" s="217"/>
      <c r="F12" s="215" t="s">
        <v>68</v>
      </c>
      <c r="G12" s="216"/>
      <c r="H12" s="217"/>
      <c r="I12" s="215" t="s">
        <v>61</v>
      </c>
      <c r="J12" s="216"/>
      <c r="K12" s="216"/>
      <c r="L12" s="216"/>
      <c r="M12" s="216"/>
      <c r="N12" s="216"/>
      <c r="O12" s="216"/>
      <c r="P12" s="216"/>
      <c r="Q12" s="216"/>
      <c r="R12" s="217"/>
      <c r="S12" s="223" t="s">
        <v>30</v>
      </c>
      <c r="T12" s="219" t="s">
        <v>33</v>
      </c>
      <c r="U12" s="227"/>
      <c r="V12" s="223"/>
      <c r="W12" s="52"/>
    </row>
    <row r="13" spans="1:42" ht="33" customHeight="1" x14ac:dyDescent="0.25">
      <c r="A13" s="218"/>
      <c r="B13" s="220"/>
      <c r="C13" s="137" t="s">
        <v>58</v>
      </c>
      <c r="D13" s="130" t="s">
        <v>23</v>
      </c>
      <c r="E13" s="138" t="s">
        <v>24</v>
      </c>
      <c r="F13" s="137" t="s">
        <v>67</v>
      </c>
      <c r="G13" s="130" t="s">
        <v>70</v>
      </c>
      <c r="H13" s="138" t="s">
        <v>66</v>
      </c>
      <c r="I13" s="150" t="s">
        <v>59</v>
      </c>
      <c r="J13" s="78" t="s">
        <v>40</v>
      </c>
      <c r="K13" s="78" t="s">
        <v>41</v>
      </c>
      <c r="L13" s="78" t="s">
        <v>42</v>
      </c>
      <c r="M13" s="78" t="s">
        <v>43</v>
      </c>
      <c r="N13" s="78" t="s">
        <v>44</v>
      </c>
      <c r="O13" s="78" t="s">
        <v>45</v>
      </c>
      <c r="P13" s="78" t="s">
        <v>46</v>
      </c>
      <c r="Q13" s="151" t="s">
        <v>47</v>
      </c>
      <c r="R13" s="151" t="s">
        <v>87</v>
      </c>
      <c r="S13" s="224"/>
      <c r="T13" s="220"/>
      <c r="U13" s="228"/>
      <c r="V13" s="224"/>
      <c r="W13" s="30"/>
      <c r="Z13" t="s">
        <v>90</v>
      </c>
      <c r="AA13" t="s">
        <v>91</v>
      </c>
      <c r="AB13" t="s">
        <v>102</v>
      </c>
      <c r="AC13" t="s">
        <v>103</v>
      </c>
      <c r="AD13" t="s">
        <v>23</v>
      </c>
      <c r="AE13" t="s">
        <v>24</v>
      </c>
      <c r="AF13" t="s">
        <v>104</v>
      </c>
      <c r="AG13" t="s">
        <v>92</v>
      </c>
      <c r="AH13" t="s">
        <v>93</v>
      </c>
      <c r="AI13" t="s">
        <v>94</v>
      </c>
      <c r="AJ13" t="s">
        <v>95</v>
      </c>
      <c r="AK13" t="s">
        <v>96</v>
      </c>
      <c r="AL13" t="s">
        <v>97</v>
      </c>
      <c r="AM13" t="s">
        <v>98</v>
      </c>
      <c r="AN13" t="s">
        <v>99</v>
      </c>
      <c r="AO13" t="s">
        <v>100</v>
      </c>
      <c r="AP13" t="s">
        <v>101</v>
      </c>
    </row>
    <row r="14" spans="1:42" x14ac:dyDescent="0.25">
      <c r="A14" s="156"/>
      <c r="B14" s="143" t="str">
        <f>IF(TableRaw[[#This Row],[Numero]]="","",TableRaw[[#This Row],[Numero]])</f>
        <v>_Numero</v>
      </c>
      <c r="C14" s="144" t="str">
        <f>IF(TableRaw[[#This Row],[Chainage]]="","",TableRaw[[#This Row],[Chainage]])</f>
        <v>_Chainage</v>
      </c>
      <c r="D14" s="131" t="str">
        <f>IF(TableRaw[[#This Row],[Longitude]]="","",TableRaw[[#This Row],[Longitude]])</f>
        <v>_Longitude</v>
      </c>
      <c r="E14" s="145" t="str">
        <f>IF(TableRaw[[#This Row],[Latitude]]="","",TableRaw[[#This Row],[Latitude]])</f>
        <v>_Latitude</v>
      </c>
      <c r="F14" s="139" t="e">
        <f>IF(TableRaw[[#This Row],[Numero]]="","",TableRaw[[#This Row],[Force]]*TableRaw[[#This Row],[Ratio]])</f>
        <v>#VALUE!</v>
      </c>
      <c r="G14" s="133" t="str">
        <f>IF(TableRaw[[#This Row],[Timpact]]="","",TableRaw[[#This Row],[Timpact]])</f>
        <v>.2_PulseTime</v>
      </c>
      <c r="H14" s="140" t="e">
        <f>IF(ArrayResult[[#This Row],[Colonne10]]="","",IFERROR(ArrayResult[[#This Row],[Colonne10]]/Calibrations_DPlaque/Calibrations_DPlaque*4/PI()/1000,""))</f>
        <v>#VALUE!</v>
      </c>
      <c r="I14" s="144" t="e">
        <f>IF(TableRaw[[#This Row],[Numero]]="","",TableRaw[[#This Row],[d_300]]*TableRaw[[#This Row],[Ratio]])</f>
        <v>#VALUE!</v>
      </c>
      <c r="J14" s="133" t="e">
        <f>IF(TableRaw[[#This Row],[Numero]]="","",TableRaw[[#This Row],[d0]]*TableRaw[[#This Row],[Ratio]])</f>
        <v>#VALUE!</v>
      </c>
      <c r="K14" s="133" t="e">
        <f>IF(TableRaw[[#This Row],[Numero]]="","",TableRaw[[#This Row],[d200]]*TableRaw[[#This Row],[Ratio]])</f>
        <v>#VALUE!</v>
      </c>
      <c r="L14" s="133" t="e">
        <f>IF(TableRaw[[#This Row],[Numero]]="","",TableRaw[[#This Row],[d300]]*TableRaw[[#This Row],[Ratio]])</f>
        <v>#VALUE!</v>
      </c>
      <c r="M14" s="133" t="e">
        <f>IF(TableRaw[[#This Row],[Numero]]="","",TableRaw[[#This Row],[d600]]*TableRaw[[#This Row],[Ratio]])</f>
        <v>#VALUE!</v>
      </c>
      <c r="N14" s="133" t="e">
        <f>IF(TableRaw[[#This Row],[Numero]]="","",TableRaw[[#This Row],[d900]]*TableRaw[[#This Row],[Ratio]])</f>
        <v>#VALUE!</v>
      </c>
      <c r="O14" s="133" t="e">
        <f>IF(TableRaw[[#This Row],[Numero]]="","",TableRaw[[#This Row],[d1200]]*TableRaw[[#This Row],[Ratio]])</f>
        <v>#VALUE!</v>
      </c>
      <c r="P14" s="133" t="e">
        <f>IF(TableRaw[[#This Row],[Numero]]="","",TableRaw[[#This Row],[d1500]]*TableRaw[[#This Row],[Ratio]])</f>
        <v>#VALUE!</v>
      </c>
      <c r="Q14" s="152" t="e">
        <f>IF(TableRaw[[#This Row],[Numero]]="","",TableRaw[[#This Row],[d1800]]*TableRaw[[#This Row],[Ratio]])</f>
        <v>#VALUE!</v>
      </c>
      <c r="R14" s="152" t="e">
        <f>IF(TableRaw[[#This Row],[Numero]]="","",TableRaw[[#This Row],[d2100]]*TableRaw[[#This Row],[Ratio]])</f>
        <v>#VALUE!</v>
      </c>
      <c r="S14" s="143" t="e">
        <f>IF(ArrayResult[[#This Row],[Colonne4]]="","",IFERROR((POWER(200000,2)/2/(ArrayResult[[#This Row],[Colonne4]]-ArrayResult[[#This Row],[Colonne5]])+POWER(300000,2)/2/(ArrayResult[[#This Row],[Colonne4]]-ArrayResult[[#This Row],[Colonne13]]))/2*0.00001,""))</f>
        <v>#VALUE!</v>
      </c>
      <c r="T14" s="212"/>
      <c r="U14" s="213"/>
      <c r="V14" s="214"/>
      <c r="W14" s="30"/>
      <c r="Z14" t="s">
        <v>25</v>
      </c>
      <c r="AA14" t="str">
        <f>IFERROR(ChargeCorrection/TableRaw[[#This Row],[Force]],"")</f>
        <v/>
      </c>
      <c r="AB14" t="s">
        <v>1</v>
      </c>
      <c r="AC14" t="s">
        <v>0</v>
      </c>
      <c r="AD14" t="s">
        <v>27</v>
      </c>
      <c r="AE14" t="s">
        <v>28</v>
      </c>
      <c r="AF14" t="s">
        <v>69</v>
      </c>
      <c r="AG14" t="s">
        <v>60</v>
      </c>
      <c r="AH14" t="s">
        <v>2</v>
      </c>
      <c r="AI14" t="s">
        <v>3</v>
      </c>
      <c r="AJ14" t="s">
        <v>4</v>
      </c>
      <c r="AK14" t="s">
        <v>5</v>
      </c>
      <c r="AL14" t="s">
        <v>6</v>
      </c>
      <c r="AM14" t="s">
        <v>7</v>
      </c>
      <c r="AN14" t="s">
        <v>8</v>
      </c>
      <c r="AO14" t="s">
        <v>26</v>
      </c>
      <c r="AP14" t="s">
        <v>9</v>
      </c>
    </row>
    <row r="15" spans="1:42" x14ac:dyDescent="0.25">
      <c r="A15" s="156"/>
      <c r="B15" s="134" t="str">
        <f>IF(TableRaw[[#This Row],[Numero]]="","",TableRaw[[#This Row],[Numero]])</f>
        <v/>
      </c>
      <c r="C15" s="146" t="str">
        <f>IF(TableRaw[[#This Row],[Chainage]]="","",TableRaw[[#This Row],[Chainage]])</f>
        <v/>
      </c>
      <c r="D15" s="132" t="str">
        <f>IF(TableRaw[[#This Row],[Longitude]]="","",TableRaw[[#This Row],[Longitude]])</f>
        <v/>
      </c>
      <c r="E15" s="147" t="str">
        <f>IF(TableRaw[[#This Row],[Latitude]]="","",TableRaw[[#This Row],[Latitude]])</f>
        <v/>
      </c>
      <c r="F15" s="141" t="str">
        <f>IF(TableRaw[[#This Row],[Numero]]="","",TableRaw[[#This Row],[Force]]*TableRaw[[#This Row],[Ratio]])</f>
        <v/>
      </c>
      <c r="G15" s="79" t="str">
        <f>IF(TableRaw[[#This Row],[Timpact]]="","",TableRaw[[#This Row],[Timpact]])</f>
        <v/>
      </c>
      <c r="H15" s="142" t="str">
        <f>IF(ArrayResult[[#This Row],[Colonne10]]="","",IFERROR(ArrayResult[[#This Row],[Colonne10]]/Calibrations_DPlaque/Calibrations_DPlaque*4/PI()/1000,""))</f>
        <v/>
      </c>
      <c r="I15" s="146" t="str">
        <f>IF(TableRaw[[#This Row],[Numero]]="","",TableRaw[[#This Row],[d_300]]*TableRaw[[#This Row],[Ratio]])</f>
        <v/>
      </c>
      <c r="J15" s="80" t="str">
        <f>IF(TableRaw[[#This Row],[Numero]]="","",TableRaw[[#This Row],[d0]]*TableRaw[[#This Row],[Ratio]])</f>
        <v/>
      </c>
      <c r="K15" s="80" t="str">
        <f>IF(TableRaw[[#This Row],[Numero]]="","",TableRaw[[#This Row],[d200]]*TableRaw[[#This Row],[Ratio]])</f>
        <v/>
      </c>
      <c r="L15" s="80" t="str">
        <f>IF(TableRaw[[#This Row],[Numero]]="","",TableRaw[[#This Row],[d300]]*TableRaw[[#This Row],[Ratio]])</f>
        <v/>
      </c>
      <c r="M15" s="80" t="str">
        <f>IF(TableRaw[[#This Row],[Numero]]="","",TableRaw[[#This Row],[d600]]*TableRaw[[#This Row],[Ratio]])</f>
        <v/>
      </c>
      <c r="N15" s="80" t="str">
        <f>IF(TableRaw[[#This Row],[Numero]]="","",TableRaw[[#This Row],[d900]]*TableRaw[[#This Row],[Ratio]])</f>
        <v/>
      </c>
      <c r="O15" s="80" t="str">
        <f>IF(TableRaw[[#This Row],[Numero]]="","",TableRaw[[#This Row],[d1200]]*TableRaw[[#This Row],[Ratio]])</f>
        <v/>
      </c>
      <c r="P15" s="80" t="str">
        <f>IF(TableRaw[[#This Row],[Numero]]="","",TableRaw[[#This Row],[d1500]]*TableRaw[[#This Row],[Ratio]])</f>
        <v/>
      </c>
      <c r="Q15" s="80" t="str">
        <f>IF(TableRaw[[#This Row],[Numero]]="","",TableRaw[[#This Row],[d1800]]*TableRaw[[#This Row],[Ratio]])</f>
        <v/>
      </c>
      <c r="R15" s="153" t="str">
        <f>IF(TableRaw[[#This Row],[Numero]]="","",TableRaw[[#This Row],[d2100]]*TableRaw[[#This Row],[Ratio]])</f>
        <v/>
      </c>
      <c r="S15" s="143" t="str">
        <f>IF(ArrayResult[[#This Row],[Colonne4]]="","",IFERROR((POWER(200000,2)/2/(ArrayResult[[#This Row],[Colonne4]]-ArrayResult[[#This Row],[Colonne5]])+POWER(300000,2)/2/(ArrayResult[[#This Row],[Colonne4]]-ArrayResult[[#This Row],[Colonne13]]))/2*0.00001,""))</f>
        <v/>
      </c>
      <c r="T15" s="209"/>
      <c r="U15" s="210"/>
      <c r="V15" s="211"/>
      <c r="W15" s="30"/>
      <c r="AA15" t="str">
        <f>IFERROR(ChargeCorrection/TableRaw[[#This Row],[Force]],"")</f>
        <v/>
      </c>
    </row>
    <row r="16" spans="1:42" x14ac:dyDescent="0.25">
      <c r="A16" s="156"/>
      <c r="B16" s="134" t="str">
        <f>IF(TableRaw[[#This Row],[Numero]]="","",TableRaw[[#This Row],[Numero]])</f>
        <v/>
      </c>
      <c r="C16" s="146" t="str">
        <f>IF(TableRaw[[#This Row],[Chainage]]="","",TableRaw[[#This Row],[Chainage]])</f>
        <v/>
      </c>
      <c r="D16" s="132" t="str">
        <f>IF(TableRaw[[#This Row],[Longitude]]="","",TableRaw[[#This Row],[Longitude]])</f>
        <v/>
      </c>
      <c r="E16" s="147" t="str">
        <f>IF(TableRaw[[#This Row],[Latitude]]="","",TableRaw[[#This Row],[Latitude]])</f>
        <v/>
      </c>
      <c r="F16" s="141" t="str">
        <f>IF(TableRaw[[#This Row],[Numero]]="","",TableRaw[[#This Row],[Force]]*TableRaw[[#This Row],[Ratio]])</f>
        <v/>
      </c>
      <c r="G16" s="79" t="str">
        <f>IF(TableRaw[[#This Row],[Timpact]]="","",TableRaw[[#This Row],[Timpact]])</f>
        <v/>
      </c>
      <c r="H16" s="142" t="str">
        <f>IF(ArrayResult[[#This Row],[Colonne10]]="","",IFERROR(ArrayResult[[#This Row],[Colonne10]]/Calibrations_DPlaque/Calibrations_DPlaque*4/PI()/1000,""))</f>
        <v/>
      </c>
      <c r="I16" s="146" t="str">
        <f>IF(TableRaw[[#This Row],[Numero]]="","",TableRaw[[#This Row],[d_300]]*TableRaw[[#This Row],[Ratio]])</f>
        <v/>
      </c>
      <c r="J16" s="80" t="str">
        <f>IF(TableRaw[[#This Row],[Numero]]="","",TableRaw[[#This Row],[d0]]*TableRaw[[#This Row],[Ratio]])</f>
        <v/>
      </c>
      <c r="K16" s="80" t="str">
        <f>IF(TableRaw[[#This Row],[Numero]]="","",TableRaw[[#This Row],[d200]]*TableRaw[[#This Row],[Ratio]])</f>
        <v/>
      </c>
      <c r="L16" s="80" t="str">
        <f>IF(TableRaw[[#This Row],[Numero]]="","",TableRaw[[#This Row],[d300]]*TableRaw[[#This Row],[Ratio]])</f>
        <v/>
      </c>
      <c r="M16" s="80" t="str">
        <f>IF(TableRaw[[#This Row],[Numero]]="","",TableRaw[[#This Row],[d600]]*TableRaw[[#This Row],[Ratio]])</f>
        <v/>
      </c>
      <c r="N16" s="80" t="str">
        <f>IF(TableRaw[[#This Row],[Numero]]="","",TableRaw[[#This Row],[d900]]*TableRaw[[#This Row],[Ratio]])</f>
        <v/>
      </c>
      <c r="O16" s="80" t="str">
        <f>IF(TableRaw[[#This Row],[Numero]]="","",TableRaw[[#This Row],[d1200]]*TableRaw[[#This Row],[Ratio]])</f>
        <v/>
      </c>
      <c r="P16" s="80" t="str">
        <f>IF(TableRaw[[#This Row],[Numero]]="","",TableRaw[[#This Row],[d1500]]*TableRaw[[#This Row],[Ratio]])</f>
        <v/>
      </c>
      <c r="Q16" s="80" t="str">
        <f>IF(TableRaw[[#This Row],[Numero]]="","",TableRaw[[#This Row],[d1800]]*TableRaw[[#This Row],[Ratio]])</f>
        <v/>
      </c>
      <c r="R16" s="153" t="str">
        <f>IF(TableRaw[[#This Row],[Numero]]="","",TableRaw[[#This Row],[d2100]]*TableRaw[[#This Row],[Ratio]])</f>
        <v/>
      </c>
      <c r="S16" s="79" t="str">
        <f>IF(ArrayResult[[#This Row],[Colonne4]]="","",IFERROR((POWER(200000,2)/2/(ArrayResult[[#This Row],[Colonne4]]-ArrayResult[[#This Row],[Colonne5]])+POWER(300000,2)/2/(ArrayResult[[#This Row],[Colonne4]]-ArrayResult[[#This Row],[Colonne13]]))/2*0.00001,""))</f>
        <v/>
      </c>
      <c r="T16" s="209"/>
      <c r="U16" s="210"/>
      <c r="V16" s="211"/>
      <c r="W16" s="30"/>
      <c r="AA16" t="str">
        <f>IFERROR(ChargeCorrection/TableRaw[[#This Row],[Force]],"")</f>
        <v/>
      </c>
    </row>
    <row r="17" spans="1:27" x14ac:dyDescent="0.25">
      <c r="A17" s="156"/>
      <c r="B17" s="134" t="str">
        <f>IF(TableRaw[[#This Row],[Numero]]="","",TableRaw[[#This Row],[Numero]])</f>
        <v/>
      </c>
      <c r="C17" s="146" t="str">
        <f>IF(TableRaw[[#This Row],[Chainage]]="","",TableRaw[[#This Row],[Chainage]])</f>
        <v/>
      </c>
      <c r="D17" s="132" t="str">
        <f>IF(TableRaw[[#This Row],[Longitude]]="","",TableRaw[[#This Row],[Longitude]])</f>
        <v/>
      </c>
      <c r="E17" s="147" t="str">
        <f>IF(TableRaw[[#This Row],[Latitude]]="","",TableRaw[[#This Row],[Latitude]])</f>
        <v/>
      </c>
      <c r="F17" s="141" t="str">
        <f>IF(TableRaw[[#This Row],[Numero]]="","",TableRaw[[#This Row],[Force]]*TableRaw[[#This Row],[Ratio]])</f>
        <v/>
      </c>
      <c r="G17" s="79" t="str">
        <f>IF(TableRaw[[#This Row],[Timpact]]="","",TableRaw[[#This Row],[Timpact]])</f>
        <v/>
      </c>
      <c r="H17" s="142" t="str">
        <f>IF(ArrayResult[[#This Row],[Colonne10]]="","",IFERROR(ArrayResult[[#This Row],[Colonne10]]/Calibrations_DPlaque/Calibrations_DPlaque*4/PI()/1000,""))</f>
        <v/>
      </c>
      <c r="I17" s="146" t="str">
        <f>IF(TableRaw[[#This Row],[Numero]]="","",TableRaw[[#This Row],[d_300]]*TableRaw[[#This Row],[Ratio]])</f>
        <v/>
      </c>
      <c r="J17" s="80" t="str">
        <f>IF(TableRaw[[#This Row],[Numero]]="","",TableRaw[[#This Row],[d0]]*TableRaw[[#This Row],[Ratio]])</f>
        <v/>
      </c>
      <c r="K17" s="80" t="str">
        <f>IF(TableRaw[[#This Row],[Numero]]="","",TableRaw[[#This Row],[d200]]*TableRaw[[#This Row],[Ratio]])</f>
        <v/>
      </c>
      <c r="L17" s="80" t="str">
        <f>IF(TableRaw[[#This Row],[Numero]]="","",TableRaw[[#This Row],[d300]]*TableRaw[[#This Row],[Ratio]])</f>
        <v/>
      </c>
      <c r="M17" s="80" t="str">
        <f>IF(TableRaw[[#This Row],[Numero]]="","",TableRaw[[#This Row],[d600]]*TableRaw[[#This Row],[Ratio]])</f>
        <v/>
      </c>
      <c r="N17" s="80" t="str">
        <f>IF(TableRaw[[#This Row],[Numero]]="","",TableRaw[[#This Row],[d900]]*TableRaw[[#This Row],[Ratio]])</f>
        <v/>
      </c>
      <c r="O17" s="80" t="str">
        <f>IF(TableRaw[[#This Row],[Numero]]="","",TableRaw[[#This Row],[d1200]]*TableRaw[[#This Row],[Ratio]])</f>
        <v/>
      </c>
      <c r="P17" s="80" t="str">
        <f>IF(TableRaw[[#This Row],[Numero]]="","",TableRaw[[#This Row],[d1500]]*TableRaw[[#This Row],[Ratio]])</f>
        <v/>
      </c>
      <c r="Q17" s="80" t="str">
        <f>IF(TableRaw[[#This Row],[Numero]]="","",TableRaw[[#This Row],[d1800]]*TableRaw[[#This Row],[Ratio]])</f>
        <v/>
      </c>
      <c r="R17" s="153" t="str">
        <f>IF(TableRaw[[#This Row],[Numero]]="","",TableRaw[[#This Row],[d2100]]*TableRaw[[#This Row],[Ratio]])</f>
        <v/>
      </c>
      <c r="S17" s="79" t="str">
        <f>IF(ArrayResult[[#This Row],[Colonne4]]="","",IFERROR((POWER(200000,2)/2/(ArrayResult[[#This Row],[Colonne4]]-ArrayResult[[#This Row],[Colonne5]])+POWER(300000,2)/2/(ArrayResult[[#This Row],[Colonne4]]-ArrayResult[[#This Row],[Colonne13]]))/2*0.00001,""))</f>
        <v/>
      </c>
      <c r="T17" s="209"/>
      <c r="U17" s="210"/>
      <c r="V17" s="211"/>
      <c r="W17" s="30"/>
      <c r="AA17" t="str">
        <f>IFERROR(ChargeCorrection/TableRaw[[#This Row],[Force]],"")</f>
        <v/>
      </c>
    </row>
    <row r="18" spans="1:27" x14ac:dyDescent="0.25">
      <c r="A18" s="156"/>
      <c r="B18" s="134" t="str">
        <f>IF(TableRaw[[#This Row],[Numero]]="","",TableRaw[[#This Row],[Numero]])</f>
        <v/>
      </c>
      <c r="C18" s="146" t="str">
        <f>IF(TableRaw[[#This Row],[Chainage]]="","",TableRaw[[#This Row],[Chainage]])</f>
        <v/>
      </c>
      <c r="D18" s="132" t="str">
        <f>IF(TableRaw[[#This Row],[Longitude]]="","",TableRaw[[#This Row],[Longitude]])</f>
        <v/>
      </c>
      <c r="E18" s="147" t="str">
        <f>IF(TableRaw[[#This Row],[Latitude]]="","",TableRaw[[#This Row],[Latitude]])</f>
        <v/>
      </c>
      <c r="F18" s="141" t="str">
        <f>IF(TableRaw[[#This Row],[Numero]]="","",TableRaw[[#This Row],[Force]]*TableRaw[[#This Row],[Ratio]])</f>
        <v/>
      </c>
      <c r="G18" s="79" t="str">
        <f>IF(TableRaw[[#This Row],[Timpact]]="","",TableRaw[[#This Row],[Timpact]])</f>
        <v/>
      </c>
      <c r="H18" s="142" t="str">
        <f>IF(ArrayResult[[#This Row],[Colonne10]]="","",IFERROR(ArrayResult[[#This Row],[Colonne10]]/Calibrations_DPlaque/Calibrations_DPlaque*4/PI()/1000,""))</f>
        <v/>
      </c>
      <c r="I18" s="146" t="str">
        <f>IF(TableRaw[[#This Row],[Numero]]="","",TableRaw[[#This Row],[d_300]]*TableRaw[[#This Row],[Ratio]])</f>
        <v/>
      </c>
      <c r="J18" s="80" t="str">
        <f>IF(TableRaw[[#This Row],[Numero]]="","",TableRaw[[#This Row],[d0]]*TableRaw[[#This Row],[Ratio]])</f>
        <v/>
      </c>
      <c r="K18" s="80" t="str">
        <f>IF(TableRaw[[#This Row],[Numero]]="","",TableRaw[[#This Row],[d200]]*TableRaw[[#This Row],[Ratio]])</f>
        <v/>
      </c>
      <c r="L18" s="80" t="str">
        <f>IF(TableRaw[[#This Row],[Numero]]="","",TableRaw[[#This Row],[d300]]*TableRaw[[#This Row],[Ratio]])</f>
        <v/>
      </c>
      <c r="M18" s="80" t="str">
        <f>IF(TableRaw[[#This Row],[Numero]]="","",TableRaw[[#This Row],[d600]]*TableRaw[[#This Row],[Ratio]])</f>
        <v/>
      </c>
      <c r="N18" s="80" t="str">
        <f>IF(TableRaw[[#This Row],[Numero]]="","",TableRaw[[#This Row],[d900]]*TableRaw[[#This Row],[Ratio]])</f>
        <v/>
      </c>
      <c r="O18" s="80" t="str">
        <f>IF(TableRaw[[#This Row],[Numero]]="","",TableRaw[[#This Row],[d1200]]*TableRaw[[#This Row],[Ratio]])</f>
        <v/>
      </c>
      <c r="P18" s="80" t="str">
        <f>IF(TableRaw[[#This Row],[Numero]]="","",TableRaw[[#This Row],[d1500]]*TableRaw[[#This Row],[Ratio]])</f>
        <v/>
      </c>
      <c r="Q18" s="80" t="str">
        <f>IF(TableRaw[[#This Row],[Numero]]="","",TableRaw[[#This Row],[d1800]]*TableRaw[[#This Row],[Ratio]])</f>
        <v/>
      </c>
      <c r="R18" s="153" t="str">
        <f>IF(TableRaw[[#This Row],[Numero]]="","",TableRaw[[#This Row],[d2100]]*TableRaw[[#This Row],[Ratio]])</f>
        <v/>
      </c>
      <c r="S18" s="79" t="str">
        <f>IF(ArrayResult[[#This Row],[Colonne4]]="","",IFERROR((POWER(200000,2)/2/(ArrayResult[[#This Row],[Colonne4]]-ArrayResult[[#This Row],[Colonne5]])+POWER(300000,2)/2/(ArrayResult[[#This Row],[Colonne4]]-ArrayResult[[#This Row],[Colonne13]]))/2*0.00001,""))</f>
        <v/>
      </c>
      <c r="T18" s="209"/>
      <c r="U18" s="210"/>
      <c r="V18" s="211"/>
      <c r="W18" s="30"/>
      <c r="AA18" t="str">
        <f>IFERROR(ChargeCorrection/TableRaw[[#This Row],[Force]],"")</f>
        <v/>
      </c>
    </row>
    <row r="19" spans="1:27" x14ac:dyDescent="0.25">
      <c r="A19" s="156"/>
      <c r="B19" s="134" t="str">
        <f>IF(TableRaw[[#This Row],[Numero]]="","",TableRaw[[#This Row],[Numero]])</f>
        <v/>
      </c>
      <c r="C19" s="146" t="str">
        <f>IF(TableRaw[[#This Row],[Chainage]]="","",TableRaw[[#This Row],[Chainage]])</f>
        <v/>
      </c>
      <c r="D19" s="132" t="str">
        <f>IF(TableRaw[[#This Row],[Longitude]]="","",TableRaw[[#This Row],[Longitude]])</f>
        <v/>
      </c>
      <c r="E19" s="147" t="str">
        <f>IF(TableRaw[[#This Row],[Latitude]]="","",TableRaw[[#This Row],[Latitude]])</f>
        <v/>
      </c>
      <c r="F19" s="141" t="str">
        <f>IF(TableRaw[[#This Row],[Numero]]="","",TableRaw[[#This Row],[Force]]*TableRaw[[#This Row],[Ratio]])</f>
        <v/>
      </c>
      <c r="G19" s="79" t="str">
        <f>IF(TableRaw[[#This Row],[Timpact]]="","",TableRaw[[#This Row],[Timpact]])</f>
        <v/>
      </c>
      <c r="H19" s="142" t="str">
        <f>IF(ArrayResult[[#This Row],[Colonne10]]="","",IFERROR(ArrayResult[[#This Row],[Colonne10]]/Calibrations_DPlaque/Calibrations_DPlaque*4/PI()/1000,""))</f>
        <v/>
      </c>
      <c r="I19" s="146" t="str">
        <f>IF(TableRaw[[#This Row],[Numero]]="","",TableRaw[[#This Row],[d_300]]*TableRaw[[#This Row],[Ratio]])</f>
        <v/>
      </c>
      <c r="J19" s="80" t="str">
        <f>IF(TableRaw[[#This Row],[Numero]]="","",TableRaw[[#This Row],[d0]]*TableRaw[[#This Row],[Ratio]])</f>
        <v/>
      </c>
      <c r="K19" s="80" t="str">
        <f>IF(TableRaw[[#This Row],[Numero]]="","",TableRaw[[#This Row],[d200]]*TableRaw[[#This Row],[Ratio]])</f>
        <v/>
      </c>
      <c r="L19" s="80" t="str">
        <f>IF(TableRaw[[#This Row],[Numero]]="","",TableRaw[[#This Row],[d300]]*TableRaw[[#This Row],[Ratio]])</f>
        <v/>
      </c>
      <c r="M19" s="80" t="str">
        <f>IF(TableRaw[[#This Row],[Numero]]="","",TableRaw[[#This Row],[d600]]*TableRaw[[#This Row],[Ratio]])</f>
        <v/>
      </c>
      <c r="N19" s="80" t="str">
        <f>IF(TableRaw[[#This Row],[Numero]]="","",TableRaw[[#This Row],[d900]]*TableRaw[[#This Row],[Ratio]])</f>
        <v/>
      </c>
      <c r="O19" s="80" t="str">
        <f>IF(TableRaw[[#This Row],[Numero]]="","",TableRaw[[#This Row],[d1200]]*TableRaw[[#This Row],[Ratio]])</f>
        <v/>
      </c>
      <c r="P19" s="80" t="str">
        <f>IF(TableRaw[[#This Row],[Numero]]="","",TableRaw[[#This Row],[d1500]]*TableRaw[[#This Row],[Ratio]])</f>
        <v/>
      </c>
      <c r="Q19" s="80" t="str">
        <f>IF(TableRaw[[#This Row],[Numero]]="","",TableRaw[[#This Row],[d1800]]*TableRaw[[#This Row],[Ratio]])</f>
        <v/>
      </c>
      <c r="R19" s="153" t="str">
        <f>IF(TableRaw[[#This Row],[Numero]]="","",TableRaw[[#This Row],[d2100]]*TableRaw[[#This Row],[Ratio]])</f>
        <v/>
      </c>
      <c r="S19" s="79" t="str">
        <f>IF(ArrayResult[[#This Row],[Colonne4]]="","",IFERROR((POWER(200000,2)/2/(ArrayResult[[#This Row],[Colonne4]]-ArrayResult[[#This Row],[Colonne5]])+POWER(300000,2)/2/(ArrayResult[[#This Row],[Colonne4]]-ArrayResult[[#This Row],[Colonne13]]))/2*0.00001,""))</f>
        <v/>
      </c>
      <c r="T19" s="157"/>
      <c r="U19" s="158"/>
      <c r="V19" s="159"/>
      <c r="W19" s="30"/>
      <c r="AA19" t="str">
        <f>IFERROR(ChargeCorrection/TableRaw[[#This Row],[Force]],"")</f>
        <v/>
      </c>
    </row>
    <row r="20" spans="1:27" x14ac:dyDescent="0.25">
      <c r="A20" s="156"/>
      <c r="B20" s="134" t="str">
        <f>IF(TableRaw[[#This Row],[Numero]]="","",TableRaw[[#This Row],[Numero]])</f>
        <v/>
      </c>
      <c r="C20" s="146" t="str">
        <f>IF(TableRaw[[#This Row],[Chainage]]="","",TableRaw[[#This Row],[Chainage]])</f>
        <v/>
      </c>
      <c r="D20" s="132" t="str">
        <f>IF(TableRaw[[#This Row],[Longitude]]="","",TableRaw[[#This Row],[Longitude]])</f>
        <v/>
      </c>
      <c r="E20" s="147" t="str">
        <f>IF(TableRaw[[#This Row],[Latitude]]="","",TableRaw[[#This Row],[Latitude]])</f>
        <v/>
      </c>
      <c r="F20" s="141" t="str">
        <f>IF(TableRaw[[#This Row],[Numero]]="","",TableRaw[[#This Row],[Force]]*TableRaw[[#This Row],[Ratio]])</f>
        <v/>
      </c>
      <c r="G20" s="79" t="str">
        <f>IF(TableRaw[[#This Row],[Timpact]]="","",TableRaw[[#This Row],[Timpact]])</f>
        <v/>
      </c>
      <c r="H20" s="142" t="str">
        <f>IF(ArrayResult[[#This Row],[Colonne10]]="","",IFERROR(ArrayResult[[#This Row],[Colonne10]]/Calibrations_DPlaque/Calibrations_DPlaque*4/PI()/1000,""))</f>
        <v/>
      </c>
      <c r="I20" s="146" t="str">
        <f>IF(TableRaw[[#This Row],[Numero]]="","",TableRaw[[#This Row],[d_300]]*TableRaw[[#This Row],[Ratio]])</f>
        <v/>
      </c>
      <c r="J20" s="80" t="str">
        <f>IF(TableRaw[[#This Row],[Numero]]="","",TableRaw[[#This Row],[d0]]*TableRaw[[#This Row],[Ratio]])</f>
        <v/>
      </c>
      <c r="K20" s="80" t="str">
        <f>IF(TableRaw[[#This Row],[Numero]]="","",TableRaw[[#This Row],[d200]]*TableRaw[[#This Row],[Ratio]])</f>
        <v/>
      </c>
      <c r="L20" s="80" t="str">
        <f>IF(TableRaw[[#This Row],[Numero]]="","",TableRaw[[#This Row],[d300]]*TableRaw[[#This Row],[Ratio]])</f>
        <v/>
      </c>
      <c r="M20" s="80" t="str">
        <f>IF(TableRaw[[#This Row],[Numero]]="","",TableRaw[[#This Row],[d600]]*TableRaw[[#This Row],[Ratio]])</f>
        <v/>
      </c>
      <c r="N20" s="80" t="str">
        <f>IF(TableRaw[[#This Row],[Numero]]="","",TableRaw[[#This Row],[d900]]*TableRaw[[#This Row],[Ratio]])</f>
        <v/>
      </c>
      <c r="O20" s="80" t="str">
        <f>IF(TableRaw[[#This Row],[Numero]]="","",TableRaw[[#This Row],[d1200]]*TableRaw[[#This Row],[Ratio]])</f>
        <v/>
      </c>
      <c r="P20" s="80" t="str">
        <f>IF(TableRaw[[#This Row],[Numero]]="","",TableRaw[[#This Row],[d1500]]*TableRaw[[#This Row],[Ratio]])</f>
        <v/>
      </c>
      <c r="Q20" s="80" t="str">
        <f>IF(TableRaw[[#This Row],[Numero]]="","",TableRaw[[#This Row],[d1800]]*TableRaw[[#This Row],[Ratio]])</f>
        <v/>
      </c>
      <c r="R20" s="153" t="str">
        <f>IF(TableRaw[[#This Row],[Numero]]="","",TableRaw[[#This Row],[d2100]]*TableRaw[[#This Row],[Ratio]])</f>
        <v/>
      </c>
      <c r="S20" s="79" t="str">
        <f>IF(ArrayResult[[#This Row],[Colonne4]]="","",IFERROR((POWER(200000,2)/2/(ArrayResult[[#This Row],[Colonne4]]-ArrayResult[[#This Row],[Colonne5]])+POWER(300000,2)/2/(ArrayResult[[#This Row],[Colonne4]]-ArrayResult[[#This Row],[Colonne13]]))/2*0.00001,""))</f>
        <v/>
      </c>
      <c r="T20" s="157"/>
      <c r="U20" s="158"/>
      <c r="V20" s="159"/>
      <c r="W20" s="30"/>
      <c r="AA20" t="str">
        <f>IFERROR(ChargeCorrection/TableRaw[[#This Row],[Force]],"")</f>
        <v/>
      </c>
    </row>
    <row r="21" spans="1:27" x14ac:dyDescent="0.25">
      <c r="A21" s="156"/>
      <c r="B21" s="134" t="str">
        <f>IF(TableRaw[[#This Row],[Numero]]="","",TableRaw[[#This Row],[Numero]])</f>
        <v/>
      </c>
      <c r="C21" s="146" t="str">
        <f>IF(TableRaw[[#This Row],[Chainage]]="","",TableRaw[[#This Row],[Chainage]])</f>
        <v/>
      </c>
      <c r="D21" s="132" t="str">
        <f>IF(TableRaw[[#This Row],[Longitude]]="","",TableRaw[[#This Row],[Longitude]])</f>
        <v/>
      </c>
      <c r="E21" s="147" t="str">
        <f>IF(TableRaw[[#This Row],[Latitude]]="","",TableRaw[[#This Row],[Latitude]])</f>
        <v/>
      </c>
      <c r="F21" s="141" t="str">
        <f>IF(TableRaw[[#This Row],[Numero]]="","",TableRaw[[#This Row],[Force]]*TableRaw[[#This Row],[Ratio]])</f>
        <v/>
      </c>
      <c r="G21" s="79" t="str">
        <f>IF(TableRaw[[#This Row],[Timpact]]="","",TableRaw[[#This Row],[Timpact]])</f>
        <v/>
      </c>
      <c r="H21" s="142" t="str">
        <f>IF(ArrayResult[[#This Row],[Colonne10]]="","",IFERROR(ArrayResult[[#This Row],[Colonne10]]/Calibrations_DPlaque/Calibrations_DPlaque*4/PI()/1000,""))</f>
        <v/>
      </c>
      <c r="I21" s="146" t="str">
        <f>IF(TableRaw[[#This Row],[Numero]]="","",TableRaw[[#This Row],[d_300]]*TableRaw[[#This Row],[Ratio]])</f>
        <v/>
      </c>
      <c r="J21" s="80" t="str">
        <f>IF(TableRaw[[#This Row],[Numero]]="","",TableRaw[[#This Row],[d0]]*TableRaw[[#This Row],[Ratio]])</f>
        <v/>
      </c>
      <c r="K21" s="80" t="str">
        <f>IF(TableRaw[[#This Row],[Numero]]="","",TableRaw[[#This Row],[d200]]*TableRaw[[#This Row],[Ratio]])</f>
        <v/>
      </c>
      <c r="L21" s="80" t="str">
        <f>IF(TableRaw[[#This Row],[Numero]]="","",TableRaw[[#This Row],[d300]]*TableRaw[[#This Row],[Ratio]])</f>
        <v/>
      </c>
      <c r="M21" s="80" t="str">
        <f>IF(TableRaw[[#This Row],[Numero]]="","",TableRaw[[#This Row],[d600]]*TableRaw[[#This Row],[Ratio]])</f>
        <v/>
      </c>
      <c r="N21" s="80" t="str">
        <f>IF(TableRaw[[#This Row],[Numero]]="","",TableRaw[[#This Row],[d900]]*TableRaw[[#This Row],[Ratio]])</f>
        <v/>
      </c>
      <c r="O21" s="80" t="str">
        <f>IF(TableRaw[[#This Row],[Numero]]="","",TableRaw[[#This Row],[d1200]]*TableRaw[[#This Row],[Ratio]])</f>
        <v/>
      </c>
      <c r="P21" s="80" t="str">
        <f>IF(TableRaw[[#This Row],[Numero]]="","",TableRaw[[#This Row],[d1500]]*TableRaw[[#This Row],[Ratio]])</f>
        <v/>
      </c>
      <c r="Q21" s="80" t="str">
        <f>IF(TableRaw[[#This Row],[Numero]]="","",TableRaw[[#This Row],[d1800]]*TableRaw[[#This Row],[Ratio]])</f>
        <v/>
      </c>
      <c r="R21" s="153" t="str">
        <f>IF(TableRaw[[#This Row],[Numero]]="","",TableRaw[[#This Row],[d2100]]*TableRaw[[#This Row],[Ratio]])</f>
        <v/>
      </c>
      <c r="S21" s="79" t="str">
        <f>IF(ArrayResult[[#This Row],[Colonne4]]="","",IFERROR((POWER(200000,2)/2/(ArrayResult[[#This Row],[Colonne4]]-ArrayResult[[#This Row],[Colonne5]])+POWER(300000,2)/2/(ArrayResult[[#This Row],[Colonne4]]-ArrayResult[[#This Row],[Colonne13]]))/2*0.00001,""))</f>
        <v/>
      </c>
      <c r="T21" s="157"/>
      <c r="U21" s="158"/>
      <c r="V21" s="159"/>
      <c r="W21" s="30"/>
      <c r="AA21" t="str">
        <f>IFERROR(ChargeCorrection/TableRaw[[#This Row],[Force]],"")</f>
        <v/>
      </c>
    </row>
    <row r="22" spans="1:27" x14ac:dyDescent="0.25">
      <c r="A22" s="156"/>
      <c r="B22" s="134" t="str">
        <f>IF(TableRaw[[#This Row],[Numero]]="","",TableRaw[[#This Row],[Numero]])</f>
        <v/>
      </c>
      <c r="C22" s="146" t="str">
        <f>IF(TableRaw[[#This Row],[Chainage]]="","",TableRaw[[#This Row],[Chainage]])</f>
        <v/>
      </c>
      <c r="D22" s="132" t="str">
        <f>IF(TableRaw[[#This Row],[Longitude]]="","",TableRaw[[#This Row],[Longitude]])</f>
        <v/>
      </c>
      <c r="E22" s="147" t="str">
        <f>IF(TableRaw[[#This Row],[Latitude]]="","",TableRaw[[#This Row],[Latitude]])</f>
        <v/>
      </c>
      <c r="F22" s="141" t="str">
        <f>IF(TableRaw[[#This Row],[Numero]]="","",TableRaw[[#This Row],[Force]]*TableRaw[[#This Row],[Ratio]])</f>
        <v/>
      </c>
      <c r="G22" s="79" t="str">
        <f>IF(TableRaw[[#This Row],[Timpact]]="","",TableRaw[[#This Row],[Timpact]])</f>
        <v/>
      </c>
      <c r="H22" s="142" t="str">
        <f>IF(ArrayResult[[#This Row],[Colonne10]]="","",IFERROR(ArrayResult[[#This Row],[Colonne10]]/Calibrations_DPlaque/Calibrations_DPlaque*4/PI()/1000,""))</f>
        <v/>
      </c>
      <c r="I22" s="146" t="str">
        <f>IF(TableRaw[[#This Row],[Numero]]="","",TableRaw[[#This Row],[d_300]]*TableRaw[[#This Row],[Ratio]])</f>
        <v/>
      </c>
      <c r="J22" s="80" t="str">
        <f>IF(TableRaw[[#This Row],[Numero]]="","",TableRaw[[#This Row],[d0]]*TableRaw[[#This Row],[Ratio]])</f>
        <v/>
      </c>
      <c r="K22" s="80" t="str">
        <f>IF(TableRaw[[#This Row],[Numero]]="","",TableRaw[[#This Row],[d200]]*TableRaw[[#This Row],[Ratio]])</f>
        <v/>
      </c>
      <c r="L22" s="80" t="str">
        <f>IF(TableRaw[[#This Row],[Numero]]="","",TableRaw[[#This Row],[d300]]*TableRaw[[#This Row],[Ratio]])</f>
        <v/>
      </c>
      <c r="M22" s="80" t="str">
        <f>IF(TableRaw[[#This Row],[Numero]]="","",TableRaw[[#This Row],[d600]]*TableRaw[[#This Row],[Ratio]])</f>
        <v/>
      </c>
      <c r="N22" s="80" t="str">
        <f>IF(TableRaw[[#This Row],[Numero]]="","",TableRaw[[#This Row],[d900]]*TableRaw[[#This Row],[Ratio]])</f>
        <v/>
      </c>
      <c r="O22" s="80" t="str">
        <f>IF(TableRaw[[#This Row],[Numero]]="","",TableRaw[[#This Row],[d1200]]*TableRaw[[#This Row],[Ratio]])</f>
        <v/>
      </c>
      <c r="P22" s="80" t="str">
        <f>IF(TableRaw[[#This Row],[Numero]]="","",TableRaw[[#This Row],[d1500]]*TableRaw[[#This Row],[Ratio]])</f>
        <v/>
      </c>
      <c r="Q22" s="80" t="str">
        <f>IF(TableRaw[[#This Row],[Numero]]="","",TableRaw[[#This Row],[d1800]]*TableRaw[[#This Row],[Ratio]])</f>
        <v/>
      </c>
      <c r="R22" s="153" t="str">
        <f>IF(TableRaw[[#This Row],[Numero]]="","",TableRaw[[#This Row],[d2100]]*TableRaw[[#This Row],[Ratio]])</f>
        <v/>
      </c>
      <c r="S22" s="79" t="str">
        <f>IF(ArrayResult[[#This Row],[Colonne4]]="","",IFERROR((POWER(200000,2)/2/(ArrayResult[[#This Row],[Colonne4]]-ArrayResult[[#This Row],[Colonne5]])+POWER(300000,2)/2/(ArrayResult[[#This Row],[Colonne4]]-ArrayResult[[#This Row],[Colonne13]]))/2*0.00001,""))</f>
        <v/>
      </c>
      <c r="T22" s="157"/>
      <c r="U22" s="158"/>
      <c r="V22" s="159"/>
      <c r="W22" s="30"/>
      <c r="AA22" t="str">
        <f>IFERROR(ChargeCorrection/TableRaw[[#This Row],[Force]],"")</f>
        <v/>
      </c>
    </row>
    <row r="23" spans="1:27" x14ac:dyDescent="0.25">
      <c r="A23" s="156"/>
      <c r="B23" s="134" t="str">
        <f>IF(TableRaw[[#This Row],[Numero]]="","",TableRaw[[#This Row],[Numero]])</f>
        <v/>
      </c>
      <c r="C23" s="146" t="str">
        <f>IF(TableRaw[[#This Row],[Chainage]]="","",TableRaw[[#This Row],[Chainage]])</f>
        <v/>
      </c>
      <c r="D23" s="132" t="str">
        <f>IF(TableRaw[[#This Row],[Longitude]]="","",TableRaw[[#This Row],[Longitude]])</f>
        <v/>
      </c>
      <c r="E23" s="147" t="str">
        <f>IF(TableRaw[[#This Row],[Latitude]]="","",TableRaw[[#This Row],[Latitude]])</f>
        <v/>
      </c>
      <c r="F23" s="141" t="str">
        <f>IF(TableRaw[[#This Row],[Numero]]="","",TableRaw[[#This Row],[Force]]*TableRaw[[#This Row],[Ratio]])</f>
        <v/>
      </c>
      <c r="G23" s="79" t="str">
        <f>IF(TableRaw[[#This Row],[Timpact]]="","",TableRaw[[#This Row],[Timpact]])</f>
        <v/>
      </c>
      <c r="H23" s="142" t="str">
        <f>IF(ArrayResult[[#This Row],[Colonne10]]="","",IFERROR(ArrayResult[[#This Row],[Colonne10]]/Calibrations_DPlaque/Calibrations_DPlaque*4/PI()/1000,""))</f>
        <v/>
      </c>
      <c r="I23" s="146" t="str">
        <f>IF(TableRaw[[#This Row],[Numero]]="","",TableRaw[[#This Row],[d_300]]*TableRaw[[#This Row],[Ratio]])</f>
        <v/>
      </c>
      <c r="J23" s="80" t="str">
        <f>IF(TableRaw[[#This Row],[Numero]]="","",TableRaw[[#This Row],[d0]]*TableRaw[[#This Row],[Ratio]])</f>
        <v/>
      </c>
      <c r="K23" s="80" t="str">
        <f>IF(TableRaw[[#This Row],[Numero]]="","",TableRaw[[#This Row],[d200]]*TableRaw[[#This Row],[Ratio]])</f>
        <v/>
      </c>
      <c r="L23" s="80" t="str">
        <f>IF(TableRaw[[#This Row],[Numero]]="","",TableRaw[[#This Row],[d300]]*TableRaw[[#This Row],[Ratio]])</f>
        <v/>
      </c>
      <c r="M23" s="80" t="str">
        <f>IF(TableRaw[[#This Row],[Numero]]="","",TableRaw[[#This Row],[d600]]*TableRaw[[#This Row],[Ratio]])</f>
        <v/>
      </c>
      <c r="N23" s="80" t="str">
        <f>IF(TableRaw[[#This Row],[Numero]]="","",TableRaw[[#This Row],[d900]]*TableRaw[[#This Row],[Ratio]])</f>
        <v/>
      </c>
      <c r="O23" s="80" t="str">
        <f>IF(TableRaw[[#This Row],[Numero]]="","",TableRaw[[#This Row],[d1200]]*TableRaw[[#This Row],[Ratio]])</f>
        <v/>
      </c>
      <c r="P23" s="80" t="str">
        <f>IF(TableRaw[[#This Row],[Numero]]="","",TableRaw[[#This Row],[d1500]]*TableRaw[[#This Row],[Ratio]])</f>
        <v/>
      </c>
      <c r="Q23" s="80" t="str">
        <f>IF(TableRaw[[#This Row],[Numero]]="","",TableRaw[[#This Row],[d1800]]*TableRaw[[#This Row],[Ratio]])</f>
        <v/>
      </c>
      <c r="R23" s="153" t="str">
        <f>IF(TableRaw[[#This Row],[Numero]]="","",TableRaw[[#This Row],[d2100]]*TableRaw[[#This Row],[Ratio]])</f>
        <v/>
      </c>
      <c r="S23" s="79" t="str">
        <f>IF(ArrayResult[[#This Row],[Colonne4]]="","",IFERROR((POWER(200000,2)/2/(ArrayResult[[#This Row],[Colonne4]]-ArrayResult[[#This Row],[Colonne5]])+POWER(300000,2)/2/(ArrayResult[[#This Row],[Colonne4]]-ArrayResult[[#This Row],[Colonne13]]))/2*0.00001,""))</f>
        <v/>
      </c>
      <c r="T23" s="157"/>
      <c r="U23" s="158"/>
      <c r="V23" s="159"/>
      <c r="W23" s="30"/>
      <c r="AA23" t="str">
        <f>IFERROR(ChargeCorrection/TableRaw[[#This Row],[Force]],"")</f>
        <v/>
      </c>
    </row>
    <row r="24" spans="1:27" x14ac:dyDescent="0.25">
      <c r="A24" s="156"/>
      <c r="B24" s="134" t="str">
        <f>IF(TableRaw[[#This Row],[Numero]]="","",TableRaw[[#This Row],[Numero]])</f>
        <v/>
      </c>
      <c r="C24" s="146" t="str">
        <f>IF(TableRaw[[#This Row],[Chainage]]="","",TableRaw[[#This Row],[Chainage]])</f>
        <v/>
      </c>
      <c r="D24" s="132" t="str">
        <f>IF(TableRaw[[#This Row],[Longitude]]="","",TableRaw[[#This Row],[Longitude]])</f>
        <v/>
      </c>
      <c r="E24" s="147" t="str">
        <f>IF(TableRaw[[#This Row],[Latitude]]="","",TableRaw[[#This Row],[Latitude]])</f>
        <v/>
      </c>
      <c r="F24" s="141" t="str">
        <f>IF(TableRaw[[#This Row],[Numero]]="","",TableRaw[[#This Row],[Force]]*TableRaw[[#This Row],[Ratio]])</f>
        <v/>
      </c>
      <c r="G24" s="79" t="str">
        <f>IF(TableRaw[[#This Row],[Timpact]]="","",TableRaw[[#This Row],[Timpact]])</f>
        <v/>
      </c>
      <c r="H24" s="142" t="str">
        <f>IF(ArrayResult[[#This Row],[Colonne10]]="","",IFERROR(ArrayResult[[#This Row],[Colonne10]]/Calibrations_DPlaque/Calibrations_DPlaque*4/PI()/1000,""))</f>
        <v/>
      </c>
      <c r="I24" s="146" t="str">
        <f>IF(TableRaw[[#This Row],[Numero]]="","",TableRaw[[#This Row],[d_300]]*TableRaw[[#This Row],[Ratio]])</f>
        <v/>
      </c>
      <c r="J24" s="80" t="str">
        <f>IF(TableRaw[[#This Row],[Numero]]="","",TableRaw[[#This Row],[d0]]*TableRaw[[#This Row],[Ratio]])</f>
        <v/>
      </c>
      <c r="K24" s="80" t="str">
        <f>IF(TableRaw[[#This Row],[Numero]]="","",TableRaw[[#This Row],[d200]]*TableRaw[[#This Row],[Ratio]])</f>
        <v/>
      </c>
      <c r="L24" s="80" t="str">
        <f>IF(TableRaw[[#This Row],[Numero]]="","",TableRaw[[#This Row],[d300]]*TableRaw[[#This Row],[Ratio]])</f>
        <v/>
      </c>
      <c r="M24" s="80" t="str">
        <f>IF(TableRaw[[#This Row],[Numero]]="","",TableRaw[[#This Row],[d600]]*TableRaw[[#This Row],[Ratio]])</f>
        <v/>
      </c>
      <c r="N24" s="80" t="str">
        <f>IF(TableRaw[[#This Row],[Numero]]="","",TableRaw[[#This Row],[d900]]*TableRaw[[#This Row],[Ratio]])</f>
        <v/>
      </c>
      <c r="O24" s="80" t="str">
        <f>IF(TableRaw[[#This Row],[Numero]]="","",TableRaw[[#This Row],[d1200]]*TableRaw[[#This Row],[Ratio]])</f>
        <v/>
      </c>
      <c r="P24" s="80" t="str">
        <f>IF(TableRaw[[#This Row],[Numero]]="","",TableRaw[[#This Row],[d1500]]*TableRaw[[#This Row],[Ratio]])</f>
        <v/>
      </c>
      <c r="Q24" s="80" t="str">
        <f>IF(TableRaw[[#This Row],[Numero]]="","",TableRaw[[#This Row],[d1800]]*TableRaw[[#This Row],[Ratio]])</f>
        <v/>
      </c>
      <c r="R24" s="153" t="str">
        <f>IF(TableRaw[[#This Row],[Numero]]="","",TableRaw[[#This Row],[d2100]]*TableRaw[[#This Row],[Ratio]])</f>
        <v/>
      </c>
      <c r="S24" s="79" t="str">
        <f>IF(ArrayResult[[#This Row],[Colonne4]]="","",IFERROR((POWER(200000,2)/2/(ArrayResult[[#This Row],[Colonne4]]-ArrayResult[[#This Row],[Colonne5]])+POWER(300000,2)/2/(ArrayResult[[#This Row],[Colonne4]]-ArrayResult[[#This Row],[Colonne13]]))/2*0.00001,""))</f>
        <v/>
      </c>
      <c r="T24" s="157"/>
      <c r="U24" s="158"/>
      <c r="V24" s="159"/>
      <c r="W24" s="30"/>
      <c r="AA24" t="str">
        <f>IFERROR(ChargeCorrection/TableRaw[[#This Row],[Force]],"")</f>
        <v/>
      </c>
    </row>
    <row r="25" spans="1:27" x14ac:dyDescent="0.25">
      <c r="A25" s="156"/>
      <c r="B25" s="134" t="str">
        <f>IF(TableRaw[[#This Row],[Numero]]="","",TableRaw[[#This Row],[Numero]])</f>
        <v/>
      </c>
      <c r="C25" s="148" t="str">
        <f>IF(TableRaw[[#This Row],[Chainage]]="","",TableRaw[[#This Row],[Chainage]])</f>
        <v/>
      </c>
      <c r="D25" s="135" t="str">
        <f>IF(TableRaw[[#This Row],[Longitude]]="","",TableRaw[[#This Row],[Longitude]])</f>
        <v/>
      </c>
      <c r="E25" s="149" t="str">
        <f>IF(TableRaw[[#This Row],[Latitude]]="","",TableRaw[[#This Row],[Latitude]])</f>
        <v/>
      </c>
      <c r="F25" s="141" t="str">
        <f>IF(TableRaw[[#This Row],[Numero]]="","",TableRaw[[#This Row],[Force]]*TableRaw[[#This Row],[Ratio]])</f>
        <v/>
      </c>
      <c r="G25" s="79" t="str">
        <f>IF(TableRaw[[#This Row],[Timpact]]="","",TableRaw[[#This Row],[Timpact]])</f>
        <v/>
      </c>
      <c r="H25" s="142" t="str">
        <f>IF(ArrayResult[[#This Row],[Colonne10]]="","",IFERROR(ArrayResult[[#This Row],[Colonne10]]/Calibrations_DPlaque/Calibrations_DPlaque*4/PI()/1000,""))</f>
        <v/>
      </c>
      <c r="I25" s="146" t="str">
        <f>IF(TableRaw[[#This Row],[Numero]]="","",TableRaw[[#This Row],[d_300]]*TableRaw[[#This Row],[Ratio]])</f>
        <v/>
      </c>
      <c r="J25" s="80" t="str">
        <f>IF(TableRaw[[#This Row],[Numero]]="","",TableRaw[[#This Row],[d0]]*TableRaw[[#This Row],[Ratio]])</f>
        <v/>
      </c>
      <c r="K25" s="80" t="str">
        <f>IF(TableRaw[[#This Row],[Numero]]="","",TableRaw[[#This Row],[d200]]*TableRaw[[#This Row],[Ratio]])</f>
        <v/>
      </c>
      <c r="L25" s="80" t="str">
        <f>IF(TableRaw[[#This Row],[Numero]]="","",TableRaw[[#This Row],[d300]]*TableRaw[[#This Row],[Ratio]])</f>
        <v/>
      </c>
      <c r="M25" s="80" t="str">
        <f>IF(TableRaw[[#This Row],[Numero]]="","",TableRaw[[#This Row],[d600]]*TableRaw[[#This Row],[Ratio]])</f>
        <v/>
      </c>
      <c r="N25" s="80" t="str">
        <f>IF(TableRaw[[#This Row],[Numero]]="","",TableRaw[[#This Row],[d900]]*TableRaw[[#This Row],[Ratio]])</f>
        <v/>
      </c>
      <c r="O25" s="80" t="str">
        <f>IF(TableRaw[[#This Row],[Numero]]="","",TableRaw[[#This Row],[d1200]]*TableRaw[[#This Row],[Ratio]])</f>
        <v/>
      </c>
      <c r="P25" s="80" t="str">
        <f>IF(TableRaw[[#This Row],[Numero]]="","",TableRaw[[#This Row],[d1500]]*TableRaw[[#This Row],[Ratio]])</f>
        <v/>
      </c>
      <c r="Q25" s="80" t="str">
        <f>IF(TableRaw[[#This Row],[Numero]]="","",TableRaw[[#This Row],[d1800]]*TableRaw[[#This Row],[Ratio]])</f>
        <v/>
      </c>
      <c r="R25" s="153" t="str">
        <f>IF(TableRaw[[#This Row],[Numero]]="","",TableRaw[[#This Row],[d2100]]*TableRaw[[#This Row],[Ratio]])</f>
        <v/>
      </c>
      <c r="S25" s="79" t="str">
        <f>IF(ArrayResult[[#This Row],[Colonne4]]="","",IFERROR((POWER(200000,2)/2/(ArrayResult[[#This Row],[Colonne4]]-ArrayResult[[#This Row],[Colonne5]])+POWER(300000,2)/2/(ArrayResult[[#This Row],[Colonne4]]-ArrayResult[[#This Row],[Colonne13]]))/2*0.00001,""))</f>
        <v/>
      </c>
      <c r="T25" s="157"/>
      <c r="U25" s="158"/>
      <c r="V25" s="159"/>
      <c r="W25" s="30"/>
      <c r="AA25" t="str">
        <f>IFERROR(ChargeCorrection/TableRaw[[#This Row],[Force]],"")</f>
        <v/>
      </c>
    </row>
    <row r="26" spans="1:27" x14ac:dyDescent="0.25">
      <c r="A26" s="156"/>
      <c r="B26" s="134" t="str">
        <f>IF(TableRaw[[#This Row],[Numero]]="","",TableRaw[[#This Row],[Numero]])</f>
        <v/>
      </c>
      <c r="C26" s="146" t="str">
        <f>IF(TableRaw[[#This Row],[Chainage]]="","",TableRaw[[#This Row],[Chainage]])</f>
        <v/>
      </c>
      <c r="D26" s="132" t="str">
        <f>IF(TableRaw[[#This Row],[Longitude]]="","",TableRaw[[#This Row],[Longitude]])</f>
        <v/>
      </c>
      <c r="E26" s="147" t="str">
        <f>IF(TableRaw[[#This Row],[Latitude]]="","",TableRaw[[#This Row],[Latitude]])</f>
        <v/>
      </c>
      <c r="F26" s="141" t="str">
        <f>IF(TableRaw[[#This Row],[Numero]]="","",TableRaw[[#This Row],[Force]]*TableRaw[[#This Row],[Ratio]])</f>
        <v/>
      </c>
      <c r="G26" s="79" t="str">
        <f>IF(TableRaw[[#This Row],[Timpact]]="","",TableRaw[[#This Row],[Timpact]])</f>
        <v/>
      </c>
      <c r="H26" s="142" t="str">
        <f>IF(ArrayResult[[#This Row],[Colonne10]]="","",IFERROR(ArrayResult[[#This Row],[Colonne10]]/Calibrations_DPlaque/Calibrations_DPlaque*4/PI()/1000,""))</f>
        <v/>
      </c>
      <c r="I26" s="146" t="str">
        <f>IF(TableRaw[[#This Row],[Numero]]="","",TableRaw[[#This Row],[d_300]]*TableRaw[[#This Row],[Ratio]])</f>
        <v/>
      </c>
      <c r="J26" s="80" t="str">
        <f>IF(TableRaw[[#This Row],[Numero]]="","",TableRaw[[#This Row],[d0]]*TableRaw[[#This Row],[Ratio]])</f>
        <v/>
      </c>
      <c r="K26" s="80" t="str">
        <f>IF(TableRaw[[#This Row],[Numero]]="","",TableRaw[[#This Row],[d200]]*TableRaw[[#This Row],[Ratio]])</f>
        <v/>
      </c>
      <c r="L26" s="80" t="str">
        <f>IF(TableRaw[[#This Row],[Numero]]="","",TableRaw[[#This Row],[d300]]*TableRaw[[#This Row],[Ratio]])</f>
        <v/>
      </c>
      <c r="M26" s="80" t="str">
        <f>IF(TableRaw[[#This Row],[Numero]]="","",TableRaw[[#This Row],[d600]]*TableRaw[[#This Row],[Ratio]])</f>
        <v/>
      </c>
      <c r="N26" s="80" t="str">
        <f>IF(TableRaw[[#This Row],[Numero]]="","",TableRaw[[#This Row],[d900]]*TableRaw[[#This Row],[Ratio]])</f>
        <v/>
      </c>
      <c r="O26" s="80" t="str">
        <f>IF(TableRaw[[#This Row],[Numero]]="","",TableRaw[[#This Row],[d1200]]*TableRaw[[#This Row],[Ratio]])</f>
        <v/>
      </c>
      <c r="P26" s="80" t="str">
        <f>IF(TableRaw[[#This Row],[Numero]]="","",TableRaw[[#This Row],[d1500]]*TableRaw[[#This Row],[Ratio]])</f>
        <v/>
      </c>
      <c r="Q26" s="80" t="str">
        <f>IF(TableRaw[[#This Row],[Numero]]="","",TableRaw[[#This Row],[d1800]]*TableRaw[[#This Row],[Ratio]])</f>
        <v/>
      </c>
      <c r="R26" s="153" t="str">
        <f>IF(TableRaw[[#This Row],[Numero]]="","",TableRaw[[#This Row],[d2100]]*TableRaw[[#This Row],[Ratio]])</f>
        <v/>
      </c>
      <c r="S26" s="79" t="str">
        <f>IF(ArrayResult[[#This Row],[Colonne4]]="","",IFERROR((POWER(200000,2)/2/(ArrayResult[[#This Row],[Colonne4]]-ArrayResult[[#This Row],[Colonne5]])+POWER(300000,2)/2/(ArrayResult[[#This Row],[Colonne4]]-ArrayResult[[#This Row],[Colonne13]]))/2*0.00001,""))</f>
        <v/>
      </c>
      <c r="T26" s="209"/>
      <c r="U26" s="210"/>
      <c r="V26" s="211"/>
      <c r="W26" s="30"/>
      <c r="AA26" t="str">
        <f>IFERROR(ChargeCorrection/TableRaw[[#This Row],[Force]],"")</f>
        <v/>
      </c>
    </row>
    <row r="27" spans="1:27" x14ac:dyDescent="0.25">
      <c r="A27" s="156"/>
      <c r="B27" s="134" t="str">
        <f>IF(TableRaw[[#This Row],[Numero]]="","",TableRaw[[#This Row],[Numero]])</f>
        <v/>
      </c>
      <c r="C27" s="146" t="str">
        <f>IF(TableRaw[[#This Row],[Chainage]]="","",TableRaw[[#This Row],[Chainage]])</f>
        <v/>
      </c>
      <c r="D27" s="132" t="str">
        <f>IF(TableRaw[[#This Row],[Longitude]]="","",TableRaw[[#This Row],[Longitude]])</f>
        <v/>
      </c>
      <c r="E27" s="147" t="str">
        <f>IF(TableRaw[[#This Row],[Latitude]]="","",TableRaw[[#This Row],[Latitude]])</f>
        <v/>
      </c>
      <c r="F27" s="141" t="str">
        <f>IF(TableRaw[[#This Row],[Numero]]="","",TableRaw[[#This Row],[Force]]*TableRaw[[#This Row],[Ratio]])</f>
        <v/>
      </c>
      <c r="G27" s="79" t="str">
        <f>IF(TableRaw[[#This Row],[Timpact]]="","",TableRaw[[#This Row],[Timpact]])</f>
        <v/>
      </c>
      <c r="H27" s="142" t="str">
        <f>IF(ArrayResult[[#This Row],[Colonne10]]="","",IFERROR(ArrayResult[[#This Row],[Colonne10]]/Calibrations_DPlaque/Calibrations_DPlaque*4/PI()/1000,""))</f>
        <v/>
      </c>
      <c r="I27" s="146" t="str">
        <f>IF(TableRaw[[#This Row],[Numero]]="","",TableRaw[[#This Row],[d_300]]*TableRaw[[#This Row],[Ratio]])</f>
        <v/>
      </c>
      <c r="J27" s="80" t="str">
        <f>IF(TableRaw[[#This Row],[Numero]]="","",TableRaw[[#This Row],[d0]]*TableRaw[[#This Row],[Ratio]])</f>
        <v/>
      </c>
      <c r="K27" s="80" t="str">
        <f>IF(TableRaw[[#This Row],[Numero]]="","",TableRaw[[#This Row],[d200]]*TableRaw[[#This Row],[Ratio]])</f>
        <v/>
      </c>
      <c r="L27" s="80" t="str">
        <f>IF(TableRaw[[#This Row],[Numero]]="","",TableRaw[[#This Row],[d300]]*TableRaw[[#This Row],[Ratio]])</f>
        <v/>
      </c>
      <c r="M27" s="80" t="str">
        <f>IF(TableRaw[[#This Row],[Numero]]="","",TableRaw[[#This Row],[d600]]*TableRaw[[#This Row],[Ratio]])</f>
        <v/>
      </c>
      <c r="N27" s="80" t="str">
        <f>IF(TableRaw[[#This Row],[Numero]]="","",TableRaw[[#This Row],[d900]]*TableRaw[[#This Row],[Ratio]])</f>
        <v/>
      </c>
      <c r="O27" s="80" t="str">
        <f>IF(TableRaw[[#This Row],[Numero]]="","",TableRaw[[#This Row],[d1200]]*TableRaw[[#This Row],[Ratio]])</f>
        <v/>
      </c>
      <c r="P27" s="80" t="str">
        <f>IF(TableRaw[[#This Row],[Numero]]="","",TableRaw[[#This Row],[d1500]]*TableRaw[[#This Row],[Ratio]])</f>
        <v/>
      </c>
      <c r="Q27" s="80" t="str">
        <f>IF(TableRaw[[#This Row],[Numero]]="","",TableRaw[[#This Row],[d1800]]*TableRaw[[#This Row],[Ratio]])</f>
        <v/>
      </c>
      <c r="R27" s="153" t="str">
        <f>IF(TableRaw[[#This Row],[Numero]]="","",TableRaw[[#This Row],[d2100]]*TableRaw[[#This Row],[Ratio]])</f>
        <v/>
      </c>
      <c r="S27" s="79" t="str">
        <f>IF(ArrayResult[[#This Row],[Colonne4]]="","",IFERROR((POWER(200000,2)/2/(ArrayResult[[#This Row],[Colonne4]]-ArrayResult[[#This Row],[Colonne5]])+POWER(300000,2)/2/(ArrayResult[[#This Row],[Colonne4]]-ArrayResult[[#This Row],[Colonne13]]))/2*0.00001,""))</f>
        <v/>
      </c>
      <c r="T27" s="209"/>
      <c r="U27" s="210"/>
      <c r="V27" s="211"/>
      <c r="W27" s="30"/>
      <c r="AA27" t="str">
        <f>IFERROR(ChargeCorrection/TableRaw[[#This Row],[Force]],"")</f>
        <v/>
      </c>
    </row>
    <row r="28" spans="1:27" x14ac:dyDescent="0.25">
      <c r="A28" s="156"/>
      <c r="B28" s="134" t="str">
        <f>IF(TableRaw[[#This Row],[Numero]]="","",TableRaw[[#This Row],[Numero]])</f>
        <v/>
      </c>
      <c r="C28" s="146" t="str">
        <f>IF(TableRaw[[#This Row],[Chainage]]="","",TableRaw[[#This Row],[Chainage]])</f>
        <v/>
      </c>
      <c r="D28" s="132" t="str">
        <f>IF(TableRaw[[#This Row],[Longitude]]="","",TableRaw[[#This Row],[Longitude]])</f>
        <v/>
      </c>
      <c r="E28" s="147" t="str">
        <f>IF(TableRaw[[#This Row],[Latitude]]="","",TableRaw[[#This Row],[Latitude]])</f>
        <v/>
      </c>
      <c r="F28" s="141" t="str">
        <f>IF(TableRaw[[#This Row],[Numero]]="","",TableRaw[[#This Row],[Force]]*TableRaw[[#This Row],[Ratio]])</f>
        <v/>
      </c>
      <c r="G28" s="79" t="str">
        <f>IF(TableRaw[[#This Row],[Timpact]]="","",TableRaw[[#This Row],[Timpact]])</f>
        <v/>
      </c>
      <c r="H28" s="142" t="str">
        <f>IF(ArrayResult[[#This Row],[Colonne10]]="","",IFERROR(ArrayResult[[#This Row],[Colonne10]]/Calibrations_DPlaque/Calibrations_DPlaque*4/PI()/1000,""))</f>
        <v/>
      </c>
      <c r="I28" s="146" t="str">
        <f>IF(TableRaw[[#This Row],[Numero]]="","",TableRaw[[#This Row],[d_300]]*TableRaw[[#This Row],[Ratio]])</f>
        <v/>
      </c>
      <c r="J28" s="80" t="str">
        <f>IF(TableRaw[[#This Row],[Numero]]="","",TableRaw[[#This Row],[d0]]*TableRaw[[#This Row],[Ratio]])</f>
        <v/>
      </c>
      <c r="K28" s="80" t="str">
        <f>IF(TableRaw[[#This Row],[Numero]]="","",TableRaw[[#This Row],[d200]]*TableRaw[[#This Row],[Ratio]])</f>
        <v/>
      </c>
      <c r="L28" s="80" t="str">
        <f>IF(TableRaw[[#This Row],[Numero]]="","",TableRaw[[#This Row],[d300]]*TableRaw[[#This Row],[Ratio]])</f>
        <v/>
      </c>
      <c r="M28" s="80" t="str">
        <f>IF(TableRaw[[#This Row],[Numero]]="","",TableRaw[[#This Row],[d600]]*TableRaw[[#This Row],[Ratio]])</f>
        <v/>
      </c>
      <c r="N28" s="80" t="str">
        <f>IF(TableRaw[[#This Row],[Numero]]="","",TableRaw[[#This Row],[d900]]*TableRaw[[#This Row],[Ratio]])</f>
        <v/>
      </c>
      <c r="O28" s="80" t="str">
        <f>IF(TableRaw[[#This Row],[Numero]]="","",TableRaw[[#This Row],[d1200]]*TableRaw[[#This Row],[Ratio]])</f>
        <v/>
      </c>
      <c r="P28" s="80" t="str">
        <f>IF(TableRaw[[#This Row],[Numero]]="","",TableRaw[[#This Row],[d1500]]*TableRaw[[#This Row],[Ratio]])</f>
        <v/>
      </c>
      <c r="Q28" s="80" t="str">
        <f>IF(TableRaw[[#This Row],[Numero]]="","",TableRaw[[#This Row],[d1800]]*TableRaw[[#This Row],[Ratio]])</f>
        <v/>
      </c>
      <c r="R28" s="153" t="str">
        <f>IF(TableRaw[[#This Row],[Numero]]="","",TableRaw[[#This Row],[d2100]]*TableRaw[[#This Row],[Ratio]])</f>
        <v/>
      </c>
      <c r="S28" s="79" t="str">
        <f>IF(ArrayResult[[#This Row],[Colonne4]]="","",IFERROR((POWER(200000,2)/2/(ArrayResult[[#This Row],[Colonne4]]-ArrayResult[[#This Row],[Colonne5]])+POWER(300000,2)/2/(ArrayResult[[#This Row],[Colonne4]]-ArrayResult[[#This Row],[Colonne13]]))/2*0.00001,""))</f>
        <v/>
      </c>
      <c r="T28" s="209"/>
      <c r="U28" s="210"/>
      <c r="V28" s="211"/>
      <c r="W28" s="30"/>
      <c r="AA28" t="str">
        <f>IFERROR(ChargeCorrection/TableRaw[[#This Row],[Force]],"")</f>
        <v/>
      </c>
    </row>
    <row r="29" spans="1:27" x14ac:dyDescent="0.25">
      <c r="A29" s="156"/>
      <c r="B29" s="134" t="str">
        <f>IF(TableRaw[[#This Row],[Numero]]="","",TableRaw[[#This Row],[Numero]])</f>
        <v/>
      </c>
      <c r="C29" s="146" t="str">
        <f>IF(TableRaw[[#This Row],[Chainage]]="","",TableRaw[[#This Row],[Chainage]])</f>
        <v/>
      </c>
      <c r="D29" s="132" t="str">
        <f>IF(TableRaw[[#This Row],[Longitude]]="","",TableRaw[[#This Row],[Longitude]])</f>
        <v/>
      </c>
      <c r="E29" s="147" t="str">
        <f>IF(TableRaw[[#This Row],[Latitude]]="","",TableRaw[[#This Row],[Latitude]])</f>
        <v/>
      </c>
      <c r="F29" s="141" t="str">
        <f>IF(TableRaw[[#This Row],[Numero]]="","",TableRaw[[#This Row],[Force]]*TableRaw[[#This Row],[Ratio]])</f>
        <v/>
      </c>
      <c r="G29" s="79" t="str">
        <f>IF(TableRaw[[#This Row],[Timpact]]="","",TableRaw[[#This Row],[Timpact]])</f>
        <v/>
      </c>
      <c r="H29" s="142" t="str">
        <f>IF(ArrayResult[[#This Row],[Colonne10]]="","",IFERROR(ArrayResult[[#This Row],[Colonne10]]/Calibrations_DPlaque/Calibrations_DPlaque*4/PI()/1000,""))</f>
        <v/>
      </c>
      <c r="I29" s="146" t="str">
        <f>IF(TableRaw[[#This Row],[Numero]]="","",TableRaw[[#This Row],[d_300]]*TableRaw[[#This Row],[Ratio]])</f>
        <v/>
      </c>
      <c r="J29" s="80" t="str">
        <f>IF(TableRaw[[#This Row],[Numero]]="","",TableRaw[[#This Row],[d0]]*TableRaw[[#This Row],[Ratio]])</f>
        <v/>
      </c>
      <c r="K29" s="80" t="str">
        <f>IF(TableRaw[[#This Row],[Numero]]="","",TableRaw[[#This Row],[d200]]*TableRaw[[#This Row],[Ratio]])</f>
        <v/>
      </c>
      <c r="L29" s="80" t="str">
        <f>IF(TableRaw[[#This Row],[Numero]]="","",TableRaw[[#This Row],[d300]]*TableRaw[[#This Row],[Ratio]])</f>
        <v/>
      </c>
      <c r="M29" s="80" t="str">
        <f>IF(TableRaw[[#This Row],[Numero]]="","",TableRaw[[#This Row],[d600]]*TableRaw[[#This Row],[Ratio]])</f>
        <v/>
      </c>
      <c r="N29" s="80" t="str">
        <f>IF(TableRaw[[#This Row],[Numero]]="","",TableRaw[[#This Row],[d900]]*TableRaw[[#This Row],[Ratio]])</f>
        <v/>
      </c>
      <c r="O29" s="80" t="str">
        <f>IF(TableRaw[[#This Row],[Numero]]="","",TableRaw[[#This Row],[d1200]]*TableRaw[[#This Row],[Ratio]])</f>
        <v/>
      </c>
      <c r="P29" s="80" t="str">
        <f>IF(TableRaw[[#This Row],[Numero]]="","",TableRaw[[#This Row],[d1500]]*TableRaw[[#This Row],[Ratio]])</f>
        <v/>
      </c>
      <c r="Q29" s="80" t="str">
        <f>IF(TableRaw[[#This Row],[Numero]]="","",TableRaw[[#This Row],[d1800]]*TableRaw[[#This Row],[Ratio]])</f>
        <v/>
      </c>
      <c r="R29" s="153" t="str">
        <f>IF(TableRaw[[#This Row],[Numero]]="","",TableRaw[[#This Row],[d2100]]*TableRaw[[#This Row],[Ratio]])</f>
        <v/>
      </c>
      <c r="S29" s="79" t="str">
        <f>IF(ArrayResult[[#This Row],[Colonne4]]="","",IFERROR((POWER(200000,2)/2/(ArrayResult[[#This Row],[Colonne4]]-ArrayResult[[#This Row],[Colonne5]])+POWER(300000,2)/2/(ArrayResult[[#This Row],[Colonne4]]-ArrayResult[[#This Row],[Colonne13]]))/2*0.00001,""))</f>
        <v/>
      </c>
      <c r="T29" s="209"/>
      <c r="U29" s="210"/>
      <c r="V29" s="211"/>
      <c r="W29" s="30"/>
      <c r="AA29" t="str">
        <f>IFERROR(ChargeCorrection/TableRaw[[#This Row],[Force]],"")</f>
        <v/>
      </c>
    </row>
    <row r="30" spans="1:27" x14ac:dyDescent="0.25">
      <c r="A30" s="156"/>
      <c r="B30" s="134" t="str">
        <f>IF(TableRaw[[#This Row],[Numero]]="","",TableRaw[[#This Row],[Numero]])</f>
        <v/>
      </c>
      <c r="C30" s="146" t="str">
        <f>IF(TableRaw[[#This Row],[Chainage]]="","",TableRaw[[#This Row],[Chainage]])</f>
        <v/>
      </c>
      <c r="D30" s="132" t="str">
        <f>IF(TableRaw[[#This Row],[Longitude]]="","",TableRaw[[#This Row],[Longitude]])</f>
        <v/>
      </c>
      <c r="E30" s="147" t="str">
        <f>IF(TableRaw[[#This Row],[Latitude]]="","",TableRaw[[#This Row],[Latitude]])</f>
        <v/>
      </c>
      <c r="F30" s="141" t="str">
        <f>IF(TableRaw[[#This Row],[Numero]]="","",TableRaw[[#This Row],[Force]]*TableRaw[[#This Row],[Ratio]])</f>
        <v/>
      </c>
      <c r="G30" s="79" t="str">
        <f>IF(TableRaw[[#This Row],[Timpact]]="","",TableRaw[[#This Row],[Timpact]])</f>
        <v/>
      </c>
      <c r="H30" s="142" t="str">
        <f>IF(ArrayResult[[#This Row],[Colonne10]]="","",IFERROR(ArrayResult[[#This Row],[Colonne10]]/Calibrations_DPlaque/Calibrations_DPlaque*4/PI()/1000,""))</f>
        <v/>
      </c>
      <c r="I30" s="146" t="str">
        <f>IF(TableRaw[[#This Row],[Numero]]="","",TableRaw[[#This Row],[d_300]]*TableRaw[[#This Row],[Ratio]])</f>
        <v/>
      </c>
      <c r="J30" s="80" t="str">
        <f>IF(TableRaw[[#This Row],[Numero]]="","",TableRaw[[#This Row],[d0]]*TableRaw[[#This Row],[Ratio]])</f>
        <v/>
      </c>
      <c r="K30" s="80" t="str">
        <f>IF(TableRaw[[#This Row],[Numero]]="","",TableRaw[[#This Row],[d200]]*TableRaw[[#This Row],[Ratio]])</f>
        <v/>
      </c>
      <c r="L30" s="80" t="str">
        <f>IF(TableRaw[[#This Row],[Numero]]="","",TableRaw[[#This Row],[d300]]*TableRaw[[#This Row],[Ratio]])</f>
        <v/>
      </c>
      <c r="M30" s="80" t="str">
        <f>IF(TableRaw[[#This Row],[Numero]]="","",TableRaw[[#This Row],[d600]]*TableRaw[[#This Row],[Ratio]])</f>
        <v/>
      </c>
      <c r="N30" s="80" t="str">
        <f>IF(TableRaw[[#This Row],[Numero]]="","",TableRaw[[#This Row],[d900]]*TableRaw[[#This Row],[Ratio]])</f>
        <v/>
      </c>
      <c r="O30" s="80" t="str">
        <f>IF(TableRaw[[#This Row],[Numero]]="","",TableRaw[[#This Row],[d1200]]*TableRaw[[#This Row],[Ratio]])</f>
        <v/>
      </c>
      <c r="P30" s="80" t="str">
        <f>IF(TableRaw[[#This Row],[Numero]]="","",TableRaw[[#This Row],[d1500]]*TableRaw[[#This Row],[Ratio]])</f>
        <v/>
      </c>
      <c r="Q30" s="80" t="str">
        <f>IF(TableRaw[[#This Row],[Numero]]="","",TableRaw[[#This Row],[d1800]]*TableRaw[[#This Row],[Ratio]])</f>
        <v/>
      </c>
      <c r="R30" s="153" t="str">
        <f>IF(TableRaw[[#This Row],[Numero]]="","",TableRaw[[#This Row],[d2100]]*TableRaw[[#This Row],[Ratio]])</f>
        <v/>
      </c>
      <c r="S30" s="79" t="str">
        <f>IF(ArrayResult[[#This Row],[Colonne4]]="","",IFERROR((POWER(200000,2)/2/(ArrayResult[[#This Row],[Colonne4]]-ArrayResult[[#This Row],[Colonne5]])+POWER(300000,2)/2/(ArrayResult[[#This Row],[Colonne4]]-ArrayResult[[#This Row],[Colonne13]]))/2*0.00001,""))</f>
        <v/>
      </c>
      <c r="T30" s="209"/>
      <c r="U30" s="210"/>
      <c r="V30" s="211"/>
      <c r="W30" s="30"/>
      <c r="AA30" t="str">
        <f>IFERROR(ChargeCorrection/TableRaw[[#This Row],[Force]],"")</f>
        <v/>
      </c>
    </row>
    <row r="31" spans="1:27" x14ac:dyDescent="0.25">
      <c r="A31" s="156"/>
      <c r="B31" s="134" t="str">
        <f>IF(TableRaw[[#This Row],[Numero]]="","",TableRaw[[#This Row],[Numero]])</f>
        <v/>
      </c>
      <c r="C31" s="146" t="str">
        <f>IF(TableRaw[[#This Row],[Chainage]]="","",TableRaw[[#This Row],[Chainage]])</f>
        <v/>
      </c>
      <c r="D31" s="132" t="str">
        <f>IF(TableRaw[[#This Row],[Longitude]]="","",TableRaw[[#This Row],[Longitude]])</f>
        <v/>
      </c>
      <c r="E31" s="147" t="str">
        <f>IF(TableRaw[[#This Row],[Latitude]]="","",TableRaw[[#This Row],[Latitude]])</f>
        <v/>
      </c>
      <c r="F31" s="141" t="str">
        <f>IF(TableRaw[[#This Row],[Numero]]="","",TableRaw[[#This Row],[Force]]*TableRaw[[#This Row],[Ratio]])</f>
        <v/>
      </c>
      <c r="G31" s="79" t="str">
        <f>IF(TableRaw[[#This Row],[Timpact]]="","",TableRaw[[#This Row],[Timpact]])</f>
        <v/>
      </c>
      <c r="H31" s="142" t="str">
        <f>IF(ArrayResult[[#This Row],[Colonne10]]="","",IFERROR(ArrayResult[[#This Row],[Colonne10]]/Calibrations_DPlaque/Calibrations_DPlaque*4/PI()/1000,""))</f>
        <v/>
      </c>
      <c r="I31" s="146" t="str">
        <f>IF(TableRaw[[#This Row],[Numero]]="","",TableRaw[[#This Row],[d_300]]*TableRaw[[#This Row],[Ratio]])</f>
        <v/>
      </c>
      <c r="J31" s="80" t="str">
        <f>IF(TableRaw[[#This Row],[Numero]]="","",TableRaw[[#This Row],[d0]]*TableRaw[[#This Row],[Ratio]])</f>
        <v/>
      </c>
      <c r="K31" s="80" t="str">
        <f>IF(TableRaw[[#This Row],[Numero]]="","",TableRaw[[#This Row],[d200]]*TableRaw[[#This Row],[Ratio]])</f>
        <v/>
      </c>
      <c r="L31" s="80" t="str">
        <f>IF(TableRaw[[#This Row],[Numero]]="","",TableRaw[[#This Row],[d300]]*TableRaw[[#This Row],[Ratio]])</f>
        <v/>
      </c>
      <c r="M31" s="80" t="str">
        <f>IF(TableRaw[[#This Row],[Numero]]="","",TableRaw[[#This Row],[d600]]*TableRaw[[#This Row],[Ratio]])</f>
        <v/>
      </c>
      <c r="N31" s="80" t="str">
        <f>IF(TableRaw[[#This Row],[Numero]]="","",TableRaw[[#This Row],[d900]]*TableRaw[[#This Row],[Ratio]])</f>
        <v/>
      </c>
      <c r="O31" s="80" t="str">
        <f>IF(TableRaw[[#This Row],[Numero]]="","",TableRaw[[#This Row],[d1200]]*TableRaw[[#This Row],[Ratio]])</f>
        <v/>
      </c>
      <c r="P31" s="80" t="str">
        <f>IF(TableRaw[[#This Row],[Numero]]="","",TableRaw[[#This Row],[d1500]]*TableRaw[[#This Row],[Ratio]])</f>
        <v/>
      </c>
      <c r="Q31" s="80" t="str">
        <f>IF(TableRaw[[#This Row],[Numero]]="","",TableRaw[[#This Row],[d1800]]*TableRaw[[#This Row],[Ratio]])</f>
        <v/>
      </c>
      <c r="R31" s="153" t="str">
        <f>IF(TableRaw[[#This Row],[Numero]]="","",TableRaw[[#This Row],[d2100]]*TableRaw[[#This Row],[Ratio]])</f>
        <v/>
      </c>
      <c r="S31" s="79" t="str">
        <f>IF(ArrayResult[[#This Row],[Colonne4]]="","",IFERROR((POWER(200000,2)/2/(ArrayResult[[#This Row],[Colonne4]]-ArrayResult[[#This Row],[Colonne5]])+POWER(300000,2)/2/(ArrayResult[[#This Row],[Colonne4]]-ArrayResult[[#This Row],[Colonne13]]))/2*0.00001,""))</f>
        <v/>
      </c>
      <c r="T31" s="157"/>
      <c r="U31" s="158"/>
      <c r="V31" s="159"/>
      <c r="W31" s="30"/>
      <c r="AA31" t="str">
        <f>IFERROR(ChargeCorrection/TableRaw[[#This Row],[Force]],"")</f>
        <v/>
      </c>
    </row>
    <row r="32" spans="1:27" x14ac:dyDescent="0.25">
      <c r="A32" s="156"/>
      <c r="B32" s="134" t="str">
        <f>IF(TableRaw[[#This Row],[Numero]]="","",TableRaw[[#This Row],[Numero]])</f>
        <v/>
      </c>
      <c r="C32" s="146" t="str">
        <f>IF(TableRaw[[#This Row],[Chainage]]="","",TableRaw[[#This Row],[Chainage]])</f>
        <v/>
      </c>
      <c r="D32" s="132" t="str">
        <f>IF(TableRaw[[#This Row],[Longitude]]="","",TableRaw[[#This Row],[Longitude]])</f>
        <v/>
      </c>
      <c r="E32" s="147" t="str">
        <f>IF(TableRaw[[#This Row],[Latitude]]="","",TableRaw[[#This Row],[Latitude]])</f>
        <v/>
      </c>
      <c r="F32" s="141" t="str">
        <f>IF(TableRaw[[#This Row],[Numero]]="","",TableRaw[[#This Row],[Force]]*TableRaw[[#This Row],[Ratio]])</f>
        <v/>
      </c>
      <c r="G32" s="79" t="str">
        <f>IF(TableRaw[[#This Row],[Timpact]]="","",TableRaw[[#This Row],[Timpact]])</f>
        <v/>
      </c>
      <c r="H32" s="142" t="str">
        <f>IF(ArrayResult[[#This Row],[Colonne10]]="","",IFERROR(ArrayResult[[#This Row],[Colonne10]]/Calibrations_DPlaque/Calibrations_DPlaque*4/PI()/1000,""))</f>
        <v/>
      </c>
      <c r="I32" s="146" t="str">
        <f>IF(TableRaw[[#This Row],[Numero]]="","",TableRaw[[#This Row],[d_300]]*TableRaw[[#This Row],[Ratio]])</f>
        <v/>
      </c>
      <c r="J32" s="80" t="str">
        <f>IF(TableRaw[[#This Row],[Numero]]="","",TableRaw[[#This Row],[d0]]*TableRaw[[#This Row],[Ratio]])</f>
        <v/>
      </c>
      <c r="K32" s="80" t="str">
        <f>IF(TableRaw[[#This Row],[Numero]]="","",TableRaw[[#This Row],[d200]]*TableRaw[[#This Row],[Ratio]])</f>
        <v/>
      </c>
      <c r="L32" s="80" t="str">
        <f>IF(TableRaw[[#This Row],[Numero]]="","",TableRaw[[#This Row],[d300]]*TableRaw[[#This Row],[Ratio]])</f>
        <v/>
      </c>
      <c r="M32" s="80" t="str">
        <f>IF(TableRaw[[#This Row],[Numero]]="","",TableRaw[[#This Row],[d600]]*TableRaw[[#This Row],[Ratio]])</f>
        <v/>
      </c>
      <c r="N32" s="80" t="str">
        <f>IF(TableRaw[[#This Row],[Numero]]="","",TableRaw[[#This Row],[d900]]*TableRaw[[#This Row],[Ratio]])</f>
        <v/>
      </c>
      <c r="O32" s="80" t="str">
        <f>IF(TableRaw[[#This Row],[Numero]]="","",TableRaw[[#This Row],[d1200]]*TableRaw[[#This Row],[Ratio]])</f>
        <v/>
      </c>
      <c r="P32" s="80" t="str">
        <f>IF(TableRaw[[#This Row],[Numero]]="","",TableRaw[[#This Row],[d1500]]*TableRaw[[#This Row],[Ratio]])</f>
        <v/>
      </c>
      <c r="Q32" s="80" t="str">
        <f>IF(TableRaw[[#This Row],[Numero]]="","",TableRaw[[#This Row],[d1800]]*TableRaw[[#This Row],[Ratio]])</f>
        <v/>
      </c>
      <c r="R32" s="153" t="str">
        <f>IF(TableRaw[[#This Row],[Numero]]="","",TableRaw[[#This Row],[d2100]]*TableRaw[[#This Row],[Ratio]])</f>
        <v/>
      </c>
      <c r="S32" s="79" t="str">
        <f>IF(ArrayResult[[#This Row],[Colonne4]]="","",IFERROR((POWER(200000,2)/2/(ArrayResult[[#This Row],[Colonne4]]-ArrayResult[[#This Row],[Colonne5]])+POWER(300000,2)/2/(ArrayResult[[#This Row],[Colonne4]]-ArrayResult[[#This Row],[Colonne13]]))/2*0.00001,""))</f>
        <v/>
      </c>
      <c r="T32" s="157"/>
      <c r="U32" s="158"/>
      <c r="V32" s="159"/>
      <c r="W32" s="30"/>
      <c r="AA32" t="str">
        <f>IFERROR(ChargeCorrection/TableRaw[[#This Row],[Force]],"")</f>
        <v/>
      </c>
    </row>
    <row r="33" spans="1:27" x14ac:dyDescent="0.25">
      <c r="A33" s="156"/>
      <c r="B33" s="134" t="str">
        <f>IF(TableRaw[[#This Row],[Numero]]="","",TableRaw[[#This Row],[Numero]])</f>
        <v/>
      </c>
      <c r="C33" s="146" t="str">
        <f>IF(TableRaw[[#This Row],[Chainage]]="","",TableRaw[[#This Row],[Chainage]])</f>
        <v/>
      </c>
      <c r="D33" s="132" t="str">
        <f>IF(TableRaw[[#This Row],[Longitude]]="","",TableRaw[[#This Row],[Longitude]])</f>
        <v/>
      </c>
      <c r="E33" s="147" t="str">
        <f>IF(TableRaw[[#This Row],[Latitude]]="","",TableRaw[[#This Row],[Latitude]])</f>
        <v/>
      </c>
      <c r="F33" s="141" t="str">
        <f>IF(TableRaw[[#This Row],[Numero]]="","",TableRaw[[#This Row],[Force]]*TableRaw[[#This Row],[Ratio]])</f>
        <v/>
      </c>
      <c r="G33" s="79" t="str">
        <f>IF(TableRaw[[#This Row],[Timpact]]="","",TableRaw[[#This Row],[Timpact]])</f>
        <v/>
      </c>
      <c r="H33" s="142" t="str">
        <f>IF(ArrayResult[[#This Row],[Colonne10]]="","",IFERROR(ArrayResult[[#This Row],[Colonne10]]/Calibrations_DPlaque/Calibrations_DPlaque*4/PI()/1000,""))</f>
        <v/>
      </c>
      <c r="I33" s="146" t="str">
        <f>IF(TableRaw[[#This Row],[Numero]]="","",TableRaw[[#This Row],[d_300]]*TableRaw[[#This Row],[Ratio]])</f>
        <v/>
      </c>
      <c r="J33" s="80" t="str">
        <f>IF(TableRaw[[#This Row],[Numero]]="","",TableRaw[[#This Row],[d0]]*TableRaw[[#This Row],[Ratio]])</f>
        <v/>
      </c>
      <c r="K33" s="80" t="str">
        <f>IF(TableRaw[[#This Row],[Numero]]="","",TableRaw[[#This Row],[d200]]*TableRaw[[#This Row],[Ratio]])</f>
        <v/>
      </c>
      <c r="L33" s="80" t="str">
        <f>IF(TableRaw[[#This Row],[Numero]]="","",TableRaw[[#This Row],[d300]]*TableRaw[[#This Row],[Ratio]])</f>
        <v/>
      </c>
      <c r="M33" s="80" t="str">
        <f>IF(TableRaw[[#This Row],[Numero]]="","",TableRaw[[#This Row],[d600]]*TableRaw[[#This Row],[Ratio]])</f>
        <v/>
      </c>
      <c r="N33" s="80" t="str">
        <f>IF(TableRaw[[#This Row],[Numero]]="","",TableRaw[[#This Row],[d900]]*TableRaw[[#This Row],[Ratio]])</f>
        <v/>
      </c>
      <c r="O33" s="80" t="str">
        <f>IF(TableRaw[[#This Row],[Numero]]="","",TableRaw[[#This Row],[d1200]]*TableRaw[[#This Row],[Ratio]])</f>
        <v/>
      </c>
      <c r="P33" s="80" t="str">
        <f>IF(TableRaw[[#This Row],[Numero]]="","",TableRaw[[#This Row],[d1500]]*TableRaw[[#This Row],[Ratio]])</f>
        <v/>
      </c>
      <c r="Q33" s="80" t="str">
        <f>IF(TableRaw[[#This Row],[Numero]]="","",TableRaw[[#This Row],[d1800]]*TableRaw[[#This Row],[Ratio]])</f>
        <v/>
      </c>
      <c r="R33" s="153" t="str">
        <f>IF(TableRaw[[#This Row],[Numero]]="","",TableRaw[[#This Row],[d2100]]*TableRaw[[#This Row],[Ratio]])</f>
        <v/>
      </c>
      <c r="S33" s="79" t="str">
        <f>IF(ArrayResult[[#This Row],[Colonne4]]="","",IFERROR((POWER(200000,2)/2/(ArrayResult[[#This Row],[Colonne4]]-ArrayResult[[#This Row],[Colonne5]])+POWER(300000,2)/2/(ArrayResult[[#This Row],[Colonne4]]-ArrayResult[[#This Row],[Colonne13]]))/2*0.00001,""))</f>
        <v/>
      </c>
      <c r="T33" s="209"/>
      <c r="U33" s="210"/>
      <c r="V33" s="211"/>
      <c r="W33" s="30"/>
      <c r="AA33" t="str">
        <f>IFERROR(ChargeCorrection/TableRaw[[#This Row],[Force]],"")</f>
        <v/>
      </c>
    </row>
    <row r="34" spans="1:27" x14ac:dyDescent="0.25">
      <c r="A34" s="156"/>
      <c r="B34" s="134" t="str">
        <f>IF(TableRaw[[#This Row],[Numero]]="","",TableRaw[[#This Row],[Numero]])</f>
        <v/>
      </c>
      <c r="C34" s="146" t="str">
        <f>IF(TableRaw[[#This Row],[Chainage]]="","",TableRaw[[#This Row],[Chainage]])</f>
        <v/>
      </c>
      <c r="D34" s="132" t="str">
        <f>IF(TableRaw[[#This Row],[Longitude]]="","",TableRaw[[#This Row],[Longitude]])</f>
        <v/>
      </c>
      <c r="E34" s="147" t="str">
        <f>IF(TableRaw[[#This Row],[Latitude]]="","",TableRaw[[#This Row],[Latitude]])</f>
        <v/>
      </c>
      <c r="F34" s="141" t="str">
        <f>IF(TableRaw[[#This Row],[Numero]]="","",TableRaw[[#This Row],[Force]]*TableRaw[[#This Row],[Ratio]])</f>
        <v/>
      </c>
      <c r="G34" s="79" t="str">
        <f>IF(TableRaw[[#This Row],[Timpact]]="","",TableRaw[[#This Row],[Timpact]])</f>
        <v/>
      </c>
      <c r="H34" s="142" t="str">
        <f>IF(ArrayResult[[#This Row],[Colonne10]]="","",IFERROR(ArrayResult[[#This Row],[Colonne10]]/Calibrations_DPlaque/Calibrations_DPlaque*4/PI()/1000,""))</f>
        <v/>
      </c>
      <c r="I34" s="146" t="str">
        <f>IF(TableRaw[[#This Row],[Numero]]="","",TableRaw[[#This Row],[d_300]]*TableRaw[[#This Row],[Ratio]])</f>
        <v/>
      </c>
      <c r="J34" s="80" t="str">
        <f>IF(TableRaw[[#This Row],[Numero]]="","",TableRaw[[#This Row],[d0]]*TableRaw[[#This Row],[Ratio]])</f>
        <v/>
      </c>
      <c r="K34" s="80" t="str">
        <f>IF(TableRaw[[#This Row],[Numero]]="","",TableRaw[[#This Row],[d200]]*TableRaw[[#This Row],[Ratio]])</f>
        <v/>
      </c>
      <c r="L34" s="80" t="str">
        <f>IF(TableRaw[[#This Row],[Numero]]="","",TableRaw[[#This Row],[d300]]*TableRaw[[#This Row],[Ratio]])</f>
        <v/>
      </c>
      <c r="M34" s="80" t="str">
        <f>IF(TableRaw[[#This Row],[Numero]]="","",TableRaw[[#This Row],[d600]]*TableRaw[[#This Row],[Ratio]])</f>
        <v/>
      </c>
      <c r="N34" s="80" t="str">
        <f>IF(TableRaw[[#This Row],[Numero]]="","",TableRaw[[#This Row],[d900]]*TableRaw[[#This Row],[Ratio]])</f>
        <v/>
      </c>
      <c r="O34" s="80" t="str">
        <f>IF(TableRaw[[#This Row],[Numero]]="","",TableRaw[[#This Row],[d1200]]*TableRaw[[#This Row],[Ratio]])</f>
        <v/>
      </c>
      <c r="P34" s="80" t="str">
        <f>IF(TableRaw[[#This Row],[Numero]]="","",TableRaw[[#This Row],[d1500]]*TableRaw[[#This Row],[Ratio]])</f>
        <v/>
      </c>
      <c r="Q34" s="80" t="str">
        <f>IF(TableRaw[[#This Row],[Numero]]="","",TableRaw[[#This Row],[d1800]]*TableRaw[[#This Row],[Ratio]])</f>
        <v/>
      </c>
      <c r="R34" s="153" t="str">
        <f>IF(TableRaw[[#This Row],[Numero]]="","",TableRaw[[#This Row],[d2100]]*TableRaw[[#This Row],[Ratio]])</f>
        <v/>
      </c>
      <c r="S34" s="79" t="str">
        <f>IF(ArrayResult[[#This Row],[Colonne4]]="","",IFERROR((POWER(200000,2)/2/(ArrayResult[[#This Row],[Colonne4]]-ArrayResult[[#This Row],[Colonne5]])+POWER(300000,2)/2/(ArrayResult[[#This Row],[Colonne4]]-ArrayResult[[#This Row],[Colonne13]]))/2*0.00001,""))</f>
        <v/>
      </c>
      <c r="T34" s="209"/>
      <c r="U34" s="210"/>
      <c r="V34" s="211"/>
      <c r="W34" s="30"/>
      <c r="AA34" t="str">
        <f>IFERROR(ChargeCorrection/TableRaw[[#This Row],[Force]],"")</f>
        <v/>
      </c>
    </row>
    <row r="35" spans="1:27" x14ac:dyDescent="0.25">
      <c r="A35" s="156"/>
      <c r="B35" s="134" t="str">
        <f>IF(TableRaw[[#This Row],[Numero]]="","",TableRaw[[#This Row],[Numero]])</f>
        <v/>
      </c>
      <c r="C35" s="146" t="str">
        <f>IF(TableRaw[[#This Row],[Chainage]]="","",TableRaw[[#This Row],[Chainage]])</f>
        <v/>
      </c>
      <c r="D35" s="132" t="str">
        <f>IF(TableRaw[[#This Row],[Longitude]]="","",TableRaw[[#This Row],[Longitude]])</f>
        <v/>
      </c>
      <c r="E35" s="147" t="str">
        <f>IF(TableRaw[[#This Row],[Latitude]]="","",TableRaw[[#This Row],[Latitude]])</f>
        <v/>
      </c>
      <c r="F35" s="141" t="str">
        <f>IF(TableRaw[[#This Row],[Numero]]="","",TableRaw[[#This Row],[Force]]*TableRaw[[#This Row],[Ratio]])</f>
        <v/>
      </c>
      <c r="G35" s="79" t="str">
        <f>IF(TableRaw[[#This Row],[Timpact]]="","",TableRaw[[#This Row],[Timpact]])</f>
        <v/>
      </c>
      <c r="H35" s="142" t="str">
        <f>IF(ArrayResult[[#This Row],[Colonne10]]="","",IFERROR(ArrayResult[[#This Row],[Colonne10]]/Calibrations_DPlaque/Calibrations_DPlaque*4/PI()/1000,""))</f>
        <v/>
      </c>
      <c r="I35" s="146" t="str">
        <f>IF(TableRaw[[#This Row],[Numero]]="","",TableRaw[[#This Row],[d_300]]*TableRaw[[#This Row],[Ratio]])</f>
        <v/>
      </c>
      <c r="J35" s="80" t="str">
        <f>IF(TableRaw[[#This Row],[Numero]]="","",TableRaw[[#This Row],[d0]]*TableRaw[[#This Row],[Ratio]])</f>
        <v/>
      </c>
      <c r="K35" s="80" t="str">
        <f>IF(TableRaw[[#This Row],[Numero]]="","",TableRaw[[#This Row],[d200]]*TableRaw[[#This Row],[Ratio]])</f>
        <v/>
      </c>
      <c r="L35" s="80" t="str">
        <f>IF(TableRaw[[#This Row],[Numero]]="","",TableRaw[[#This Row],[d300]]*TableRaw[[#This Row],[Ratio]])</f>
        <v/>
      </c>
      <c r="M35" s="80" t="str">
        <f>IF(TableRaw[[#This Row],[Numero]]="","",TableRaw[[#This Row],[d600]]*TableRaw[[#This Row],[Ratio]])</f>
        <v/>
      </c>
      <c r="N35" s="80" t="str">
        <f>IF(TableRaw[[#This Row],[Numero]]="","",TableRaw[[#This Row],[d900]]*TableRaw[[#This Row],[Ratio]])</f>
        <v/>
      </c>
      <c r="O35" s="80" t="str">
        <f>IF(TableRaw[[#This Row],[Numero]]="","",TableRaw[[#This Row],[d1200]]*TableRaw[[#This Row],[Ratio]])</f>
        <v/>
      </c>
      <c r="P35" s="80" t="str">
        <f>IF(TableRaw[[#This Row],[Numero]]="","",TableRaw[[#This Row],[d1500]]*TableRaw[[#This Row],[Ratio]])</f>
        <v/>
      </c>
      <c r="Q35" s="80" t="str">
        <f>IF(TableRaw[[#This Row],[Numero]]="","",TableRaw[[#This Row],[d1800]]*TableRaw[[#This Row],[Ratio]])</f>
        <v/>
      </c>
      <c r="R35" s="153" t="str">
        <f>IF(TableRaw[[#This Row],[Numero]]="","",TableRaw[[#This Row],[d2100]]*TableRaw[[#This Row],[Ratio]])</f>
        <v/>
      </c>
      <c r="S35" s="79" t="str">
        <f>IF(ArrayResult[[#This Row],[Colonne4]]="","",IFERROR((POWER(200000,2)/2/(ArrayResult[[#This Row],[Colonne4]]-ArrayResult[[#This Row],[Colonne5]])+POWER(300000,2)/2/(ArrayResult[[#This Row],[Colonne4]]-ArrayResult[[#This Row],[Colonne13]]))/2*0.00001,""))</f>
        <v/>
      </c>
      <c r="T35" s="209"/>
      <c r="U35" s="210"/>
      <c r="V35" s="211"/>
      <c r="W35" s="30"/>
      <c r="AA35" t="str">
        <f>IFERROR(ChargeCorrection/TableRaw[[#This Row],[Force]],"")</f>
        <v/>
      </c>
    </row>
    <row r="36" spans="1:27" x14ac:dyDescent="0.25">
      <c r="A36" s="30"/>
      <c r="B36" s="117"/>
      <c r="C36" s="117"/>
      <c r="D36" s="117"/>
      <c r="E36" s="117"/>
      <c r="F36" s="117"/>
      <c r="G36" s="117"/>
      <c r="H36" s="117"/>
      <c r="I36" s="118"/>
      <c r="J36" s="118"/>
      <c r="K36" s="119"/>
      <c r="L36" s="119"/>
      <c r="M36" s="119"/>
      <c r="N36" s="119"/>
      <c r="O36" s="119"/>
      <c r="P36" s="119"/>
      <c r="Q36" s="119"/>
      <c r="R36" s="119"/>
      <c r="S36" s="119"/>
      <c r="T36" s="81"/>
      <c r="U36" s="81"/>
      <c r="V36" s="30"/>
      <c r="W36" s="30"/>
    </row>
    <row r="37" spans="1:27" ht="11.1" customHeight="1" x14ac:dyDescent="0.25">
      <c r="A37" s="30"/>
      <c r="B37" s="120"/>
      <c r="C37" s="120"/>
      <c r="D37" s="165" t="s">
        <v>56</v>
      </c>
      <c r="E37" s="165"/>
      <c r="F37" s="165"/>
      <c r="G37" s="165"/>
      <c r="H37" s="165"/>
      <c r="I37" s="165"/>
      <c r="J37" s="165"/>
      <c r="K37" s="165"/>
      <c r="L37" s="165"/>
      <c r="M37" s="165"/>
      <c r="N37" s="165"/>
      <c r="O37" s="165"/>
      <c r="P37" s="165"/>
      <c r="Q37" s="165"/>
      <c r="R37" s="165"/>
      <c r="S37" s="165"/>
      <c r="T37" s="165"/>
      <c r="U37" s="160" t="s">
        <v>18</v>
      </c>
      <c r="V37" s="160"/>
      <c r="W37" s="30"/>
    </row>
    <row r="38" spans="1:27" ht="11.1" customHeight="1" x14ac:dyDescent="0.25">
      <c r="A38" s="30"/>
      <c r="B38" s="30"/>
      <c r="C38" s="30"/>
      <c r="D38" s="166" t="s">
        <v>57</v>
      </c>
      <c r="E38" s="166"/>
      <c r="F38" s="166"/>
      <c r="G38" s="166"/>
      <c r="H38" s="166"/>
      <c r="I38" s="166"/>
      <c r="J38" s="166"/>
      <c r="K38" s="166"/>
      <c r="L38" s="166"/>
      <c r="M38" s="166"/>
      <c r="N38" s="166"/>
      <c r="O38" s="166"/>
      <c r="P38" s="166"/>
      <c r="Q38" s="166"/>
      <c r="R38" s="166"/>
      <c r="S38" s="166"/>
      <c r="T38" s="166"/>
      <c r="U38" s="161"/>
      <c r="V38" s="161"/>
      <c r="W38" s="30"/>
    </row>
  </sheetData>
  <mergeCells count="35">
    <mergeCell ref="I9:M9"/>
    <mergeCell ref="J2:S2"/>
    <mergeCell ref="J3:S3"/>
    <mergeCell ref="A5:K5"/>
    <mergeCell ref="B6:V6"/>
    <mergeCell ref="B7:D7"/>
    <mergeCell ref="B11:V11"/>
    <mergeCell ref="A12:A13"/>
    <mergeCell ref="B12:B13"/>
    <mergeCell ref="C12:E12"/>
    <mergeCell ref="F12:H12"/>
    <mergeCell ref="I12:R12"/>
    <mergeCell ref="S12:S13"/>
    <mergeCell ref="T12:V13"/>
    <mergeCell ref="T15:V15"/>
    <mergeCell ref="T16:V16"/>
    <mergeCell ref="T17:V17"/>
    <mergeCell ref="T18:V18"/>
    <mergeCell ref="T26:V26"/>
    <mergeCell ref="T35:V35"/>
    <mergeCell ref="D37:T37"/>
    <mergeCell ref="U37:V38"/>
    <mergeCell ref="D38:T38"/>
    <mergeCell ref="R7:V7"/>
    <mergeCell ref="R8:V8"/>
    <mergeCell ref="R9:V9"/>
    <mergeCell ref="I7:M7"/>
    <mergeCell ref="I8:M8"/>
    <mergeCell ref="T27:V27"/>
    <mergeCell ref="T28:V28"/>
    <mergeCell ref="T29:V29"/>
    <mergeCell ref="T30:V30"/>
    <mergeCell ref="T33:V33"/>
    <mergeCell ref="T34:V34"/>
    <mergeCell ref="T14:V14"/>
  </mergeCells>
  <printOptions horizontalCentered="1"/>
  <pageMargins left="0.23622047244094491" right="0.23622047244094491" top="0.19685039370078741" bottom="0.19685039370078741" header="0" footer="0"/>
  <pageSetup paperSize="9" scale="39" orientation="landscape" r:id="rId1"/>
  <drawing r:id="rId2"/>
  <tableParts count="2"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Feuil4">
    <pageSetUpPr fitToPage="1"/>
  </sheetPr>
  <dimension ref="A1:Q57"/>
  <sheetViews>
    <sheetView showWhiteSpace="0" view="pageLayout" zoomScaleNormal="55" zoomScaleSheetLayoutView="100" workbookViewId="0">
      <selection activeCell="E2" sqref="E2"/>
    </sheetView>
  </sheetViews>
  <sheetFormatPr baseColWidth="10" defaultColWidth="11.42578125" defaultRowHeight="14.25" x14ac:dyDescent="0.2"/>
  <cols>
    <col min="1" max="1" width="2.85546875" style="5" customWidth="1"/>
    <col min="2" max="16" width="6.140625" style="5" customWidth="1"/>
    <col min="17" max="17" width="2.7109375" style="5" customWidth="1"/>
    <col min="18" max="18" width="6" style="5" customWidth="1"/>
    <col min="19" max="16384" width="11.42578125" style="5"/>
  </cols>
  <sheetData>
    <row r="1" spans="1:17" ht="7.5" customHeight="1" x14ac:dyDescent="0.2">
      <c r="A1" s="1"/>
      <c r="B1" s="1"/>
      <c r="C1" s="1"/>
      <c r="D1" s="1"/>
      <c r="E1" s="1"/>
      <c r="F1" s="1"/>
      <c r="G1" s="1"/>
      <c r="H1" s="1"/>
      <c r="I1" s="1"/>
      <c r="J1" s="26"/>
      <c r="K1" s="1"/>
      <c r="L1" s="1"/>
      <c r="M1" s="1"/>
      <c r="N1" s="1"/>
      <c r="O1" s="1"/>
      <c r="P1" s="1"/>
      <c r="Q1" s="1"/>
    </row>
    <row r="2" spans="1:17" ht="25.5" x14ac:dyDescent="0.35">
      <c r="A2" s="1"/>
      <c r="B2" s="1"/>
      <c r="C2" s="1"/>
      <c r="D2" s="1"/>
      <c r="E2" s="6"/>
      <c r="F2" s="6"/>
      <c r="G2" s="225" t="s">
        <v>10</v>
      </c>
      <c r="H2" s="225"/>
      <c r="I2" s="225"/>
      <c r="J2" s="225"/>
      <c r="K2" s="225"/>
      <c r="L2" s="225"/>
      <c r="M2" s="225"/>
      <c r="N2" s="225"/>
      <c r="O2" s="225"/>
      <c r="P2" s="1"/>
      <c r="Q2" s="1"/>
    </row>
    <row r="3" spans="1:17" ht="15.75" customHeight="1" x14ac:dyDescent="0.2">
      <c r="A3" s="1"/>
      <c r="B3" s="1"/>
      <c r="C3" s="1"/>
      <c r="D3" s="1"/>
      <c r="E3" s="7"/>
      <c r="F3" s="7"/>
      <c r="G3" s="226" t="s">
        <v>53</v>
      </c>
      <c r="H3" s="226"/>
      <c r="I3" s="226"/>
      <c r="J3" s="226"/>
      <c r="K3" s="226"/>
      <c r="L3" s="226"/>
      <c r="M3" s="226"/>
      <c r="N3" s="226"/>
      <c r="O3" s="226"/>
      <c r="P3" s="1"/>
      <c r="Q3" s="1"/>
    </row>
    <row r="4" spans="1:17" ht="15" x14ac:dyDescent="0.2">
      <c r="A4" s="1"/>
      <c r="B4" s="1"/>
      <c r="C4" s="1"/>
      <c r="D4" s="1"/>
      <c r="E4" s="7"/>
      <c r="F4" s="7"/>
      <c r="G4" s="7"/>
      <c r="H4" s="7"/>
      <c r="I4" s="7"/>
      <c r="J4" s="7"/>
      <c r="K4" s="1"/>
      <c r="L4" s="1"/>
      <c r="M4" s="1"/>
      <c r="N4" s="1"/>
      <c r="O4" s="1"/>
      <c r="P4" s="1"/>
      <c r="Q4" s="1"/>
    </row>
    <row r="5" spans="1:17" ht="8.1" customHeight="1" x14ac:dyDescent="0.2">
      <c r="A5" s="244"/>
      <c r="B5" s="244"/>
      <c r="C5" s="244"/>
      <c r="D5" s="244"/>
      <c r="E5" s="244"/>
      <c r="F5" s="244"/>
      <c r="G5" s="1"/>
      <c r="H5" s="1"/>
      <c r="I5" s="8"/>
      <c r="J5" s="8"/>
      <c r="K5" s="1"/>
      <c r="L5" s="1"/>
      <c r="M5" s="1"/>
      <c r="N5" s="1"/>
      <c r="O5" s="1"/>
      <c r="P5" s="1"/>
      <c r="Q5" s="1"/>
    </row>
    <row r="6" spans="1:17" ht="18" customHeight="1" x14ac:dyDescent="0.2">
      <c r="A6" s="9"/>
      <c r="B6" s="162" t="s">
        <v>48</v>
      </c>
      <c r="C6" s="163"/>
      <c r="D6" s="163"/>
      <c r="E6" s="163"/>
      <c r="F6" s="163"/>
      <c r="G6" s="163"/>
      <c r="H6" s="163"/>
      <c r="I6" s="163"/>
      <c r="J6" s="163"/>
      <c r="K6" s="163"/>
      <c r="L6" s="163"/>
      <c r="M6" s="163"/>
      <c r="N6" s="163"/>
      <c r="O6" s="163"/>
      <c r="P6" s="164"/>
      <c r="Q6" s="1"/>
    </row>
    <row r="7" spans="1:17" x14ac:dyDescent="0.2">
      <c r="A7" s="16"/>
      <c r="B7" s="10"/>
      <c r="C7" s="11"/>
      <c r="D7" s="12" t="s">
        <v>11</v>
      </c>
      <c r="E7" s="238" t="e">
        <f>IF(Dossiers_Nom="","",Dossiers_Nom)</f>
        <v>#NAME?</v>
      </c>
      <c r="F7" s="238"/>
      <c r="G7" s="238"/>
      <c r="H7" s="238"/>
      <c r="I7" s="17"/>
      <c r="J7" s="17"/>
      <c r="K7" s="17"/>
      <c r="L7" s="12" t="s">
        <v>55</v>
      </c>
      <c r="M7" s="240">
        <f ca="1">TODAY()</f>
        <v>44243</v>
      </c>
      <c r="N7" s="241"/>
      <c r="O7" s="241"/>
      <c r="P7" s="242"/>
      <c r="Q7" s="1"/>
    </row>
    <row r="8" spans="1:17" x14ac:dyDescent="0.2">
      <c r="A8" s="16"/>
      <c r="B8" s="18"/>
      <c r="C8" s="19"/>
      <c r="D8" s="13" t="s">
        <v>12</v>
      </c>
      <c r="E8" s="239" t="e">
        <f>IF(Dossiers_Localite="","",Dossiers_Localite)</f>
        <v>#NAME?</v>
      </c>
      <c r="F8" s="239"/>
      <c r="G8" s="239"/>
      <c r="H8" s="239"/>
      <c r="I8" s="20"/>
      <c r="J8" s="20"/>
      <c r="K8" s="21"/>
      <c r="L8" s="13" t="s">
        <v>13</v>
      </c>
      <c r="M8" s="239" t="e">
        <f>IF(Dossiers_Dossier="","", Dossiers_Dossier)</f>
        <v>#NAME?</v>
      </c>
      <c r="N8" s="239"/>
      <c r="O8" s="239"/>
      <c r="P8" s="243"/>
      <c r="Q8" s="1"/>
    </row>
    <row r="9" spans="1:17" x14ac:dyDescent="0.2">
      <c r="A9" s="16"/>
      <c r="B9" s="22"/>
      <c r="C9" s="23"/>
      <c r="D9" s="14" t="s">
        <v>54</v>
      </c>
      <c r="E9" s="235" t="e">
        <f>IF(Dossiers_Client="","",Dossiers_Client)</f>
        <v>#NAME?</v>
      </c>
      <c r="F9" s="235"/>
      <c r="G9" s="235"/>
      <c r="H9" s="235"/>
      <c r="I9" s="24"/>
      <c r="J9" s="24"/>
      <c r="K9" s="24"/>
      <c r="L9" s="14" t="s">
        <v>14</v>
      </c>
      <c r="M9" s="236" t="e">
        <f>IF(Dossiers_ContactClient="","",Dossiers_ContactClient)</f>
        <v>#NAME?</v>
      </c>
      <c r="N9" s="236"/>
      <c r="O9" s="236"/>
      <c r="P9" s="237"/>
      <c r="Q9" s="1"/>
    </row>
    <row r="10" spans="1:17" x14ac:dyDescent="0.2">
      <c r="A10" s="3"/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1"/>
      <c r="Q10" s="1"/>
    </row>
    <row r="11" spans="1:17" ht="15.75" x14ac:dyDescent="0.2">
      <c r="A11" s="4"/>
      <c r="B11" s="162" t="s">
        <v>17</v>
      </c>
      <c r="C11" s="163"/>
      <c r="D11" s="163"/>
      <c r="E11" s="163"/>
      <c r="F11" s="163"/>
      <c r="G11" s="163"/>
      <c r="H11" s="163"/>
      <c r="I11" s="163"/>
      <c r="J11" s="163"/>
      <c r="K11" s="163"/>
      <c r="L11" s="163"/>
      <c r="M11" s="163"/>
      <c r="N11" s="163"/>
      <c r="O11" s="163"/>
      <c r="P11" s="164"/>
      <c r="Q11" s="1"/>
    </row>
    <row r="12" spans="1:17" ht="9" customHeight="1" x14ac:dyDescent="0.2">
      <c r="A12" s="4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"/>
    </row>
    <row r="13" spans="1:17" x14ac:dyDescent="0.2">
      <c r="A13" s="3"/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1"/>
      <c r="Q13" s="1"/>
    </row>
    <row r="14" spans="1:17" x14ac:dyDescent="0.2">
      <c r="A14" s="3"/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1"/>
      <c r="Q14" s="1"/>
    </row>
    <row r="15" spans="1:17" x14ac:dyDescent="0.2">
      <c r="A15" s="3"/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1"/>
      <c r="Q15" s="1"/>
    </row>
    <row r="16" spans="1:17" x14ac:dyDescent="0.2">
      <c r="A16" s="3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1"/>
      <c r="Q16" s="1"/>
    </row>
    <row r="17" spans="1:17" x14ac:dyDescent="0.2">
      <c r="A17" s="3"/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1"/>
      <c r="Q17" s="1"/>
    </row>
    <row r="18" spans="1:17" x14ac:dyDescent="0.2">
      <c r="A18" s="3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1"/>
      <c r="Q18" s="1"/>
    </row>
    <row r="19" spans="1:17" x14ac:dyDescent="0.2">
      <c r="A19" s="3"/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1"/>
      <c r="Q19" s="1"/>
    </row>
    <row r="20" spans="1:17" x14ac:dyDescent="0.2">
      <c r="A20" s="3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1"/>
      <c r="Q20" s="1"/>
    </row>
    <row r="21" spans="1:17" x14ac:dyDescent="0.2">
      <c r="A21" s="3"/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1"/>
      <c r="Q21" s="1"/>
    </row>
    <row r="22" spans="1:17" x14ac:dyDescent="0.2">
      <c r="A22" s="3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1"/>
      <c r="Q22" s="1"/>
    </row>
    <row r="23" spans="1:17" x14ac:dyDescent="0.2">
      <c r="A23" s="3"/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1"/>
      <c r="Q23" s="1"/>
    </row>
    <row r="24" spans="1:17" x14ac:dyDescent="0.2">
      <c r="A24" s="3"/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1"/>
      <c r="Q24" s="1"/>
    </row>
    <row r="25" spans="1:17" x14ac:dyDescent="0.2">
      <c r="A25" s="3"/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1"/>
      <c r="Q25" s="1"/>
    </row>
    <row r="26" spans="1:17" x14ac:dyDescent="0.2">
      <c r="A26" s="3"/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1"/>
      <c r="Q26" s="1"/>
    </row>
    <row r="27" spans="1:17" x14ac:dyDescent="0.2">
      <c r="A27" s="3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1"/>
      <c r="Q27" s="1"/>
    </row>
    <row r="28" spans="1:17" x14ac:dyDescent="0.2">
      <c r="A28" s="3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1"/>
      <c r="Q28" s="1"/>
    </row>
    <row r="29" spans="1:17" x14ac:dyDescent="0.2">
      <c r="A29" s="3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1"/>
      <c r="Q29" s="1"/>
    </row>
    <row r="30" spans="1:17" x14ac:dyDescent="0.2">
      <c r="A30" s="3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1"/>
      <c r="Q30" s="1"/>
    </row>
    <row r="31" spans="1:17" x14ac:dyDescent="0.2">
      <c r="A31" s="3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1"/>
      <c r="Q31" s="1"/>
    </row>
    <row r="32" spans="1:17" x14ac:dyDescent="0.2">
      <c r="A32" s="3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1"/>
      <c r="Q32" s="1"/>
    </row>
    <row r="33" spans="1:17" x14ac:dyDescent="0.2">
      <c r="A33" s="3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1"/>
      <c r="Q33" s="1"/>
    </row>
    <row r="34" spans="1:17" x14ac:dyDescent="0.2">
      <c r="A34" s="3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1"/>
      <c r="Q34" s="1"/>
    </row>
    <row r="35" spans="1:17" x14ac:dyDescent="0.2">
      <c r="A35" s="3"/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1"/>
      <c r="Q35" s="1"/>
    </row>
    <row r="36" spans="1:17" x14ac:dyDescent="0.2">
      <c r="A36" s="3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1"/>
      <c r="Q36" s="1"/>
    </row>
    <row r="37" spans="1:17" x14ac:dyDescent="0.2">
      <c r="A37" s="3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1"/>
      <c r="Q37" s="1"/>
    </row>
    <row r="38" spans="1:17" x14ac:dyDescent="0.2">
      <c r="A38" s="3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1"/>
      <c r="Q38" s="1"/>
    </row>
    <row r="39" spans="1:17" x14ac:dyDescent="0.2">
      <c r="A39" s="3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1"/>
      <c r="Q39" s="1"/>
    </row>
    <row r="40" spans="1:17" x14ac:dyDescent="0.2">
      <c r="A40" s="3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1"/>
      <c r="Q40" s="1"/>
    </row>
    <row r="41" spans="1:17" x14ac:dyDescent="0.2">
      <c r="A41" s="3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1"/>
      <c r="Q41" s="1"/>
    </row>
    <row r="42" spans="1:17" x14ac:dyDescent="0.2">
      <c r="A42" s="1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1"/>
      <c r="Q42" s="1"/>
    </row>
    <row r="43" spans="1:17" x14ac:dyDescent="0.2">
      <c r="A43" s="1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1"/>
      <c r="Q43" s="1"/>
    </row>
    <row r="44" spans="1:17" x14ac:dyDescent="0.2">
      <c r="A44" s="15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1"/>
      <c r="Q44" s="1"/>
    </row>
    <row r="45" spans="1:17" x14ac:dyDescent="0.2">
      <c r="A45" s="1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1"/>
      <c r="Q45" s="1"/>
    </row>
    <row r="46" spans="1:17" x14ac:dyDescent="0.2">
      <c r="A46" s="15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1"/>
      <c r="Q46" s="1"/>
    </row>
    <row r="47" spans="1:17" x14ac:dyDescent="0.2">
      <c r="A47" s="1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1"/>
      <c r="Q47" s="1"/>
    </row>
    <row r="48" spans="1:17" x14ac:dyDescent="0.2">
      <c r="A48" s="1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1"/>
      <c r="Q48" s="1"/>
    </row>
    <row r="49" spans="1:17" x14ac:dyDescent="0.2">
      <c r="A49" s="15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1"/>
      <c r="Q49" s="1"/>
    </row>
    <row r="50" spans="1:17" x14ac:dyDescent="0.2">
      <c r="A50" s="1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1"/>
      <c r="Q50" s="1"/>
    </row>
    <row r="51" spans="1:17" x14ac:dyDescent="0.2">
      <c r="A51" s="2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spans="1:17" x14ac:dyDescent="0.2">
      <c r="A52" s="2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spans="1:17" ht="15" customHeight="1" x14ac:dyDescent="0.2">
      <c r="A53" s="27"/>
      <c r="B53" s="233"/>
      <c r="C53" s="233"/>
      <c r="D53" s="233"/>
      <c r="E53" s="233"/>
      <c r="F53" s="233"/>
      <c r="G53" s="233"/>
      <c r="H53" s="233"/>
      <c r="I53" s="233"/>
      <c r="J53" s="233"/>
      <c r="K53" s="233"/>
      <c r="L53" s="233"/>
      <c r="M53" s="233"/>
      <c r="N53" s="233"/>
      <c r="O53" s="233"/>
      <c r="P53" s="233"/>
      <c r="Q53" s="1"/>
    </row>
    <row r="54" spans="1:17" ht="15" customHeight="1" x14ac:dyDescent="0.2">
      <c r="A54" s="1"/>
      <c r="B54" s="233"/>
      <c r="C54" s="233"/>
      <c r="D54" s="233"/>
      <c r="E54" s="233"/>
      <c r="F54" s="233"/>
      <c r="G54" s="233"/>
      <c r="H54" s="233"/>
      <c r="I54" s="233"/>
      <c r="J54" s="233"/>
      <c r="K54" s="233"/>
      <c r="L54" s="233"/>
      <c r="M54" s="233"/>
      <c r="N54" s="233"/>
      <c r="O54" s="233"/>
      <c r="P54" s="233"/>
      <c r="Q54" s="1"/>
    </row>
    <row r="55" spans="1:17" ht="15" x14ac:dyDescent="0.25">
      <c r="A55" s="27"/>
      <c r="B55" s="234"/>
      <c r="C55" s="234"/>
      <c r="D55" s="234"/>
      <c r="E55" s="234"/>
      <c r="F55" s="234"/>
      <c r="G55" s="234"/>
      <c r="H55" s="234"/>
      <c r="I55" s="234"/>
      <c r="J55" s="234"/>
      <c r="K55" s="234"/>
      <c r="L55" s="234"/>
      <c r="M55" s="234"/>
      <c r="N55" s="234"/>
      <c r="O55" s="234"/>
      <c r="P55" s="234"/>
      <c r="Q55" s="1"/>
    </row>
    <row r="56" spans="1:17" ht="10.5" customHeight="1" x14ac:dyDescent="0.25">
      <c r="A56" s="1"/>
      <c r="B56" s="120"/>
      <c r="C56" s="120"/>
      <c r="D56" s="120"/>
      <c r="E56" s="165" t="s">
        <v>56</v>
      </c>
      <c r="F56" s="165"/>
      <c r="G56" s="165"/>
      <c r="H56" s="165"/>
      <c r="I56" s="165"/>
      <c r="J56" s="165"/>
      <c r="K56" s="165"/>
      <c r="L56" s="165"/>
      <c r="M56" s="165"/>
      <c r="N56" s="120"/>
      <c r="O56" s="160" t="s">
        <v>18</v>
      </c>
      <c r="P56" s="160"/>
      <c r="Q56" s="1"/>
    </row>
    <row r="57" spans="1:17" ht="15" x14ac:dyDescent="0.25">
      <c r="A57" s="1"/>
      <c r="B57" s="30"/>
      <c r="C57" s="30"/>
      <c r="D57" s="30"/>
      <c r="E57" s="166" t="s">
        <v>57</v>
      </c>
      <c r="F57" s="166"/>
      <c r="G57" s="166"/>
      <c r="H57" s="166"/>
      <c r="I57" s="166"/>
      <c r="J57" s="166"/>
      <c r="K57" s="166"/>
      <c r="L57" s="166"/>
      <c r="M57" s="166"/>
      <c r="N57" s="30"/>
      <c r="O57" s="161"/>
      <c r="P57" s="161"/>
      <c r="Q57" s="1"/>
    </row>
  </sheetData>
  <mergeCells count="17">
    <mergeCell ref="E9:H9"/>
    <mergeCell ref="M9:P9"/>
    <mergeCell ref="B11:P11"/>
    <mergeCell ref="B53:P53"/>
    <mergeCell ref="G2:O2"/>
    <mergeCell ref="G3:O3"/>
    <mergeCell ref="E7:H7"/>
    <mergeCell ref="E8:H8"/>
    <mergeCell ref="M7:P7"/>
    <mergeCell ref="M8:P8"/>
    <mergeCell ref="B6:P6"/>
    <mergeCell ref="A5:F5"/>
    <mergeCell ref="E56:M56"/>
    <mergeCell ref="O56:P57"/>
    <mergeCell ref="E57:M57"/>
    <mergeCell ref="B54:P54"/>
    <mergeCell ref="B55:P55"/>
  </mergeCells>
  <printOptions horizontalCentered="1"/>
  <pageMargins left="0.23622047244094491" right="0.23622047244094491" top="0.39370078740157483" bottom="0.19685039370078741" header="0" footer="0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Feuil1">
    <pageSetUpPr fitToPage="1"/>
  </sheetPr>
  <dimension ref="A1:Q302"/>
  <sheetViews>
    <sheetView tabSelected="1" showWhiteSpace="0" view="pageLayout" topLeftCell="A4" zoomScale="85" zoomScaleNormal="100" zoomScaleSheetLayoutView="115" zoomScalePageLayoutView="85" workbookViewId="0">
      <selection activeCell="S28" sqref="S28"/>
    </sheetView>
  </sheetViews>
  <sheetFormatPr baseColWidth="10" defaultRowHeight="15" x14ac:dyDescent="0.25"/>
  <cols>
    <col min="1" max="1" width="2.85546875" customWidth="1"/>
    <col min="2" max="16" width="9.140625" customWidth="1"/>
    <col min="17" max="17" width="2.85546875" customWidth="1"/>
  </cols>
  <sheetData>
    <row r="1" spans="1:17" s="5" customFormat="1" ht="7.5" customHeight="1" x14ac:dyDescent="0.2">
      <c r="A1" s="1"/>
      <c r="B1" s="1"/>
      <c r="C1" s="1"/>
      <c r="D1" s="1"/>
      <c r="E1" s="1"/>
      <c r="F1" s="1"/>
      <c r="G1" s="1"/>
      <c r="H1" s="1"/>
      <c r="I1" s="1"/>
      <c r="J1" s="26"/>
      <c r="K1" s="1"/>
      <c r="L1" s="1"/>
      <c r="M1" s="1"/>
      <c r="N1" s="1"/>
      <c r="O1" s="1"/>
      <c r="P1" s="1"/>
      <c r="Q1" s="1"/>
    </row>
    <row r="2" spans="1:17" s="5" customFormat="1" ht="25.5" x14ac:dyDescent="0.35">
      <c r="A2" s="1"/>
      <c r="B2" s="1"/>
      <c r="C2" s="1"/>
      <c r="D2" s="1"/>
      <c r="E2" s="6"/>
      <c r="F2" s="6"/>
      <c r="G2" s="225" t="s">
        <v>10</v>
      </c>
      <c r="H2" s="225"/>
      <c r="I2" s="225"/>
      <c r="J2" s="225"/>
      <c r="K2" s="225"/>
      <c r="L2" s="225"/>
      <c r="M2" s="225"/>
      <c r="N2" s="225"/>
      <c r="O2" s="225"/>
      <c r="P2" s="1"/>
      <c r="Q2" s="1"/>
    </row>
    <row r="3" spans="1:17" s="5" customFormat="1" ht="15.75" customHeight="1" x14ac:dyDescent="0.2">
      <c r="A3" s="1"/>
      <c r="B3" s="1"/>
      <c r="C3" s="1"/>
      <c r="D3" s="1"/>
      <c r="E3" s="7"/>
      <c r="F3" s="7"/>
      <c r="G3" s="226" t="s">
        <v>53</v>
      </c>
      <c r="H3" s="226"/>
      <c r="I3" s="226"/>
      <c r="J3" s="226"/>
      <c r="K3" s="226"/>
      <c r="L3" s="226"/>
      <c r="M3" s="226"/>
      <c r="N3" s="226"/>
      <c r="O3" s="226"/>
      <c r="P3" s="1"/>
      <c r="Q3" s="1"/>
    </row>
    <row r="4" spans="1:17" s="5" customFormat="1" x14ac:dyDescent="0.2">
      <c r="A4" s="1"/>
      <c r="B4" s="1"/>
      <c r="C4" s="1"/>
      <c r="D4" s="1"/>
      <c r="E4" s="7"/>
      <c r="F4" s="7"/>
      <c r="G4" s="7"/>
      <c r="H4" s="7"/>
      <c r="I4" s="7"/>
      <c r="J4" s="7"/>
      <c r="K4" s="1"/>
      <c r="L4" s="1"/>
      <c r="M4" s="1"/>
      <c r="N4" s="1"/>
      <c r="O4" s="1"/>
      <c r="P4" s="1"/>
      <c r="Q4" s="1"/>
    </row>
    <row r="5" spans="1:17" s="5" customFormat="1" ht="15" customHeight="1" x14ac:dyDescent="0.2">
      <c r="A5" s="244"/>
      <c r="B5" s="244"/>
      <c r="C5" s="244"/>
      <c r="D5" s="244"/>
      <c r="E5" s="244"/>
      <c r="F5" s="244"/>
      <c r="G5" s="1"/>
      <c r="H5" s="1"/>
      <c r="I5" s="8"/>
      <c r="J5" s="8"/>
      <c r="K5" s="1"/>
      <c r="L5" s="1"/>
      <c r="M5" s="1"/>
      <c r="N5" s="1"/>
      <c r="O5" s="1"/>
      <c r="P5" s="1"/>
      <c r="Q5" s="1"/>
    </row>
    <row r="6" spans="1:17" s="5" customFormat="1" ht="18" customHeight="1" x14ac:dyDescent="0.2">
      <c r="A6" s="9"/>
      <c r="B6" s="162" t="s">
        <v>48</v>
      </c>
      <c r="C6" s="163"/>
      <c r="D6" s="163"/>
      <c r="E6" s="163"/>
      <c r="F6" s="163"/>
      <c r="G6" s="163"/>
      <c r="H6" s="163"/>
      <c r="I6" s="163"/>
      <c r="J6" s="163"/>
      <c r="K6" s="163"/>
      <c r="L6" s="163"/>
      <c r="M6" s="163"/>
      <c r="N6" s="163"/>
      <c r="O6" s="163"/>
      <c r="P6" s="164"/>
      <c r="Q6" s="1"/>
    </row>
    <row r="7" spans="1:17" s="5" customFormat="1" ht="14.25" x14ac:dyDescent="0.2">
      <c r="A7" s="16"/>
      <c r="B7" s="10"/>
      <c r="C7" s="11"/>
      <c r="D7" s="12" t="s">
        <v>11</v>
      </c>
      <c r="E7" s="238" t="e">
        <f>IF(Dossiers_Nom="","",Dossiers_Nom)</f>
        <v>#NAME?</v>
      </c>
      <c r="F7" s="238"/>
      <c r="G7" s="238"/>
      <c r="H7" s="238"/>
      <c r="I7" s="17"/>
      <c r="J7" s="17"/>
      <c r="K7" s="17"/>
      <c r="L7" s="12" t="s">
        <v>55</v>
      </c>
      <c r="M7" s="240">
        <f ca="1">TODAY()</f>
        <v>44243</v>
      </c>
      <c r="N7" s="241"/>
      <c r="O7" s="241"/>
      <c r="P7" s="242"/>
      <c r="Q7" s="1"/>
    </row>
    <row r="8" spans="1:17" s="5" customFormat="1" ht="14.25" x14ac:dyDescent="0.2">
      <c r="A8" s="16"/>
      <c r="B8" s="18"/>
      <c r="C8" s="19"/>
      <c r="D8" s="13" t="s">
        <v>12</v>
      </c>
      <c r="E8" s="239" t="e">
        <f>IF(Dossiers_Localite="","",Dossiers_Localite)</f>
        <v>#NAME?</v>
      </c>
      <c r="F8" s="239"/>
      <c r="G8" s="239"/>
      <c r="H8" s="239"/>
      <c r="I8" s="20"/>
      <c r="J8" s="20"/>
      <c r="K8" s="21"/>
      <c r="L8" s="13" t="s">
        <v>13</v>
      </c>
      <c r="M8" s="239" t="e">
        <f>IF(Dossiers_Dossier="","", Dossiers_Dossier)</f>
        <v>#NAME?</v>
      </c>
      <c r="N8" s="239"/>
      <c r="O8" s="239"/>
      <c r="P8" s="243"/>
      <c r="Q8" s="1"/>
    </row>
    <row r="9" spans="1:17" s="5" customFormat="1" ht="14.25" x14ac:dyDescent="0.2">
      <c r="A9" s="16"/>
      <c r="B9" s="22"/>
      <c r="C9" s="23"/>
      <c r="D9" s="14" t="s">
        <v>54</v>
      </c>
      <c r="E9" s="235" t="e">
        <f>IF(Dossiers_Client="","",Dossiers_Client)</f>
        <v>#NAME?</v>
      </c>
      <c r="F9" s="235"/>
      <c r="G9" s="235"/>
      <c r="H9" s="235"/>
      <c r="I9" s="24"/>
      <c r="J9" s="24"/>
      <c r="K9" s="24"/>
      <c r="L9" s="14" t="s">
        <v>14</v>
      </c>
      <c r="M9" s="236" t="e">
        <f>IF(Dossiers_ContactClient="","",Dossiers_ContactClient)</f>
        <v>#NAME?</v>
      </c>
      <c r="N9" s="236"/>
      <c r="O9" s="236"/>
      <c r="P9" s="237"/>
      <c r="Q9" s="1"/>
    </row>
    <row r="10" spans="1:17" s="5" customFormat="1" ht="14.25" x14ac:dyDescent="0.2">
      <c r="A10" s="3"/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1"/>
      <c r="Q10" s="1"/>
    </row>
    <row r="11" spans="1:17" s="5" customFormat="1" ht="15.75" x14ac:dyDescent="0.2">
      <c r="A11" s="4"/>
      <c r="B11" s="162" t="s">
        <v>29</v>
      </c>
      <c r="C11" s="163"/>
      <c r="D11" s="163"/>
      <c r="E11" s="163"/>
      <c r="F11" s="163"/>
      <c r="G11" s="163"/>
      <c r="H11" s="163"/>
      <c r="I11" s="163"/>
      <c r="J11" s="163"/>
      <c r="K11" s="163"/>
      <c r="L11" s="163"/>
      <c r="M11" s="163"/>
      <c r="N11" s="163"/>
      <c r="O11" s="163"/>
      <c r="P11" s="164"/>
      <c r="Q11" s="1"/>
    </row>
    <row r="12" spans="1:17" x14ac:dyDescent="0.25">
      <c r="A12" s="29"/>
      <c r="B12" s="29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</row>
    <row r="13" spans="1:17" x14ac:dyDescent="0.25">
      <c r="A13" s="29"/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</row>
    <row r="14" spans="1:17" x14ac:dyDescent="0.25">
      <c r="A14" s="29"/>
      <c r="B14" s="29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</row>
    <row r="15" spans="1:17" x14ac:dyDescent="0.25">
      <c r="A15" s="29"/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</row>
    <row r="16" spans="1:17" x14ac:dyDescent="0.25">
      <c r="A16" s="29"/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</row>
    <row r="17" spans="1:17" x14ac:dyDescent="0.25">
      <c r="A17" s="29"/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</row>
    <row r="18" spans="1:17" x14ac:dyDescent="0.25">
      <c r="A18" s="29"/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</row>
    <row r="19" spans="1:17" x14ac:dyDescent="0.25">
      <c r="A19" s="29"/>
      <c r="B19" s="29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</row>
    <row r="20" spans="1:17" x14ac:dyDescent="0.25">
      <c r="A20" s="29"/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</row>
    <row r="21" spans="1:17" x14ac:dyDescent="0.25">
      <c r="A21" s="29"/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</row>
    <row r="22" spans="1:17" x14ac:dyDescent="0.25">
      <c r="A22" s="29"/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</row>
    <row r="23" spans="1:17" x14ac:dyDescent="0.25">
      <c r="A23" s="29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</row>
    <row r="24" spans="1:17" x14ac:dyDescent="0.25">
      <c r="A24" s="29"/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</row>
    <row r="25" spans="1:17" x14ac:dyDescent="0.25">
      <c r="A25" s="29"/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</row>
    <row r="26" spans="1:17" x14ac:dyDescent="0.25">
      <c r="A26" s="29"/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</row>
    <row r="27" spans="1:17" x14ac:dyDescent="0.25">
      <c r="A27" s="29"/>
      <c r="B27" s="29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</row>
    <row r="28" spans="1:17" x14ac:dyDescent="0.25">
      <c r="A28" s="29"/>
      <c r="B28" s="29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</row>
    <row r="29" spans="1:17" x14ac:dyDescent="0.25">
      <c r="A29" s="29"/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</row>
    <row r="30" spans="1:17" x14ac:dyDescent="0.25">
      <c r="A30" s="29"/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</row>
    <row r="31" spans="1:17" x14ac:dyDescent="0.25">
      <c r="A31" s="29"/>
      <c r="B31" s="29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</row>
    <row r="32" spans="1:17" x14ac:dyDescent="0.25">
      <c r="A32" s="29"/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</row>
    <row r="33" spans="1:17" x14ac:dyDescent="0.25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</row>
    <row r="34" spans="1:17" x14ac:dyDescent="0.25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</row>
    <row r="35" spans="1:17" x14ac:dyDescent="0.25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</row>
    <row r="36" spans="1:17" x14ac:dyDescent="0.25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</row>
    <row r="37" spans="1:17" x14ac:dyDescent="0.25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</row>
    <row r="38" spans="1:17" ht="10.5" customHeight="1" x14ac:dyDescent="0.25">
      <c r="A38" s="110"/>
      <c r="B38" s="122"/>
      <c r="C38" s="122"/>
      <c r="D38" s="165" t="s">
        <v>56</v>
      </c>
      <c r="E38" s="165"/>
      <c r="F38" s="165"/>
      <c r="G38" s="165"/>
      <c r="H38" s="165"/>
      <c r="I38" s="165"/>
      <c r="J38" s="165"/>
      <c r="K38" s="165"/>
      <c r="L38" s="165"/>
      <c r="M38" s="165"/>
      <c r="N38" s="165"/>
      <c r="O38" s="160" t="s">
        <v>18</v>
      </c>
      <c r="P38" s="160"/>
      <c r="Q38" s="123"/>
    </row>
    <row r="39" spans="1:17" ht="10.5" customHeight="1" x14ac:dyDescent="0.25">
      <c r="A39" s="110"/>
      <c r="B39" s="110"/>
      <c r="C39" s="110"/>
      <c r="D39" s="166" t="s">
        <v>57</v>
      </c>
      <c r="E39" s="166"/>
      <c r="F39" s="166"/>
      <c r="G39" s="166"/>
      <c r="H39" s="166"/>
      <c r="I39" s="166"/>
      <c r="J39" s="166"/>
      <c r="K39" s="166"/>
      <c r="L39" s="166"/>
      <c r="M39" s="166"/>
      <c r="N39" s="166"/>
      <c r="O39" s="161"/>
      <c r="P39" s="161"/>
      <c r="Q39" s="121"/>
    </row>
    <row r="43" spans="1:17" x14ac:dyDescent="0.25">
      <c r="N43" t="s">
        <v>65</v>
      </c>
    </row>
    <row r="44" spans="1:17" x14ac:dyDescent="0.25">
      <c r="B44" t="s">
        <v>1</v>
      </c>
      <c r="C44" t="s">
        <v>0</v>
      </c>
      <c r="D44" t="s">
        <v>25</v>
      </c>
      <c r="E44" t="s">
        <v>2</v>
      </c>
      <c r="F44" t="s">
        <v>3</v>
      </c>
      <c r="G44" t="s">
        <v>4</v>
      </c>
      <c r="H44" t="s">
        <v>5</v>
      </c>
      <c r="I44" t="s">
        <v>6</v>
      </c>
      <c r="J44" t="s">
        <v>7</v>
      </c>
      <c r="K44" t="s">
        <v>8</v>
      </c>
      <c r="L44" t="s">
        <v>26</v>
      </c>
      <c r="M44" t="s">
        <v>9</v>
      </c>
      <c r="N44" t="str">
        <f>IF(TableChart4[[#This Row],[Colonne4]]="","",IFERROR((POWER(200000,2)/2/(TableChart4[[#This Row],[Colonne4]]-TableChart4[[#This Row],[Colonne5]])+POWER(300000,2)/2/(TableChart4[[#This Row],[Colonne4]]-TableChart4[[#This Row],[Colonne6]]))/2*0.00001,""))</f>
        <v/>
      </c>
    </row>
    <row r="45" spans="1:17" x14ac:dyDescent="0.25">
      <c r="N45" t="str">
        <f>IF(TableChart4[[#This Row],[Colonne4]]="","",IFERROR((POWER(200000,2)/2/(TableChart4[[#This Row],[Colonne4]]-TableChart4[[#This Row],[Colonne5]])+POWER(300000,2)/2/(TableChart4[[#This Row],[Colonne4]]-TableChart4[[#This Row],[Colonne6]]))/2*0.00001,""))</f>
        <v/>
      </c>
    </row>
    <row r="46" spans="1:17" x14ac:dyDescent="0.25">
      <c r="N46" t="str">
        <f>IF(TableChart4[[#This Row],[Colonne4]]="","",IFERROR((POWER(200000,2)/2/(TableChart4[[#This Row],[Colonne4]]-TableChart4[[#This Row],[Colonne5]])+POWER(300000,2)/2/(TableChart4[[#This Row],[Colonne4]]-TableChart4[[#This Row],[Colonne6]]))/2*0.00001,""))</f>
        <v/>
      </c>
    </row>
    <row r="47" spans="1:17" x14ac:dyDescent="0.25">
      <c r="N47" t="str">
        <f>IF(TableChart4[[#This Row],[Colonne4]]="","",IFERROR((POWER(200000,2)/2/(TableChart4[[#This Row],[Colonne4]]-TableChart4[[#This Row],[Colonne5]])+POWER(300000,2)/2/(TableChart4[[#This Row],[Colonne4]]-TableChart4[[#This Row],[Colonne6]]))/2*0.00001,""))</f>
        <v/>
      </c>
    </row>
    <row r="48" spans="1:17" x14ac:dyDescent="0.25">
      <c r="N48" t="str">
        <f>IF(TableChart4[[#This Row],[Colonne4]]="","",IFERROR((POWER(200000,2)/2/(TableChart4[[#This Row],[Colonne4]]-TableChart4[[#This Row],[Colonne5]])+POWER(300000,2)/2/(TableChart4[[#This Row],[Colonne4]]-TableChart4[[#This Row],[Colonne6]]))/2*0.00001,""))</f>
        <v/>
      </c>
    </row>
    <row r="49" spans="14:14" x14ac:dyDescent="0.25">
      <c r="N49" t="str">
        <f>IF(TableChart4[[#This Row],[Colonne4]]="","",IFERROR((POWER(200000,2)/2/(TableChart4[[#This Row],[Colonne4]]-TableChart4[[#This Row],[Colonne5]])+POWER(300000,2)/2/(TableChart4[[#This Row],[Colonne4]]-TableChart4[[#This Row],[Colonne6]]))/2*0.00001,""))</f>
        <v/>
      </c>
    </row>
    <row r="50" spans="14:14" x14ac:dyDescent="0.25">
      <c r="N50" t="str">
        <f>IF(TableChart4[[#This Row],[Colonne4]]="","",IFERROR((POWER(200000,2)/2/(TableChart4[[#This Row],[Colonne4]]-TableChart4[[#This Row],[Colonne5]])+POWER(300000,2)/2/(TableChart4[[#This Row],[Colonne4]]-TableChart4[[#This Row],[Colonne6]]))/2*0.00001,""))</f>
        <v/>
      </c>
    </row>
    <row r="51" spans="14:14" x14ac:dyDescent="0.25">
      <c r="N51" t="str">
        <f>IF(TableChart4[[#This Row],[Colonne4]]="","",IFERROR((POWER(200000,2)/2/(TableChart4[[#This Row],[Colonne4]]-TableChart4[[#This Row],[Colonne5]])+POWER(300000,2)/2/(TableChart4[[#This Row],[Colonne4]]-TableChart4[[#This Row],[Colonne6]]))/2*0.00001,""))</f>
        <v/>
      </c>
    </row>
    <row r="52" spans="14:14" x14ac:dyDescent="0.25">
      <c r="N52" t="str">
        <f>IF(TableChart4[[#This Row],[Colonne4]]="","",IFERROR((POWER(200000,2)/2/(TableChart4[[#This Row],[Colonne4]]-TableChart4[[#This Row],[Colonne5]])+POWER(300000,2)/2/(TableChart4[[#This Row],[Colonne4]]-TableChart4[[#This Row],[Colonne6]]))/2*0.00001,""))</f>
        <v/>
      </c>
    </row>
    <row r="53" spans="14:14" x14ac:dyDescent="0.25">
      <c r="N53" t="str">
        <f>IF(TableChart4[[#This Row],[Colonne4]]="","",IFERROR((POWER(200000,2)/2/(TableChart4[[#This Row],[Colonne4]]-TableChart4[[#This Row],[Colonne5]])+POWER(300000,2)/2/(TableChart4[[#This Row],[Colonne4]]-TableChart4[[#This Row],[Colonne6]]))/2*0.00001,""))</f>
        <v/>
      </c>
    </row>
    <row r="54" spans="14:14" x14ac:dyDescent="0.25">
      <c r="N54" t="str">
        <f>IF(TableChart4[[#This Row],[Colonne4]]="","",IFERROR((POWER(200000,2)/2/(TableChart4[[#This Row],[Colonne4]]-TableChart4[[#This Row],[Colonne5]])+POWER(300000,2)/2/(TableChart4[[#This Row],[Colonne4]]-TableChart4[[#This Row],[Colonne6]]))/2*0.00001,""))</f>
        <v/>
      </c>
    </row>
    <row r="55" spans="14:14" x14ac:dyDescent="0.25">
      <c r="N55" t="str">
        <f>IF(TableChart4[[#This Row],[Colonne4]]="","",IFERROR((POWER(200000,2)/2/(TableChart4[[#This Row],[Colonne4]]-TableChart4[[#This Row],[Colonne5]])+POWER(300000,2)/2/(TableChart4[[#This Row],[Colonne4]]-TableChart4[[#This Row],[Colonne6]]))/2*0.00001,""))</f>
        <v/>
      </c>
    </row>
    <row r="56" spans="14:14" x14ac:dyDescent="0.25">
      <c r="N56" t="str">
        <f>IF(TableChart4[[#This Row],[Colonne4]]="","",IFERROR((POWER(200000,2)/2/(TableChart4[[#This Row],[Colonne4]]-TableChart4[[#This Row],[Colonne5]])+POWER(300000,2)/2/(TableChart4[[#This Row],[Colonne4]]-TableChart4[[#This Row],[Colonne6]]))/2*0.00001,""))</f>
        <v/>
      </c>
    </row>
    <row r="57" spans="14:14" x14ac:dyDescent="0.25">
      <c r="N57" t="str">
        <f>IF(TableChart4[[#This Row],[Colonne4]]="","",IFERROR((POWER(200000,2)/2/(TableChart4[[#This Row],[Colonne4]]-TableChart4[[#This Row],[Colonne5]])+POWER(300000,2)/2/(TableChart4[[#This Row],[Colonne4]]-TableChart4[[#This Row],[Colonne6]]))/2*0.00001,""))</f>
        <v/>
      </c>
    </row>
    <row r="58" spans="14:14" x14ac:dyDescent="0.25">
      <c r="N58" t="str">
        <f>IF(TableChart4[[#This Row],[Colonne4]]="","",IFERROR((POWER(200000,2)/2/(TableChart4[[#This Row],[Colonne4]]-TableChart4[[#This Row],[Colonne5]])+POWER(300000,2)/2/(TableChart4[[#This Row],[Colonne4]]-TableChart4[[#This Row],[Colonne6]]))/2*0.00001,""))</f>
        <v/>
      </c>
    </row>
    <row r="59" spans="14:14" x14ac:dyDescent="0.25">
      <c r="N59" t="str">
        <f>IF(TableChart4[[#This Row],[Colonne4]]="","",IFERROR((POWER(200000,2)/2/(TableChart4[[#This Row],[Colonne4]]-TableChart4[[#This Row],[Colonne5]])+POWER(300000,2)/2/(TableChart4[[#This Row],[Colonne4]]-TableChart4[[#This Row],[Colonne6]]))/2*0.00001,""))</f>
        <v/>
      </c>
    </row>
    <row r="60" spans="14:14" x14ac:dyDescent="0.25">
      <c r="N60" t="str">
        <f>IF(TableChart4[[#This Row],[Colonne4]]="","",IFERROR((POWER(200000,2)/2/(TableChart4[[#This Row],[Colonne4]]-TableChart4[[#This Row],[Colonne5]])+POWER(300000,2)/2/(TableChart4[[#This Row],[Colonne4]]-TableChart4[[#This Row],[Colonne6]]))/2*0.00001,""))</f>
        <v/>
      </c>
    </row>
    <row r="61" spans="14:14" x14ac:dyDescent="0.25">
      <c r="N61" t="str">
        <f>IF(TableChart4[[#This Row],[Colonne4]]="","",IFERROR((POWER(200000,2)/2/(TableChart4[[#This Row],[Colonne4]]-TableChart4[[#This Row],[Colonne5]])+POWER(300000,2)/2/(TableChart4[[#This Row],[Colonne4]]-TableChart4[[#This Row],[Colonne6]]))/2*0.00001,""))</f>
        <v/>
      </c>
    </row>
    <row r="62" spans="14:14" x14ac:dyDescent="0.25">
      <c r="N62" t="str">
        <f>IF(TableChart4[[#This Row],[Colonne4]]="","",IFERROR((POWER(200000,2)/2/(TableChart4[[#This Row],[Colonne4]]-TableChart4[[#This Row],[Colonne5]])+POWER(300000,2)/2/(TableChart4[[#This Row],[Colonne4]]-TableChart4[[#This Row],[Colonne6]]))/2*0.00001,""))</f>
        <v/>
      </c>
    </row>
    <row r="63" spans="14:14" x14ac:dyDescent="0.25">
      <c r="N63" t="str">
        <f>IF(TableChart4[[#This Row],[Colonne4]]="","",IFERROR((POWER(200000,2)/2/(TableChart4[[#This Row],[Colonne4]]-TableChart4[[#This Row],[Colonne5]])+POWER(300000,2)/2/(TableChart4[[#This Row],[Colonne4]]-TableChart4[[#This Row],[Colonne6]]))/2*0.00001,""))</f>
        <v/>
      </c>
    </row>
    <row r="64" spans="14:14" x14ac:dyDescent="0.25">
      <c r="N64" t="str">
        <f>IF(TableChart4[[#This Row],[Colonne4]]="","",IFERROR((POWER(200000,2)/2/(TableChart4[[#This Row],[Colonne4]]-TableChart4[[#This Row],[Colonne5]])+POWER(300000,2)/2/(TableChart4[[#This Row],[Colonne4]]-TableChart4[[#This Row],[Colonne6]]))/2*0.00001,""))</f>
        <v/>
      </c>
    </row>
    <row r="65" spans="14:14" x14ac:dyDescent="0.25">
      <c r="N65" t="str">
        <f>IF(TableChart4[[#This Row],[Colonne4]]="","",IFERROR((POWER(200000,2)/2/(TableChart4[[#This Row],[Colonne4]]-TableChart4[[#This Row],[Colonne5]])+POWER(300000,2)/2/(TableChart4[[#This Row],[Colonne4]]-TableChart4[[#This Row],[Colonne6]]))/2*0.00001,""))</f>
        <v/>
      </c>
    </row>
    <row r="66" spans="14:14" x14ac:dyDescent="0.25">
      <c r="N66" t="str">
        <f>IF(TableChart4[[#This Row],[Colonne4]]="","",IFERROR((POWER(200000,2)/2/(TableChart4[[#This Row],[Colonne4]]-TableChart4[[#This Row],[Colonne5]])+POWER(300000,2)/2/(TableChart4[[#This Row],[Colonne4]]-TableChart4[[#This Row],[Colonne6]]))/2*0.00001,""))</f>
        <v/>
      </c>
    </row>
    <row r="67" spans="14:14" x14ac:dyDescent="0.25">
      <c r="N67" t="str">
        <f>IF(TableChart4[[#This Row],[Colonne4]]="","",IFERROR((POWER(200000,2)/2/(TableChart4[[#This Row],[Colonne4]]-TableChart4[[#This Row],[Colonne5]])+POWER(300000,2)/2/(TableChart4[[#This Row],[Colonne4]]-TableChart4[[#This Row],[Colonne6]]))/2*0.00001,""))</f>
        <v/>
      </c>
    </row>
    <row r="68" spans="14:14" x14ac:dyDescent="0.25">
      <c r="N68" t="str">
        <f>IF(TableChart4[[#This Row],[Colonne4]]="","",IFERROR((POWER(200000,2)/2/(TableChart4[[#This Row],[Colonne4]]-TableChart4[[#This Row],[Colonne5]])+POWER(300000,2)/2/(TableChart4[[#This Row],[Colonne4]]-TableChart4[[#This Row],[Colonne6]]))/2*0.00001,""))</f>
        <v/>
      </c>
    </row>
    <row r="69" spans="14:14" x14ac:dyDescent="0.25">
      <c r="N69" t="str">
        <f>IF(TableChart4[[#This Row],[Colonne4]]="","",IFERROR((POWER(200000,2)/2/(TableChart4[[#This Row],[Colonne4]]-TableChart4[[#This Row],[Colonne5]])+POWER(300000,2)/2/(TableChart4[[#This Row],[Colonne4]]-TableChart4[[#This Row],[Colonne6]]))/2*0.00001,""))</f>
        <v/>
      </c>
    </row>
    <row r="70" spans="14:14" x14ac:dyDescent="0.25">
      <c r="N70" t="str">
        <f>IF(TableChart4[[#This Row],[Colonne4]]="","",IFERROR((POWER(200000,2)/2/(TableChart4[[#This Row],[Colonne4]]-TableChart4[[#This Row],[Colonne5]])+POWER(300000,2)/2/(TableChart4[[#This Row],[Colonne4]]-TableChart4[[#This Row],[Colonne6]]))/2*0.00001,""))</f>
        <v/>
      </c>
    </row>
    <row r="71" spans="14:14" x14ac:dyDescent="0.25">
      <c r="N71" t="str">
        <f>IF(TableChart4[[#This Row],[Colonne4]]="","",IFERROR((POWER(200000,2)/2/(TableChart4[[#This Row],[Colonne4]]-TableChart4[[#This Row],[Colonne5]])+POWER(300000,2)/2/(TableChart4[[#This Row],[Colonne4]]-TableChart4[[#This Row],[Colonne6]]))/2*0.00001,""))</f>
        <v/>
      </c>
    </row>
    <row r="72" spans="14:14" x14ac:dyDescent="0.25">
      <c r="N72" t="str">
        <f>IF(TableChart4[[#This Row],[Colonne4]]="","",IFERROR((POWER(200000,2)/2/(TableChart4[[#This Row],[Colonne4]]-TableChart4[[#This Row],[Colonne5]])+POWER(300000,2)/2/(TableChart4[[#This Row],[Colonne4]]-TableChart4[[#This Row],[Colonne6]]))/2*0.00001,""))</f>
        <v/>
      </c>
    </row>
    <row r="73" spans="14:14" x14ac:dyDescent="0.25">
      <c r="N73" t="str">
        <f>IF(TableChart4[[#This Row],[Colonne4]]="","",IFERROR((POWER(200000,2)/2/(TableChart4[[#This Row],[Colonne4]]-TableChart4[[#This Row],[Colonne5]])+POWER(300000,2)/2/(TableChart4[[#This Row],[Colonne4]]-TableChart4[[#This Row],[Colonne6]]))/2*0.00001,""))</f>
        <v/>
      </c>
    </row>
    <row r="74" spans="14:14" x14ac:dyDescent="0.25">
      <c r="N74" t="str">
        <f>IF(TableChart4[[#This Row],[Colonne4]]="","",IFERROR((POWER(200000,2)/2/(TableChart4[[#This Row],[Colonne4]]-TableChart4[[#This Row],[Colonne5]])+POWER(300000,2)/2/(TableChart4[[#This Row],[Colonne4]]-TableChart4[[#This Row],[Colonne6]]))/2*0.00001,""))</f>
        <v/>
      </c>
    </row>
    <row r="75" spans="14:14" x14ac:dyDescent="0.25">
      <c r="N75" t="str">
        <f>IF(TableChart4[[#This Row],[Colonne4]]="","",IFERROR((POWER(200000,2)/2/(TableChart4[[#This Row],[Colonne4]]-TableChart4[[#This Row],[Colonne5]])+POWER(300000,2)/2/(TableChart4[[#This Row],[Colonne4]]-TableChart4[[#This Row],[Colonne6]]))/2*0.00001,""))</f>
        <v/>
      </c>
    </row>
    <row r="76" spans="14:14" x14ac:dyDescent="0.25">
      <c r="N76" t="str">
        <f>IF(TableChart4[[#This Row],[Colonne4]]="","",IFERROR((POWER(200000,2)/2/(TableChart4[[#This Row],[Colonne4]]-TableChart4[[#This Row],[Colonne5]])+POWER(300000,2)/2/(TableChart4[[#This Row],[Colonne4]]-TableChart4[[#This Row],[Colonne6]]))/2*0.00001,""))</f>
        <v/>
      </c>
    </row>
    <row r="77" spans="14:14" x14ac:dyDescent="0.25">
      <c r="N77" t="str">
        <f>IF(TableChart4[[#This Row],[Colonne4]]="","",IFERROR((POWER(200000,2)/2/(TableChart4[[#This Row],[Colonne4]]-TableChart4[[#This Row],[Colonne5]])+POWER(300000,2)/2/(TableChart4[[#This Row],[Colonne4]]-TableChart4[[#This Row],[Colonne6]]))/2*0.00001,""))</f>
        <v/>
      </c>
    </row>
    <row r="78" spans="14:14" x14ac:dyDescent="0.25">
      <c r="N78" t="str">
        <f>IF(TableChart4[[#This Row],[Colonne4]]="","",IFERROR((POWER(200000,2)/2/(TableChart4[[#This Row],[Colonne4]]-TableChart4[[#This Row],[Colonne5]])+POWER(300000,2)/2/(TableChart4[[#This Row],[Colonne4]]-TableChart4[[#This Row],[Colonne6]]))/2*0.00001,""))</f>
        <v/>
      </c>
    </row>
    <row r="79" spans="14:14" x14ac:dyDescent="0.25">
      <c r="N79" t="str">
        <f>IF(TableChart4[[#This Row],[Colonne4]]="","",IFERROR((POWER(200000,2)/2/(TableChart4[[#This Row],[Colonne4]]-TableChart4[[#This Row],[Colonne5]])+POWER(300000,2)/2/(TableChart4[[#This Row],[Colonne4]]-TableChart4[[#This Row],[Colonne6]]))/2*0.00001,""))</f>
        <v/>
      </c>
    </row>
    <row r="80" spans="14:14" x14ac:dyDescent="0.25">
      <c r="N80" t="str">
        <f>IF(TableChart4[[#This Row],[Colonne4]]="","",IFERROR((POWER(200000,2)/2/(TableChart4[[#This Row],[Colonne4]]-TableChart4[[#This Row],[Colonne5]])+POWER(300000,2)/2/(TableChart4[[#This Row],[Colonne4]]-TableChart4[[#This Row],[Colonne6]]))/2*0.00001,""))</f>
        <v/>
      </c>
    </row>
    <row r="81" spans="14:14" x14ac:dyDescent="0.25">
      <c r="N81" t="str">
        <f>IF(TableChart4[[#This Row],[Colonne4]]="","",IFERROR((POWER(200000,2)/2/(TableChart4[[#This Row],[Colonne4]]-TableChart4[[#This Row],[Colonne5]])+POWER(300000,2)/2/(TableChart4[[#This Row],[Colonne4]]-TableChart4[[#This Row],[Colonne6]]))/2*0.00001,""))</f>
        <v/>
      </c>
    </row>
    <row r="82" spans="14:14" x14ac:dyDescent="0.25">
      <c r="N82" t="str">
        <f>IF(TableChart4[[#This Row],[Colonne4]]="","",IFERROR((POWER(200000,2)/2/(TableChart4[[#This Row],[Colonne4]]-TableChart4[[#This Row],[Colonne5]])+POWER(300000,2)/2/(TableChart4[[#This Row],[Colonne4]]-TableChart4[[#This Row],[Colonne6]]))/2*0.00001,""))</f>
        <v/>
      </c>
    </row>
    <row r="83" spans="14:14" x14ac:dyDescent="0.25">
      <c r="N83" t="str">
        <f>IF(TableChart4[[#This Row],[Colonne4]]="","",IFERROR((POWER(200000,2)/2/(TableChart4[[#This Row],[Colonne4]]-TableChart4[[#This Row],[Colonne5]])+POWER(300000,2)/2/(TableChart4[[#This Row],[Colonne4]]-TableChart4[[#This Row],[Colonne6]]))/2*0.00001,""))</f>
        <v/>
      </c>
    </row>
    <row r="84" spans="14:14" x14ac:dyDescent="0.25">
      <c r="N84" t="str">
        <f>IF(TableChart4[[#This Row],[Colonne4]]="","",IFERROR((POWER(200000,2)/2/(TableChart4[[#This Row],[Colonne4]]-TableChart4[[#This Row],[Colonne5]])+POWER(300000,2)/2/(TableChart4[[#This Row],[Colonne4]]-TableChart4[[#This Row],[Colonne6]]))/2*0.00001,""))</f>
        <v/>
      </c>
    </row>
    <row r="85" spans="14:14" x14ac:dyDescent="0.25">
      <c r="N85" t="str">
        <f>IF(TableChart4[[#This Row],[Colonne4]]="","",IFERROR((POWER(200000,2)/2/(TableChart4[[#This Row],[Colonne4]]-TableChart4[[#This Row],[Colonne5]])+POWER(300000,2)/2/(TableChart4[[#This Row],[Colonne4]]-TableChart4[[#This Row],[Colonne6]]))/2*0.00001,""))</f>
        <v/>
      </c>
    </row>
    <row r="86" spans="14:14" x14ac:dyDescent="0.25">
      <c r="N86" t="str">
        <f>IF(TableChart4[[#This Row],[Colonne4]]="","",IFERROR((POWER(200000,2)/2/(TableChart4[[#This Row],[Colonne4]]-TableChart4[[#This Row],[Colonne5]])+POWER(300000,2)/2/(TableChart4[[#This Row],[Colonne4]]-TableChart4[[#This Row],[Colonne6]]))/2*0.00001,""))</f>
        <v/>
      </c>
    </row>
    <row r="87" spans="14:14" x14ac:dyDescent="0.25">
      <c r="N87" t="str">
        <f>IF(TableChart4[[#This Row],[Colonne4]]="","",IFERROR((POWER(200000,2)/2/(TableChart4[[#This Row],[Colonne4]]-TableChart4[[#This Row],[Colonne5]])+POWER(300000,2)/2/(TableChart4[[#This Row],[Colonne4]]-TableChart4[[#This Row],[Colonne6]]))/2*0.00001,""))</f>
        <v/>
      </c>
    </row>
    <row r="88" spans="14:14" x14ac:dyDescent="0.25">
      <c r="N88" t="str">
        <f>IF(TableChart4[[#This Row],[Colonne4]]="","",IFERROR((POWER(200000,2)/2/(TableChart4[[#This Row],[Colonne4]]-TableChart4[[#This Row],[Colonne5]])+POWER(300000,2)/2/(TableChart4[[#This Row],[Colonne4]]-TableChart4[[#This Row],[Colonne6]]))/2*0.00001,""))</f>
        <v/>
      </c>
    </row>
    <row r="89" spans="14:14" x14ac:dyDescent="0.25">
      <c r="N89" t="str">
        <f>IF(TableChart4[[#This Row],[Colonne4]]="","",IFERROR((POWER(200000,2)/2/(TableChart4[[#This Row],[Colonne4]]-TableChart4[[#This Row],[Colonne5]])+POWER(300000,2)/2/(TableChart4[[#This Row],[Colonne4]]-TableChart4[[#This Row],[Colonne6]]))/2*0.00001,""))</f>
        <v/>
      </c>
    </row>
    <row r="90" spans="14:14" x14ac:dyDescent="0.25">
      <c r="N90" t="str">
        <f>IF(TableChart4[[#This Row],[Colonne4]]="","",IFERROR((POWER(200000,2)/2/(TableChart4[[#This Row],[Colonne4]]-TableChart4[[#This Row],[Colonne5]])+POWER(300000,2)/2/(TableChart4[[#This Row],[Colonne4]]-TableChart4[[#This Row],[Colonne6]]))/2*0.00001,""))</f>
        <v/>
      </c>
    </row>
    <row r="91" spans="14:14" x14ac:dyDescent="0.25">
      <c r="N91" t="str">
        <f>IF(TableChart4[[#This Row],[Colonne4]]="","",IFERROR((POWER(200000,2)/2/(TableChart4[[#This Row],[Colonne4]]-TableChart4[[#This Row],[Colonne5]])+POWER(300000,2)/2/(TableChart4[[#This Row],[Colonne4]]-TableChart4[[#This Row],[Colonne6]]))/2*0.00001,""))</f>
        <v/>
      </c>
    </row>
    <row r="92" spans="14:14" x14ac:dyDescent="0.25">
      <c r="N92" t="str">
        <f>IF(TableChart4[[#This Row],[Colonne4]]="","",IFERROR((POWER(200000,2)/2/(TableChart4[[#This Row],[Colonne4]]-TableChart4[[#This Row],[Colonne5]])+POWER(300000,2)/2/(TableChart4[[#This Row],[Colonne4]]-TableChart4[[#This Row],[Colonne6]]))/2*0.00001,""))</f>
        <v/>
      </c>
    </row>
    <row r="93" spans="14:14" x14ac:dyDescent="0.25">
      <c r="N93" t="str">
        <f>IF(TableChart4[[#This Row],[Colonne4]]="","",IFERROR((POWER(200000,2)/2/(TableChart4[[#This Row],[Colonne4]]-TableChart4[[#This Row],[Colonne5]])+POWER(300000,2)/2/(TableChart4[[#This Row],[Colonne4]]-TableChart4[[#This Row],[Colonne6]]))/2*0.00001,""))</f>
        <v/>
      </c>
    </row>
    <row r="94" spans="14:14" x14ac:dyDescent="0.25">
      <c r="N94" t="str">
        <f>IF(TableChart4[[#This Row],[Colonne4]]="","",IFERROR((POWER(200000,2)/2/(TableChart4[[#This Row],[Colonne4]]-TableChart4[[#This Row],[Colonne5]])+POWER(300000,2)/2/(TableChart4[[#This Row],[Colonne4]]-TableChart4[[#This Row],[Colonne6]]))/2*0.00001,""))</f>
        <v/>
      </c>
    </row>
    <row r="95" spans="14:14" x14ac:dyDescent="0.25">
      <c r="N95" t="str">
        <f>IF(TableChart4[[#This Row],[Colonne4]]="","",IFERROR((POWER(200000,2)/2/(TableChart4[[#This Row],[Colonne4]]-TableChart4[[#This Row],[Colonne5]])+POWER(300000,2)/2/(TableChart4[[#This Row],[Colonne4]]-TableChart4[[#This Row],[Colonne6]]))/2*0.00001,""))</f>
        <v/>
      </c>
    </row>
    <row r="96" spans="14:14" x14ac:dyDescent="0.25">
      <c r="N96" t="str">
        <f>IF(TableChart4[[#This Row],[Colonne4]]="","",IFERROR((POWER(200000,2)/2/(TableChart4[[#This Row],[Colonne4]]-TableChart4[[#This Row],[Colonne5]])+POWER(300000,2)/2/(TableChart4[[#This Row],[Colonne4]]-TableChart4[[#This Row],[Colonne6]]))/2*0.00001,""))</f>
        <v/>
      </c>
    </row>
    <row r="97" spans="14:14" x14ac:dyDescent="0.25">
      <c r="N97" t="str">
        <f>IF(TableChart4[[#This Row],[Colonne4]]="","",IFERROR((POWER(200000,2)/2/(TableChart4[[#This Row],[Colonne4]]-TableChart4[[#This Row],[Colonne5]])+POWER(300000,2)/2/(TableChart4[[#This Row],[Colonne4]]-TableChart4[[#This Row],[Colonne6]]))/2*0.00001,""))</f>
        <v/>
      </c>
    </row>
    <row r="98" spans="14:14" x14ac:dyDescent="0.25">
      <c r="N98" t="str">
        <f>IF(TableChart4[[#This Row],[Colonne4]]="","",IFERROR((POWER(200000,2)/2/(TableChart4[[#This Row],[Colonne4]]-TableChart4[[#This Row],[Colonne5]])+POWER(300000,2)/2/(TableChart4[[#This Row],[Colonne4]]-TableChart4[[#This Row],[Colonne6]]))/2*0.00001,""))</f>
        <v/>
      </c>
    </row>
    <row r="99" spans="14:14" x14ac:dyDescent="0.25">
      <c r="N99" t="str">
        <f>IF(TableChart4[[#This Row],[Colonne4]]="","",IFERROR((POWER(200000,2)/2/(TableChart4[[#This Row],[Colonne4]]-TableChart4[[#This Row],[Colonne5]])+POWER(300000,2)/2/(TableChart4[[#This Row],[Colonne4]]-TableChart4[[#This Row],[Colonne6]]))/2*0.00001,""))</f>
        <v/>
      </c>
    </row>
    <row r="100" spans="14:14" x14ac:dyDescent="0.25">
      <c r="N100" t="str">
        <f>IF(TableChart4[[#This Row],[Colonne4]]="","",IFERROR((POWER(200000,2)/2/(TableChart4[[#This Row],[Colonne4]]-TableChart4[[#This Row],[Colonne5]])+POWER(300000,2)/2/(TableChart4[[#This Row],[Colonne4]]-TableChart4[[#This Row],[Colonne6]]))/2*0.00001,""))</f>
        <v/>
      </c>
    </row>
    <row r="101" spans="14:14" x14ac:dyDescent="0.25">
      <c r="N101" t="str">
        <f>IF(TableChart4[[#This Row],[Colonne4]]="","",IFERROR((POWER(200000,2)/2/(TableChart4[[#This Row],[Colonne4]]-TableChart4[[#This Row],[Colonne5]])+POWER(300000,2)/2/(TableChart4[[#This Row],[Colonne4]]-TableChart4[[#This Row],[Colonne6]]))/2*0.00001,""))</f>
        <v/>
      </c>
    </row>
    <row r="102" spans="14:14" x14ac:dyDescent="0.25">
      <c r="N102" t="str">
        <f>IF(TableChart4[[#This Row],[Colonne4]]="","",IFERROR((POWER(200000,2)/2/(TableChart4[[#This Row],[Colonne4]]-TableChart4[[#This Row],[Colonne5]])+POWER(300000,2)/2/(TableChart4[[#This Row],[Colonne4]]-TableChart4[[#This Row],[Colonne6]]))/2*0.00001,""))</f>
        <v/>
      </c>
    </row>
    <row r="103" spans="14:14" x14ac:dyDescent="0.25">
      <c r="N103" t="str">
        <f>IF(TableChart4[[#This Row],[Colonne4]]="","",IFERROR((POWER(200000,2)/2/(TableChart4[[#This Row],[Colonne4]]-TableChart4[[#This Row],[Colonne5]])+POWER(300000,2)/2/(TableChart4[[#This Row],[Colonne4]]-TableChart4[[#This Row],[Colonne6]]))/2*0.00001,""))</f>
        <v/>
      </c>
    </row>
    <row r="104" spans="14:14" x14ac:dyDescent="0.25">
      <c r="N104" t="str">
        <f>IF(TableChart4[[#This Row],[Colonne4]]="","",IFERROR((POWER(200000,2)/2/(TableChart4[[#This Row],[Colonne4]]-TableChart4[[#This Row],[Colonne5]])+POWER(300000,2)/2/(TableChart4[[#This Row],[Colonne4]]-TableChart4[[#This Row],[Colonne6]]))/2*0.00001,""))</f>
        <v/>
      </c>
    </row>
    <row r="105" spans="14:14" x14ac:dyDescent="0.25">
      <c r="N105" t="str">
        <f>IF(TableChart4[[#This Row],[Colonne4]]="","",IFERROR((POWER(200000,2)/2/(TableChart4[[#This Row],[Colonne4]]-TableChart4[[#This Row],[Colonne5]])+POWER(300000,2)/2/(TableChart4[[#This Row],[Colonne4]]-TableChart4[[#This Row],[Colonne6]]))/2*0.00001,""))</f>
        <v/>
      </c>
    </row>
    <row r="106" spans="14:14" x14ac:dyDescent="0.25">
      <c r="N106" t="str">
        <f>IF(TableChart4[[#This Row],[Colonne4]]="","",IFERROR((POWER(200000,2)/2/(TableChart4[[#This Row],[Colonne4]]-TableChart4[[#This Row],[Colonne5]])+POWER(300000,2)/2/(TableChart4[[#This Row],[Colonne4]]-TableChart4[[#This Row],[Colonne6]]))/2*0.00001,""))</f>
        <v/>
      </c>
    </row>
    <row r="107" spans="14:14" x14ac:dyDescent="0.25">
      <c r="N107" t="str">
        <f>IF(TableChart4[[#This Row],[Colonne4]]="","",IFERROR((POWER(200000,2)/2/(TableChart4[[#This Row],[Colonne4]]-TableChart4[[#This Row],[Colonne5]])+POWER(300000,2)/2/(TableChart4[[#This Row],[Colonne4]]-TableChart4[[#This Row],[Colonne6]]))/2*0.00001,""))</f>
        <v/>
      </c>
    </row>
    <row r="108" spans="14:14" x14ac:dyDescent="0.25">
      <c r="N108" t="str">
        <f>IF(TableChart4[[#This Row],[Colonne4]]="","",IFERROR((POWER(200000,2)/2/(TableChart4[[#This Row],[Colonne4]]-TableChart4[[#This Row],[Colonne5]])+POWER(300000,2)/2/(TableChart4[[#This Row],[Colonne4]]-TableChart4[[#This Row],[Colonne6]]))/2*0.00001,""))</f>
        <v/>
      </c>
    </row>
    <row r="109" spans="14:14" x14ac:dyDescent="0.25">
      <c r="N109" t="str">
        <f>IF(TableChart4[[#This Row],[Colonne4]]="","",IFERROR((POWER(200000,2)/2/(TableChart4[[#This Row],[Colonne4]]-TableChart4[[#This Row],[Colonne5]])+POWER(300000,2)/2/(TableChart4[[#This Row],[Colonne4]]-TableChart4[[#This Row],[Colonne6]]))/2*0.00001,""))</f>
        <v/>
      </c>
    </row>
    <row r="110" spans="14:14" x14ac:dyDescent="0.25">
      <c r="N110" t="str">
        <f>IF(TableChart4[[#This Row],[Colonne4]]="","",IFERROR((POWER(200000,2)/2/(TableChart4[[#This Row],[Colonne4]]-TableChart4[[#This Row],[Colonne5]])+POWER(300000,2)/2/(TableChart4[[#This Row],[Colonne4]]-TableChart4[[#This Row],[Colonne6]]))/2*0.00001,""))</f>
        <v/>
      </c>
    </row>
    <row r="111" spans="14:14" x14ac:dyDescent="0.25">
      <c r="N111" t="str">
        <f>IF(TableChart4[[#This Row],[Colonne4]]="","",IFERROR((POWER(200000,2)/2/(TableChart4[[#This Row],[Colonne4]]-TableChart4[[#This Row],[Colonne5]])+POWER(300000,2)/2/(TableChart4[[#This Row],[Colonne4]]-TableChart4[[#This Row],[Colonne6]]))/2*0.00001,""))</f>
        <v/>
      </c>
    </row>
    <row r="112" spans="14:14" x14ac:dyDescent="0.25">
      <c r="N112" t="str">
        <f>IF(TableChart4[[#This Row],[Colonne4]]="","",IFERROR((POWER(200000,2)/2/(TableChart4[[#This Row],[Colonne4]]-TableChart4[[#This Row],[Colonne5]])+POWER(300000,2)/2/(TableChart4[[#This Row],[Colonne4]]-TableChart4[[#This Row],[Colonne6]]))/2*0.00001,""))</f>
        <v/>
      </c>
    </row>
    <row r="113" spans="14:14" x14ac:dyDescent="0.25">
      <c r="N113" t="str">
        <f>IF(TableChart4[[#This Row],[Colonne4]]="","",IFERROR((POWER(200000,2)/2/(TableChart4[[#This Row],[Colonne4]]-TableChart4[[#This Row],[Colonne5]])+POWER(300000,2)/2/(TableChart4[[#This Row],[Colonne4]]-TableChart4[[#This Row],[Colonne6]]))/2*0.00001,""))</f>
        <v/>
      </c>
    </row>
    <row r="114" spans="14:14" x14ac:dyDescent="0.25">
      <c r="N114" t="str">
        <f>IF(TableChart4[[#This Row],[Colonne4]]="","",IFERROR((POWER(200000,2)/2/(TableChart4[[#This Row],[Colonne4]]-TableChart4[[#This Row],[Colonne5]])+POWER(300000,2)/2/(TableChart4[[#This Row],[Colonne4]]-TableChart4[[#This Row],[Colonne6]]))/2*0.00001,""))</f>
        <v/>
      </c>
    </row>
    <row r="115" spans="14:14" x14ac:dyDescent="0.25">
      <c r="N115" t="str">
        <f>IF(TableChart4[[#This Row],[Colonne4]]="","",IFERROR((POWER(200000,2)/2/(TableChart4[[#This Row],[Colonne4]]-TableChart4[[#This Row],[Colonne5]])+POWER(300000,2)/2/(TableChart4[[#This Row],[Colonne4]]-TableChart4[[#This Row],[Colonne6]]))/2*0.00001,""))</f>
        <v/>
      </c>
    </row>
    <row r="116" spans="14:14" x14ac:dyDescent="0.25">
      <c r="N116" t="str">
        <f>IF(TableChart4[[#This Row],[Colonne4]]="","",IFERROR((POWER(200000,2)/2/(TableChart4[[#This Row],[Colonne4]]-TableChart4[[#This Row],[Colonne5]])+POWER(300000,2)/2/(TableChart4[[#This Row],[Colonne4]]-TableChart4[[#This Row],[Colonne6]]))/2*0.00001,""))</f>
        <v/>
      </c>
    </row>
    <row r="117" spans="14:14" x14ac:dyDescent="0.25">
      <c r="N117" t="str">
        <f>IF(TableChart4[[#This Row],[Colonne4]]="","",IFERROR((POWER(200000,2)/2/(TableChart4[[#This Row],[Colonne4]]-TableChart4[[#This Row],[Colonne5]])+POWER(300000,2)/2/(TableChart4[[#This Row],[Colonne4]]-TableChart4[[#This Row],[Colonne6]]))/2*0.00001,""))</f>
        <v/>
      </c>
    </row>
    <row r="118" spans="14:14" x14ac:dyDescent="0.25">
      <c r="N118" t="str">
        <f>IF(TableChart4[[#This Row],[Colonne4]]="","",IFERROR((POWER(200000,2)/2/(TableChart4[[#This Row],[Colonne4]]-TableChart4[[#This Row],[Colonne5]])+POWER(300000,2)/2/(TableChart4[[#This Row],[Colonne4]]-TableChart4[[#This Row],[Colonne6]]))/2*0.00001,""))</f>
        <v/>
      </c>
    </row>
    <row r="119" spans="14:14" x14ac:dyDescent="0.25">
      <c r="N119" t="str">
        <f>IF(TableChart4[[#This Row],[Colonne4]]="","",IFERROR((POWER(200000,2)/2/(TableChart4[[#This Row],[Colonne4]]-TableChart4[[#This Row],[Colonne5]])+POWER(300000,2)/2/(TableChart4[[#This Row],[Colonne4]]-TableChart4[[#This Row],[Colonne6]]))/2*0.00001,""))</f>
        <v/>
      </c>
    </row>
    <row r="120" spans="14:14" x14ac:dyDescent="0.25">
      <c r="N120" t="str">
        <f>IF(TableChart4[[#This Row],[Colonne4]]="","",IFERROR((POWER(200000,2)/2/(TableChart4[[#This Row],[Colonne4]]-TableChart4[[#This Row],[Colonne5]])+POWER(300000,2)/2/(TableChart4[[#This Row],[Colonne4]]-TableChart4[[#This Row],[Colonne6]]))/2*0.00001,""))</f>
        <v/>
      </c>
    </row>
    <row r="121" spans="14:14" x14ac:dyDescent="0.25">
      <c r="N121" t="str">
        <f>IF(TableChart4[[#This Row],[Colonne4]]="","",IFERROR((POWER(200000,2)/2/(TableChart4[[#This Row],[Colonne4]]-TableChart4[[#This Row],[Colonne5]])+POWER(300000,2)/2/(TableChart4[[#This Row],[Colonne4]]-TableChart4[[#This Row],[Colonne6]]))/2*0.00001,""))</f>
        <v/>
      </c>
    </row>
    <row r="122" spans="14:14" x14ac:dyDescent="0.25">
      <c r="N122" t="str">
        <f>IF(TableChart4[[#This Row],[Colonne4]]="","",IFERROR((POWER(200000,2)/2/(TableChart4[[#This Row],[Colonne4]]-TableChart4[[#This Row],[Colonne5]])+POWER(300000,2)/2/(TableChart4[[#This Row],[Colonne4]]-TableChart4[[#This Row],[Colonne6]]))/2*0.00001,""))</f>
        <v/>
      </c>
    </row>
    <row r="123" spans="14:14" x14ac:dyDescent="0.25">
      <c r="N123" t="str">
        <f>IF(TableChart4[[#This Row],[Colonne4]]="","",IFERROR((POWER(200000,2)/2/(TableChart4[[#This Row],[Colonne4]]-TableChart4[[#This Row],[Colonne5]])+POWER(300000,2)/2/(TableChart4[[#This Row],[Colonne4]]-TableChart4[[#This Row],[Colonne6]]))/2*0.00001,""))</f>
        <v/>
      </c>
    </row>
    <row r="124" spans="14:14" x14ac:dyDescent="0.25">
      <c r="N124" t="str">
        <f>IF(TableChart4[[#This Row],[Colonne4]]="","",IFERROR((POWER(200000,2)/2/(TableChart4[[#This Row],[Colonne4]]-TableChart4[[#This Row],[Colonne5]])+POWER(300000,2)/2/(TableChart4[[#This Row],[Colonne4]]-TableChart4[[#This Row],[Colonne6]]))/2*0.00001,""))</f>
        <v/>
      </c>
    </row>
    <row r="125" spans="14:14" x14ac:dyDescent="0.25">
      <c r="N125" t="str">
        <f>IF(TableChart4[[#This Row],[Colonne4]]="","",IFERROR((POWER(200000,2)/2/(TableChart4[[#This Row],[Colonne4]]-TableChart4[[#This Row],[Colonne5]])+POWER(300000,2)/2/(TableChart4[[#This Row],[Colonne4]]-TableChart4[[#This Row],[Colonne6]]))/2*0.00001,""))</f>
        <v/>
      </c>
    </row>
    <row r="126" spans="14:14" x14ac:dyDescent="0.25">
      <c r="N126" t="str">
        <f>IF(TableChart4[[#This Row],[Colonne4]]="","",IFERROR((POWER(200000,2)/2/(TableChart4[[#This Row],[Colonne4]]-TableChart4[[#This Row],[Colonne5]])+POWER(300000,2)/2/(TableChart4[[#This Row],[Colonne4]]-TableChart4[[#This Row],[Colonne6]]))/2*0.00001,""))</f>
        <v/>
      </c>
    </row>
    <row r="127" spans="14:14" x14ac:dyDescent="0.25">
      <c r="N127" t="str">
        <f>IF(TableChart4[[#This Row],[Colonne4]]="","",IFERROR((POWER(200000,2)/2/(TableChart4[[#This Row],[Colonne4]]-TableChart4[[#This Row],[Colonne5]])+POWER(300000,2)/2/(TableChart4[[#This Row],[Colonne4]]-TableChart4[[#This Row],[Colonne6]]))/2*0.00001,""))</f>
        <v/>
      </c>
    </row>
    <row r="128" spans="14:14" x14ac:dyDescent="0.25">
      <c r="N128" t="str">
        <f>IF(TableChart4[[#This Row],[Colonne4]]="","",IFERROR((POWER(200000,2)/2/(TableChart4[[#This Row],[Colonne4]]-TableChart4[[#This Row],[Colonne5]])+POWER(300000,2)/2/(TableChart4[[#This Row],[Colonne4]]-TableChart4[[#This Row],[Colonne6]]))/2*0.00001,""))</f>
        <v/>
      </c>
    </row>
    <row r="129" spans="14:14" x14ac:dyDescent="0.25">
      <c r="N129" t="str">
        <f>IF(TableChart4[[#This Row],[Colonne4]]="","",IFERROR((POWER(200000,2)/2/(TableChart4[[#This Row],[Colonne4]]-TableChart4[[#This Row],[Colonne5]])+POWER(300000,2)/2/(TableChart4[[#This Row],[Colonne4]]-TableChart4[[#This Row],[Colonne6]]))/2*0.00001,""))</f>
        <v/>
      </c>
    </row>
    <row r="130" spans="14:14" x14ac:dyDescent="0.25">
      <c r="N130" t="str">
        <f>IF(TableChart4[[#This Row],[Colonne4]]="","",IFERROR((POWER(200000,2)/2/(TableChart4[[#This Row],[Colonne4]]-TableChart4[[#This Row],[Colonne5]])+POWER(300000,2)/2/(TableChart4[[#This Row],[Colonne4]]-TableChart4[[#This Row],[Colonne6]]))/2*0.00001,""))</f>
        <v/>
      </c>
    </row>
    <row r="131" spans="14:14" x14ac:dyDescent="0.25">
      <c r="N131" t="str">
        <f>IF(TableChart4[[#This Row],[Colonne4]]="","",IFERROR((POWER(200000,2)/2/(TableChart4[[#This Row],[Colonne4]]-TableChart4[[#This Row],[Colonne5]])+POWER(300000,2)/2/(TableChart4[[#This Row],[Colonne4]]-TableChart4[[#This Row],[Colonne6]]))/2*0.00001,""))</f>
        <v/>
      </c>
    </row>
    <row r="132" spans="14:14" x14ac:dyDescent="0.25">
      <c r="N132" t="str">
        <f>IF(TableChart4[[#This Row],[Colonne4]]="","",IFERROR((POWER(200000,2)/2/(TableChart4[[#This Row],[Colonne4]]-TableChart4[[#This Row],[Colonne5]])+POWER(300000,2)/2/(TableChart4[[#This Row],[Colonne4]]-TableChart4[[#This Row],[Colonne6]]))/2*0.00001,""))</f>
        <v/>
      </c>
    </row>
    <row r="133" spans="14:14" x14ac:dyDescent="0.25">
      <c r="N133" t="str">
        <f>IF(TableChart4[[#This Row],[Colonne4]]="","",IFERROR((POWER(200000,2)/2/(TableChart4[[#This Row],[Colonne4]]-TableChart4[[#This Row],[Colonne5]])+POWER(300000,2)/2/(TableChart4[[#This Row],[Colonne4]]-TableChart4[[#This Row],[Colonne6]]))/2*0.00001,""))</f>
        <v/>
      </c>
    </row>
    <row r="134" spans="14:14" x14ac:dyDescent="0.25">
      <c r="N134" t="str">
        <f>IF(TableChart4[[#This Row],[Colonne4]]="","",IFERROR((POWER(200000,2)/2/(TableChart4[[#This Row],[Colonne4]]-TableChart4[[#This Row],[Colonne5]])+POWER(300000,2)/2/(TableChart4[[#This Row],[Colonne4]]-TableChart4[[#This Row],[Colonne6]]))/2*0.00001,""))</f>
        <v/>
      </c>
    </row>
    <row r="135" spans="14:14" x14ac:dyDescent="0.25">
      <c r="N135" t="str">
        <f>IF(TableChart4[[#This Row],[Colonne4]]="","",IFERROR((POWER(200000,2)/2/(TableChart4[[#This Row],[Colonne4]]-TableChart4[[#This Row],[Colonne5]])+POWER(300000,2)/2/(TableChart4[[#This Row],[Colonne4]]-TableChart4[[#This Row],[Colonne6]]))/2*0.00001,""))</f>
        <v/>
      </c>
    </row>
    <row r="136" spans="14:14" x14ac:dyDescent="0.25">
      <c r="N136" t="str">
        <f>IF(TableChart4[[#This Row],[Colonne4]]="","",IFERROR((POWER(200000,2)/2/(TableChart4[[#This Row],[Colonne4]]-TableChart4[[#This Row],[Colonne5]])+POWER(300000,2)/2/(TableChart4[[#This Row],[Colonne4]]-TableChart4[[#This Row],[Colonne6]]))/2*0.00001,""))</f>
        <v/>
      </c>
    </row>
    <row r="137" spans="14:14" x14ac:dyDescent="0.25">
      <c r="N137" t="str">
        <f>IF(TableChart4[[#This Row],[Colonne4]]="","",IFERROR((POWER(200000,2)/2/(TableChart4[[#This Row],[Colonne4]]-TableChart4[[#This Row],[Colonne5]])+POWER(300000,2)/2/(TableChart4[[#This Row],[Colonne4]]-TableChart4[[#This Row],[Colonne6]]))/2*0.00001,""))</f>
        <v/>
      </c>
    </row>
    <row r="138" spans="14:14" x14ac:dyDescent="0.25">
      <c r="N138" t="str">
        <f>IF(TableChart4[[#This Row],[Colonne4]]="","",IFERROR((POWER(200000,2)/2/(TableChart4[[#This Row],[Colonne4]]-TableChart4[[#This Row],[Colonne5]])+POWER(300000,2)/2/(TableChart4[[#This Row],[Colonne4]]-TableChart4[[#This Row],[Colonne6]]))/2*0.00001,""))</f>
        <v/>
      </c>
    </row>
    <row r="139" spans="14:14" x14ac:dyDescent="0.25">
      <c r="N139" t="str">
        <f>IF(TableChart4[[#This Row],[Colonne4]]="","",IFERROR((POWER(200000,2)/2/(TableChart4[[#This Row],[Colonne4]]-TableChart4[[#This Row],[Colonne5]])+POWER(300000,2)/2/(TableChart4[[#This Row],[Colonne4]]-TableChart4[[#This Row],[Colonne6]]))/2*0.00001,""))</f>
        <v/>
      </c>
    </row>
    <row r="140" spans="14:14" x14ac:dyDescent="0.25">
      <c r="N140" t="str">
        <f>IF(TableChart4[[#This Row],[Colonne4]]="","",IFERROR((POWER(200000,2)/2/(TableChart4[[#This Row],[Colonne4]]-TableChart4[[#This Row],[Colonne5]])+POWER(300000,2)/2/(TableChart4[[#This Row],[Colonne4]]-TableChart4[[#This Row],[Colonne6]]))/2*0.00001,""))</f>
        <v/>
      </c>
    </row>
    <row r="141" spans="14:14" x14ac:dyDescent="0.25">
      <c r="N141" t="str">
        <f>IF(TableChart4[[#This Row],[Colonne4]]="","",IFERROR((POWER(200000,2)/2/(TableChart4[[#This Row],[Colonne4]]-TableChart4[[#This Row],[Colonne5]])+POWER(300000,2)/2/(TableChart4[[#This Row],[Colonne4]]-TableChart4[[#This Row],[Colonne6]]))/2*0.00001,""))</f>
        <v/>
      </c>
    </row>
    <row r="142" spans="14:14" x14ac:dyDescent="0.25">
      <c r="N142" t="str">
        <f>IF(TableChart4[[#This Row],[Colonne4]]="","",IFERROR((POWER(200000,2)/2/(TableChart4[[#This Row],[Colonne4]]-TableChart4[[#This Row],[Colonne5]])+POWER(300000,2)/2/(TableChart4[[#This Row],[Colonne4]]-TableChart4[[#This Row],[Colonne6]]))/2*0.00001,""))</f>
        <v/>
      </c>
    </row>
    <row r="143" spans="14:14" x14ac:dyDescent="0.25">
      <c r="N143" t="str">
        <f>IF(TableChart4[[#This Row],[Colonne4]]="","",IFERROR((POWER(200000,2)/2/(TableChart4[[#This Row],[Colonne4]]-TableChart4[[#This Row],[Colonne5]])+POWER(300000,2)/2/(TableChart4[[#This Row],[Colonne4]]-TableChart4[[#This Row],[Colonne6]]))/2*0.00001,""))</f>
        <v/>
      </c>
    </row>
    <row r="144" spans="14:14" x14ac:dyDescent="0.25">
      <c r="N144" t="str">
        <f>IF(TableChart4[[#This Row],[Colonne4]]="","",IFERROR((POWER(200000,2)/2/(TableChart4[[#This Row],[Colonne4]]-TableChart4[[#This Row],[Colonne5]])+POWER(300000,2)/2/(TableChart4[[#This Row],[Colonne4]]-TableChart4[[#This Row],[Colonne6]]))/2*0.00001,""))</f>
        <v/>
      </c>
    </row>
    <row r="145" spans="14:14" x14ac:dyDescent="0.25">
      <c r="N145" t="str">
        <f>IF(TableChart4[[#This Row],[Colonne4]]="","",IFERROR((POWER(200000,2)/2/(TableChart4[[#This Row],[Colonne4]]-TableChart4[[#This Row],[Colonne5]])+POWER(300000,2)/2/(TableChart4[[#This Row],[Colonne4]]-TableChart4[[#This Row],[Colonne6]]))/2*0.00001,""))</f>
        <v/>
      </c>
    </row>
    <row r="146" spans="14:14" x14ac:dyDescent="0.25">
      <c r="N146" t="str">
        <f>IF(TableChart4[[#This Row],[Colonne4]]="","",IFERROR((POWER(200000,2)/2/(TableChart4[[#This Row],[Colonne4]]-TableChart4[[#This Row],[Colonne5]])+POWER(300000,2)/2/(TableChart4[[#This Row],[Colonne4]]-TableChart4[[#This Row],[Colonne6]]))/2*0.00001,""))</f>
        <v/>
      </c>
    </row>
    <row r="147" spans="14:14" x14ac:dyDescent="0.25">
      <c r="N147" t="str">
        <f>IF(TableChart4[[#This Row],[Colonne4]]="","",IFERROR((POWER(200000,2)/2/(TableChart4[[#This Row],[Colonne4]]-TableChart4[[#This Row],[Colonne5]])+POWER(300000,2)/2/(TableChart4[[#This Row],[Colonne4]]-TableChart4[[#This Row],[Colonne6]]))/2*0.00001,""))</f>
        <v/>
      </c>
    </row>
    <row r="148" spans="14:14" x14ac:dyDescent="0.25">
      <c r="N148" t="str">
        <f>IF(TableChart4[[#This Row],[Colonne4]]="","",IFERROR((POWER(200000,2)/2/(TableChart4[[#This Row],[Colonne4]]-TableChart4[[#This Row],[Colonne5]])+POWER(300000,2)/2/(TableChart4[[#This Row],[Colonne4]]-TableChart4[[#This Row],[Colonne6]]))/2*0.00001,""))</f>
        <v/>
      </c>
    </row>
    <row r="149" spans="14:14" x14ac:dyDescent="0.25">
      <c r="N149" t="str">
        <f>IF(TableChart4[[#This Row],[Colonne4]]="","",IFERROR((POWER(200000,2)/2/(TableChart4[[#This Row],[Colonne4]]-TableChart4[[#This Row],[Colonne5]])+POWER(300000,2)/2/(TableChart4[[#This Row],[Colonne4]]-TableChart4[[#This Row],[Colonne6]]))/2*0.00001,""))</f>
        <v/>
      </c>
    </row>
    <row r="150" spans="14:14" x14ac:dyDescent="0.25">
      <c r="N150" t="str">
        <f>IF(TableChart4[[#This Row],[Colonne4]]="","",IFERROR((POWER(200000,2)/2/(TableChart4[[#This Row],[Colonne4]]-TableChart4[[#This Row],[Colonne5]])+POWER(300000,2)/2/(TableChart4[[#This Row],[Colonne4]]-TableChart4[[#This Row],[Colonne6]]))/2*0.00001,""))</f>
        <v/>
      </c>
    </row>
    <row r="151" spans="14:14" x14ac:dyDescent="0.25">
      <c r="N151" t="str">
        <f>IF(TableChart4[[#This Row],[Colonne4]]="","",IFERROR((POWER(200000,2)/2/(TableChart4[[#This Row],[Colonne4]]-TableChart4[[#This Row],[Colonne5]])+POWER(300000,2)/2/(TableChart4[[#This Row],[Colonne4]]-TableChart4[[#This Row],[Colonne6]]))/2*0.00001,""))</f>
        <v/>
      </c>
    </row>
    <row r="152" spans="14:14" x14ac:dyDescent="0.25">
      <c r="N152" t="str">
        <f>IF(TableChart4[[#This Row],[Colonne4]]="","",IFERROR((POWER(200000,2)/2/(TableChart4[[#This Row],[Colonne4]]-TableChart4[[#This Row],[Colonne5]])+POWER(300000,2)/2/(TableChart4[[#This Row],[Colonne4]]-TableChart4[[#This Row],[Colonne6]]))/2*0.00001,""))</f>
        <v/>
      </c>
    </row>
    <row r="153" spans="14:14" x14ac:dyDescent="0.25">
      <c r="N153" t="str">
        <f>IF(TableChart4[[#This Row],[Colonne4]]="","",IFERROR((POWER(200000,2)/2/(TableChart4[[#This Row],[Colonne4]]-TableChart4[[#This Row],[Colonne5]])+POWER(300000,2)/2/(TableChart4[[#This Row],[Colonne4]]-TableChart4[[#This Row],[Colonne6]]))/2*0.00001,""))</f>
        <v/>
      </c>
    </row>
    <row r="154" spans="14:14" x14ac:dyDescent="0.25">
      <c r="N154" t="str">
        <f>IF(TableChart4[[#This Row],[Colonne4]]="","",IFERROR((POWER(200000,2)/2/(TableChart4[[#This Row],[Colonne4]]-TableChart4[[#This Row],[Colonne5]])+POWER(300000,2)/2/(TableChart4[[#This Row],[Colonne4]]-TableChart4[[#This Row],[Colonne6]]))/2*0.00001,""))</f>
        <v/>
      </c>
    </row>
    <row r="155" spans="14:14" x14ac:dyDescent="0.25">
      <c r="N155" t="str">
        <f>IF(TableChart4[[#This Row],[Colonne4]]="","",IFERROR((POWER(200000,2)/2/(TableChart4[[#This Row],[Colonne4]]-TableChart4[[#This Row],[Colonne5]])+POWER(300000,2)/2/(TableChart4[[#This Row],[Colonne4]]-TableChart4[[#This Row],[Colonne6]]))/2*0.00001,""))</f>
        <v/>
      </c>
    </row>
    <row r="156" spans="14:14" x14ac:dyDescent="0.25">
      <c r="N156" t="str">
        <f>IF(TableChart4[[#This Row],[Colonne4]]="","",IFERROR((POWER(200000,2)/2/(TableChart4[[#This Row],[Colonne4]]-TableChart4[[#This Row],[Colonne5]])+POWER(300000,2)/2/(TableChart4[[#This Row],[Colonne4]]-TableChart4[[#This Row],[Colonne6]]))/2*0.00001,""))</f>
        <v/>
      </c>
    </row>
    <row r="157" spans="14:14" x14ac:dyDescent="0.25">
      <c r="N157" t="str">
        <f>IF(TableChart4[[#This Row],[Colonne4]]="","",IFERROR((POWER(200000,2)/2/(TableChart4[[#This Row],[Colonne4]]-TableChart4[[#This Row],[Colonne5]])+POWER(300000,2)/2/(TableChart4[[#This Row],[Colonne4]]-TableChart4[[#This Row],[Colonne6]]))/2*0.00001,""))</f>
        <v/>
      </c>
    </row>
    <row r="158" spans="14:14" x14ac:dyDescent="0.25">
      <c r="N158" t="str">
        <f>IF(TableChart4[[#This Row],[Colonne4]]="","",IFERROR((POWER(200000,2)/2/(TableChart4[[#This Row],[Colonne4]]-TableChart4[[#This Row],[Colonne5]])+POWER(300000,2)/2/(TableChart4[[#This Row],[Colonne4]]-TableChart4[[#This Row],[Colonne6]]))/2*0.00001,""))</f>
        <v/>
      </c>
    </row>
    <row r="159" spans="14:14" x14ac:dyDescent="0.25">
      <c r="N159" t="str">
        <f>IF(TableChart4[[#This Row],[Colonne4]]="","",IFERROR((POWER(200000,2)/2/(TableChart4[[#This Row],[Colonne4]]-TableChart4[[#This Row],[Colonne5]])+POWER(300000,2)/2/(TableChart4[[#This Row],[Colonne4]]-TableChart4[[#This Row],[Colonne6]]))/2*0.00001,""))</f>
        <v/>
      </c>
    </row>
    <row r="160" spans="14:14" x14ac:dyDescent="0.25">
      <c r="N160" t="str">
        <f>IF(TableChart4[[#This Row],[Colonne4]]="","",IFERROR((POWER(200000,2)/2/(TableChart4[[#This Row],[Colonne4]]-TableChart4[[#This Row],[Colonne5]])+POWER(300000,2)/2/(TableChart4[[#This Row],[Colonne4]]-TableChart4[[#This Row],[Colonne6]]))/2*0.00001,""))</f>
        <v/>
      </c>
    </row>
    <row r="161" spans="14:14" x14ac:dyDescent="0.25">
      <c r="N161" t="str">
        <f>IF(TableChart4[[#This Row],[Colonne4]]="","",IFERROR((POWER(200000,2)/2/(TableChart4[[#This Row],[Colonne4]]-TableChart4[[#This Row],[Colonne5]])+POWER(300000,2)/2/(TableChart4[[#This Row],[Colonne4]]-TableChart4[[#This Row],[Colonne6]]))/2*0.00001,""))</f>
        <v/>
      </c>
    </row>
    <row r="162" spans="14:14" x14ac:dyDescent="0.25">
      <c r="N162" t="str">
        <f>IF(TableChart4[[#This Row],[Colonne4]]="","",IFERROR((POWER(200000,2)/2/(TableChart4[[#This Row],[Colonne4]]-TableChart4[[#This Row],[Colonne5]])+POWER(300000,2)/2/(TableChart4[[#This Row],[Colonne4]]-TableChart4[[#This Row],[Colonne6]]))/2*0.00001,""))</f>
        <v/>
      </c>
    </row>
    <row r="163" spans="14:14" x14ac:dyDescent="0.25">
      <c r="N163" t="str">
        <f>IF(TableChart4[[#This Row],[Colonne4]]="","",IFERROR((POWER(200000,2)/2/(TableChart4[[#This Row],[Colonne4]]-TableChart4[[#This Row],[Colonne5]])+POWER(300000,2)/2/(TableChart4[[#This Row],[Colonne4]]-TableChart4[[#This Row],[Colonne6]]))/2*0.00001,""))</f>
        <v/>
      </c>
    </row>
    <row r="164" spans="14:14" x14ac:dyDescent="0.25">
      <c r="N164" t="str">
        <f>IF(TableChart4[[#This Row],[Colonne4]]="","",IFERROR((POWER(200000,2)/2/(TableChart4[[#This Row],[Colonne4]]-TableChart4[[#This Row],[Colonne5]])+POWER(300000,2)/2/(TableChart4[[#This Row],[Colonne4]]-TableChart4[[#This Row],[Colonne6]]))/2*0.00001,""))</f>
        <v/>
      </c>
    </row>
    <row r="165" spans="14:14" x14ac:dyDescent="0.25">
      <c r="N165" t="str">
        <f>IF(TableChart4[[#This Row],[Colonne4]]="","",IFERROR((POWER(200000,2)/2/(TableChart4[[#This Row],[Colonne4]]-TableChart4[[#This Row],[Colonne5]])+POWER(300000,2)/2/(TableChart4[[#This Row],[Colonne4]]-TableChart4[[#This Row],[Colonne6]]))/2*0.00001,""))</f>
        <v/>
      </c>
    </row>
    <row r="166" spans="14:14" x14ac:dyDescent="0.25">
      <c r="N166" t="str">
        <f>IF(TableChart4[[#This Row],[Colonne4]]="","",IFERROR((POWER(200000,2)/2/(TableChart4[[#This Row],[Colonne4]]-TableChart4[[#This Row],[Colonne5]])+POWER(300000,2)/2/(TableChart4[[#This Row],[Colonne4]]-TableChart4[[#This Row],[Colonne6]]))/2*0.00001,""))</f>
        <v/>
      </c>
    </row>
    <row r="167" spans="14:14" x14ac:dyDescent="0.25">
      <c r="N167" t="str">
        <f>IF(TableChart4[[#This Row],[Colonne4]]="","",IFERROR((POWER(200000,2)/2/(TableChart4[[#This Row],[Colonne4]]-TableChart4[[#This Row],[Colonne5]])+POWER(300000,2)/2/(TableChart4[[#This Row],[Colonne4]]-TableChart4[[#This Row],[Colonne6]]))/2*0.00001,""))</f>
        <v/>
      </c>
    </row>
    <row r="168" spans="14:14" x14ac:dyDescent="0.25">
      <c r="N168" t="str">
        <f>IF(TableChart4[[#This Row],[Colonne4]]="","",IFERROR((POWER(200000,2)/2/(TableChart4[[#This Row],[Colonne4]]-TableChart4[[#This Row],[Colonne5]])+POWER(300000,2)/2/(TableChart4[[#This Row],[Colonne4]]-TableChart4[[#This Row],[Colonne6]]))/2*0.00001,""))</f>
        <v/>
      </c>
    </row>
    <row r="169" spans="14:14" x14ac:dyDescent="0.25">
      <c r="N169" t="str">
        <f>IF(TableChart4[[#This Row],[Colonne4]]="","",IFERROR((POWER(200000,2)/2/(TableChart4[[#This Row],[Colonne4]]-TableChart4[[#This Row],[Colonne5]])+POWER(300000,2)/2/(TableChart4[[#This Row],[Colonne4]]-TableChart4[[#This Row],[Colonne6]]))/2*0.00001,""))</f>
        <v/>
      </c>
    </row>
    <row r="170" spans="14:14" x14ac:dyDescent="0.25">
      <c r="N170" t="str">
        <f>IF(TableChart4[[#This Row],[Colonne4]]="","",IFERROR((POWER(200000,2)/2/(TableChart4[[#This Row],[Colonne4]]-TableChart4[[#This Row],[Colonne5]])+POWER(300000,2)/2/(TableChart4[[#This Row],[Colonne4]]-TableChart4[[#This Row],[Colonne6]]))/2*0.00001,""))</f>
        <v/>
      </c>
    </row>
    <row r="171" spans="14:14" x14ac:dyDescent="0.25">
      <c r="N171" t="str">
        <f>IF(TableChart4[[#This Row],[Colonne4]]="","",IFERROR((POWER(200000,2)/2/(TableChart4[[#This Row],[Colonne4]]-TableChart4[[#This Row],[Colonne5]])+POWER(300000,2)/2/(TableChart4[[#This Row],[Colonne4]]-TableChart4[[#This Row],[Colonne6]]))/2*0.00001,""))</f>
        <v/>
      </c>
    </row>
    <row r="172" spans="14:14" x14ac:dyDescent="0.25">
      <c r="N172" t="str">
        <f>IF(TableChart4[[#This Row],[Colonne4]]="","",IFERROR((POWER(200000,2)/2/(TableChart4[[#This Row],[Colonne4]]-TableChart4[[#This Row],[Colonne5]])+POWER(300000,2)/2/(TableChart4[[#This Row],[Colonne4]]-TableChart4[[#This Row],[Colonne6]]))/2*0.00001,""))</f>
        <v/>
      </c>
    </row>
    <row r="173" spans="14:14" x14ac:dyDescent="0.25">
      <c r="N173" t="str">
        <f>IF(TableChart4[[#This Row],[Colonne4]]="","",IFERROR((POWER(200000,2)/2/(TableChart4[[#This Row],[Colonne4]]-TableChart4[[#This Row],[Colonne5]])+POWER(300000,2)/2/(TableChart4[[#This Row],[Colonne4]]-TableChart4[[#This Row],[Colonne6]]))/2*0.00001,""))</f>
        <v/>
      </c>
    </row>
    <row r="174" spans="14:14" x14ac:dyDescent="0.25">
      <c r="N174" t="str">
        <f>IF(TableChart4[[#This Row],[Colonne4]]="","",IFERROR((POWER(200000,2)/2/(TableChart4[[#This Row],[Colonne4]]-TableChart4[[#This Row],[Colonne5]])+POWER(300000,2)/2/(TableChart4[[#This Row],[Colonne4]]-TableChart4[[#This Row],[Colonne6]]))/2*0.00001,""))</f>
        <v/>
      </c>
    </row>
    <row r="175" spans="14:14" x14ac:dyDescent="0.25">
      <c r="N175" t="str">
        <f>IF(TableChart4[[#This Row],[Colonne4]]="","",IFERROR((POWER(200000,2)/2/(TableChart4[[#This Row],[Colonne4]]-TableChart4[[#This Row],[Colonne5]])+POWER(300000,2)/2/(TableChart4[[#This Row],[Colonne4]]-TableChart4[[#This Row],[Colonne6]]))/2*0.00001,""))</f>
        <v/>
      </c>
    </row>
    <row r="176" spans="14:14" x14ac:dyDescent="0.25">
      <c r="N176" t="str">
        <f>IF(TableChart4[[#This Row],[Colonne4]]="","",IFERROR((POWER(200000,2)/2/(TableChart4[[#This Row],[Colonne4]]-TableChart4[[#This Row],[Colonne5]])+POWER(300000,2)/2/(TableChart4[[#This Row],[Colonne4]]-TableChart4[[#This Row],[Colonne6]]))/2*0.00001,""))</f>
        <v/>
      </c>
    </row>
    <row r="177" spans="14:14" x14ac:dyDescent="0.25">
      <c r="N177" t="str">
        <f>IF(TableChart4[[#This Row],[Colonne4]]="","",IFERROR((POWER(200000,2)/2/(TableChart4[[#This Row],[Colonne4]]-TableChart4[[#This Row],[Colonne5]])+POWER(300000,2)/2/(TableChart4[[#This Row],[Colonne4]]-TableChart4[[#This Row],[Colonne6]]))/2*0.00001,""))</f>
        <v/>
      </c>
    </row>
    <row r="178" spans="14:14" x14ac:dyDescent="0.25">
      <c r="N178" t="str">
        <f>IF(TableChart4[[#This Row],[Colonne4]]="","",IFERROR((POWER(200000,2)/2/(TableChart4[[#This Row],[Colonne4]]-TableChart4[[#This Row],[Colonne5]])+POWER(300000,2)/2/(TableChart4[[#This Row],[Colonne4]]-TableChart4[[#This Row],[Colonne6]]))/2*0.00001,""))</f>
        <v/>
      </c>
    </row>
    <row r="179" spans="14:14" x14ac:dyDescent="0.25">
      <c r="N179" t="str">
        <f>IF(TableChart4[[#This Row],[Colonne4]]="","",IFERROR((POWER(200000,2)/2/(TableChart4[[#This Row],[Colonne4]]-TableChart4[[#This Row],[Colonne5]])+POWER(300000,2)/2/(TableChart4[[#This Row],[Colonne4]]-TableChart4[[#This Row],[Colonne6]]))/2*0.00001,""))</f>
        <v/>
      </c>
    </row>
    <row r="180" spans="14:14" x14ac:dyDescent="0.25">
      <c r="N180" t="str">
        <f>IF(TableChart4[[#This Row],[Colonne4]]="","",IFERROR((POWER(200000,2)/2/(TableChart4[[#This Row],[Colonne4]]-TableChart4[[#This Row],[Colonne5]])+POWER(300000,2)/2/(TableChart4[[#This Row],[Colonne4]]-TableChart4[[#This Row],[Colonne6]]))/2*0.00001,""))</f>
        <v/>
      </c>
    </row>
    <row r="181" spans="14:14" x14ac:dyDescent="0.25">
      <c r="N181" t="str">
        <f>IF(TableChart4[[#This Row],[Colonne4]]="","",IFERROR((POWER(200000,2)/2/(TableChart4[[#This Row],[Colonne4]]-TableChart4[[#This Row],[Colonne5]])+POWER(300000,2)/2/(TableChart4[[#This Row],[Colonne4]]-TableChart4[[#This Row],[Colonne6]]))/2*0.00001,""))</f>
        <v/>
      </c>
    </row>
    <row r="182" spans="14:14" x14ac:dyDescent="0.25">
      <c r="N182" t="str">
        <f>IF(TableChart4[[#This Row],[Colonne4]]="","",IFERROR((POWER(200000,2)/2/(TableChart4[[#This Row],[Colonne4]]-TableChart4[[#This Row],[Colonne5]])+POWER(300000,2)/2/(TableChart4[[#This Row],[Colonne4]]-TableChart4[[#This Row],[Colonne6]]))/2*0.00001,""))</f>
        <v/>
      </c>
    </row>
    <row r="183" spans="14:14" x14ac:dyDescent="0.25">
      <c r="N183" t="str">
        <f>IF(TableChart4[[#This Row],[Colonne4]]="","",IFERROR((POWER(200000,2)/2/(TableChart4[[#This Row],[Colonne4]]-TableChart4[[#This Row],[Colonne5]])+POWER(300000,2)/2/(TableChart4[[#This Row],[Colonne4]]-TableChart4[[#This Row],[Colonne6]]))/2*0.00001,""))</f>
        <v/>
      </c>
    </row>
    <row r="184" spans="14:14" x14ac:dyDescent="0.25">
      <c r="N184" t="str">
        <f>IF(TableChart4[[#This Row],[Colonne4]]="","",IFERROR((POWER(200000,2)/2/(TableChart4[[#This Row],[Colonne4]]-TableChart4[[#This Row],[Colonne5]])+POWER(300000,2)/2/(TableChart4[[#This Row],[Colonne4]]-TableChart4[[#This Row],[Colonne6]]))/2*0.00001,""))</f>
        <v/>
      </c>
    </row>
    <row r="185" spans="14:14" x14ac:dyDescent="0.25">
      <c r="N185" t="str">
        <f>IF(TableChart4[[#This Row],[Colonne4]]="","",IFERROR((POWER(200000,2)/2/(TableChart4[[#This Row],[Colonne4]]-TableChart4[[#This Row],[Colonne5]])+POWER(300000,2)/2/(TableChart4[[#This Row],[Colonne4]]-TableChart4[[#This Row],[Colonne6]]))/2*0.00001,""))</f>
        <v/>
      </c>
    </row>
    <row r="186" spans="14:14" x14ac:dyDescent="0.25">
      <c r="N186" t="str">
        <f>IF(TableChart4[[#This Row],[Colonne4]]="","",IFERROR((POWER(200000,2)/2/(TableChart4[[#This Row],[Colonne4]]-TableChart4[[#This Row],[Colonne5]])+POWER(300000,2)/2/(TableChart4[[#This Row],[Colonne4]]-TableChart4[[#This Row],[Colonne6]]))/2*0.00001,""))</f>
        <v/>
      </c>
    </row>
    <row r="187" spans="14:14" x14ac:dyDescent="0.25">
      <c r="N187" t="str">
        <f>IF(TableChart4[[#This Row],[Colonne4]]="","",IFERROR((POWER(200000,2)/2/(TableChart4[[#This Row],[Colonne4]]-TableChart4[[#This Row],[Colonne5]])+POWER(300000,2)/2/(TableChart4[[#This Row],[Colonne4]]-TableChart4[[#This Row],[Colonne6]]))/2*0.00001,""))</f>
        <v/>
      </c>
    </row>
    <row r="188" spans="14:14" x14ac:dyDescent="0.25">
      <c r="N188" t="str">
        <f>IF(TableChart4[[#This Row],[Colonne4]]="","",IFERROR((POWER(200000,2)/2/(TableChart4[[#This Row],[Colonne4]]-TableChart4[[#This Row],[Colonne5]])+POWER(300000,2)/2/(TableChart4[[#This Row],[Colonne4]]-TableChart4[[#This Row],[Colonne6]]))/2*0.00001,""))</f>
        <v/>
      </c>
    </row>
    <row r="189" spans="14:14" x14ac:dyDescent="0.25">
      <c r="N189" t="str">
        <f>IF(TableChart4[[#This Row],[Colonne4]]="","",IFERROR((POWER(200000,2)/2/(TableChart4[[#This Row],[Colonne4]]-TableChart4[[#This Row],[Colonne5]])+POWER(300000,2)/2/(TableChart4[[#This Row],[Colonne4]]-TableChart4[[#This Row],[Colonne6]]))/2*0.00001,""))</f>
        <v/>
      </c>
    </row>
    <row r="190" spans="14:14" x14ac:dyDescent="0.25">
      <c r="N190" t="str">
        <f>IF(TableChart4[[#This Row],[Colonne4]]="","",IFERROR((POWER(200000,2)/2/(TableChart4[[#This Row],[Colonne4]]-TableChart4[[#This Row],[Colonne5]])+POWER(300000,2)/2/(TableChart4[[#This Row],[Colonne4]]-TableChart4[[#This Row],[Colonne6]]))/2*0.00001,""))</f>
        <v/>
      </c>
    </row>
    <row r="191" spans="14:14" x14ac:dyDescent="0.25">
      <c r="N191" t="str">
        <f>IF(TableChart4[[#This Row],[Colonne4]]="","",IFERROR((POWER(200000,2)/2/(TableChart4[[#This Row],[Colonne4]]-TableChart4[[#This Row],[Colonne5]])+POWER(300000,2)/2/(TableChart4[[#This Row],[Colonne4]]-TableChart4[[#This Row],[Colonne6]]))/2*0.00001,""))</f>
        <v/>
      </c>
    </row>
    <row r="192" spans="14:14" x14ac:dyDescent="0.25">
      <c r="N192" t="str">
        <f>IF(TableChart4[[#This Row],[Colonne4]]="","",IFERROR((POWER(200000,2)/2/(TableChart4[[#This Row],[Colonne4]]-TableChart4[[#This Row],[Colonne5]])+POWER(300000,2)/2/(TableChart4[[#This Row],[Colonne4]]-TableChart4[[#This Row],[Colonne6]]))/2*0.00001,""))</f>
        <v/>
      </c>
    </row>
    <row r="193" spans="14:14" x14ac:dyDescent="0.25">
      <c r="N193" t="str">
        <f>IF(TableChart4[[#This Row],[Colonne4]]="","",IFERROR((POWER(200000,2)/2/(TableChart4[[#This Row],[Colonne4]]-TableChart4[[#This Row],[Colonne5]])+POWER(300000,2)/2/(TableChart4[[#This Row],[Colonne4]]-TableChart4[[#This Row],[Colonne6]]))/2*0.00001,""))</f>
        <v/>
      </c>
    </row>
    <row r="194" spans="14:14" x14ac:dyDescent="0.25">
      <c r="N194" t="str">
        <f>IF(TableChart4[[#This Row],[Colonne4]]="","",IFERROR((POWER(200000,2)/2/(TableChart4[[#This Row],[Colonne4]]-TableChart4[[#This Row],[Colonne5]])+POWER(300000,2)/2/(TableChart4[[#This Row],[Colonne4]]-TableChart4[[#This Row],[Colonne6]]))/2*0.00001,""))</f>
        <v/>
      </c>
    </row>
    <row r="195" spans="14:14" x14ac:dyDescent="0.25">
      <c r="N195" t="str">
        <f>IF(TableChart4[[#This Row],[Colonne4]]="","",IFERROR((POWER(200000,2)/2/(TableChart4[[#This Row],[Colonne4]]-TableChart4[[#This Row],[Colonne5]])+POWER(300000,2)/2/(TableChart4[[#This Row],[Colonne4]]-TableChart4[[#This Row],[Colonne6]]))/2*0.00001,""))</f>
        <v/>
      </c>
    </row>
    <row r="196" spans="14:14" x14ac:dyDescent="0.25">
      <c r="N196" t="str">
        <f>IF(TableChart4[[#This Row],[Colonne4]]="","",IFERROR((POWER(200000,2)/2/(TableChart4[[#This Row],[Colonne4]]-TableChart4[[#This Row],[Colonne5]])+POWER(300000,2)/2/(TableChart4[[#This Row],[Colonne4]]-TableChart4[[#This Row],[Colonne6]]))/2*0.00001,""))</f>
        <v/>
      </c>
    </row>
    <row r="197" spans="14:14" x14ac:dyDescent="0.25">
      <c r="N197" t="str">
        <f>IF(TableChart4[[#This Row],[Colonne4]]="","",IFERROR((POWER(200000,2)/2/(TableChart4[[#This Row],[Colonne4]]-TableChart4[[#This Row],[Colonne5]])+POWER(300000,2)/2/(TableChart4[[#This Row],[Colonne4]]-TableChart4[[#This Row],[Colonne6]]))/2*0.00001,""))</f>
        <v/>
      </c>
    </row>
    <row r="198" spans="14:14" x14ac:dyDescent="0.25">
      <c r="N198" t="str">
        <f>IF(TableChart4[[#This Row],[Colonne4]]="","",IFERROR((POWER(200000,2)/2/(TableChart4[[#This Row],[Colonne4]]-TableChart4[[#This Row],[Colonne5]])+POWER(300000,2)/2/(TableChart4[[#This Row],[Colonne4]]-TableChart4[[#This Row],[Colonne6]]))/2*0.00001,""))</f>
        <v/>
      </c>
    </row>
    <row r="199" spans="14:14" x14ac:dyDescent="0.25">
      <c r="N199" t="str">
        <f>IF(TableChart4[[#This Row],[Colonne4]]="","",IFERROR((POWER(200000,2)/2/(TableChart4[[#This Row],[Colonne4]]-TableChart4[[#This Row],[Colonne5]])+POWER(300000,2)/2/(TableChart4[[#This Row],[Colonne4]]-TableChart4[[#This Row],[Colonne6]]))/2*0.00001,""))</f>
        <v/>
      </c>
    </row>
    <row r="200" spans="14:14" x14ac:dyDescent="0.25">
      <c r="N200" t="str">
        <f>IF(TableChart4[[#This Row],[Colonne4]]="","",IFERROR((POWER(200000,2)/2/(TableChart4[[#This Row],[Colonne4]]-TableChart4[[#This Row],[Colonne5]])+POWER(300000,2)/2/(TableChart4[[#This Row],[Colonne4]]-TableChart4[[#This Row],[Colonne6]]))/2*0.00001,""))</f>
        <v/>
      </c>
    </row>
    <row r="201" spans="14:14" x14ac:dyDescent="0.25">
      <c r="N201" t="str">
        <f>IF(TableChart4[[#This Row],[Colonne4]]="","",IFERROR((POWER(200000,2)/2/(TableChart4[[#This Row],[Colonne4]]-TableChart4[[#This Row],[Colonne5]])+POWER(300000,2)/2/(TableChart4[[#This Row],[Colonne4]]-TableChart4[[#This Row],[Colonne6]]))/2*0.00001,""))</f>
        <v/>
      </c>
    </row>
    <row r="202" spans="14:14" x14ac:dyDescent="0.25">
      <c r="N202" t="str">
        <f>IF(TableChart4[[#This Row],[Colonne4]]="","",IFERROR((POWER(200000,2)/2/(TableChart4[[#This Row],[Colonne4]]-TableChart4[[#This Row],[Colonne5]])+POWER(300000,2)/2/(TableChart4[[#This Row],[Colonne4]]-TableChart4[[#This Row],[Colonne6]]))/2*0.00001,""))</f>
        <v/>
      </c>
    </row>
    <row r="203" spans="14:14" x14ac:dyDescent="0.25">
      <c r="N203" t="str">
        <f>IF(TableChart4[[#This Row],[Colonne4]]="","",IFERROR((POWER(200000,2)/2/(TableChart4[[#This Row],[Colonne4]]-TableChart4[[#This Row],[Colonne5]])+POWER(300000,2)/2/(TableChart4[[#This Row],[Colonne4]]-TableChart4[[#This Row],[Colonne6]]))/2*0.00001,""))</f>
        <v/>
      </c>
    </row>
    <row r="204" spans="14:14" x14ac:dyDescent="0.25">
      <c r="N204" t="str">
        <f>IF(TableChart4[[#This Row],[Colonne4]]="","",IFERROR((POWER(200000,2)/2/(TableChart4[[#This Row],[Colonne4]]-TableChart4[[#This Row],[Colonne5]])+POWER(300000,2)/2/(TableChart4[[#This Row],[Colonne4]]-TableChart4[[#This Row],[Colonne6]]))/2*0.00001,""))</f>
        <v/>
      </c>
    </row>
    <row r="205" spans="14:14" x14ac:dyDescent="0.25">
      <c r="N205" t="str">
        <f>IF(TableChart4[[#This Row],[Colonne4]]="","",IFERROR((POWER(200000,2)/2/(TableChart4[[#This Row],[Colonne4]]-TableChart4[[#This Row],[Colonne5]])+POWER(300000,2)/2/(TableChart4[[#This Row],[Colonne4]]-TableChart4[[#This Row],[Colonne6]]))/2*0.00001,""))</f>
        <v/>
      </c>
    </row>
    <row r="206" spans="14:14" x14ac:dyDescent="0.25">
      <c r="N206" t="str">
        <f>IF(TableChart4[[#This Row],[Colonne4]]="","",IFERROR((POWER(200000,2)/2/(TableChart4[[#This Row],[Colonne4]]-TableChart4[[#This Row],[Colonne5]])+POWER(300000,2)/2/(TableChart4[[#This Row],[Colonne4]]-TableChart4[[#This Row],[Colonne6]]))/2*0.00001,""))</f>
        <v/>
      </c>
    </row>
    <row r="207" spans="14:14" x14ac:dyDescent="0.25">
      <c r="N207" t="str">
        <f>IF(TableChart4[[#This Row],[Colonne4]]="","",IFERROR((POWER(200000,2)/2/(TableChart4[[#This Row],[Colonne4]]-TableChart4[[#This Row],[Colonne5]])+POWER(300000,2)/2/(TableChart4[[#This Row],[Colonne4]]-TableChart4[[#This Row],[Colonne6]]))/2*0.00001,""))</f>
        <v/>
      </c>
    </row>
    <row r="208" spans="14:14" x14ac:dyDescent="0.25">
      <c r="N208" t="str">
        <f>IF(TableChart4[[#This Row],[Colonne4]]="","",IFERROR((POWER(200000,2)/2/(TableChart4[[#This Row],[Colonne4]]-TableChart4[[#This Row],[Colonne5]])+POWER(300000,2)/2/(TableChart4[[#This Row],[Colonne4]]-TableChart4[[#This Row],[Colonne6]]))/2*0.00001,""))</f>
        <v/>
      </c>
    </row>
    <row r="209" spans="14:14" x14ac:dyDescent="0.25">
      <c r="N209" t="str">
        <f>IF(TableChart4[[#This Row],[Colonne4]]="","",IFERROR((POWER(200000,2)/2/(TableChart4[[#This Row],[Colonne4]]-TableChart4[[#This Row],[Colonne5]])+POWER(300000,2)/2/(TableChart4[[#This Row],[Colonne4]]-TableChart4[[#This Row],[Colonne6]]))/2*0.00001,""))</f>
        <v/>
      </c>
    </row>
    <row r="210" spans="14:14" x14ac:dyDescent="0.25">
      <c r="N210" t="str">
        <f>IF(TableChart4[[#This Row],[Colonne4]]="","",IFERROR((POWER(200000,2)/2/(TableChart4[[#This Row],[Colonne4]]-TableChart4[[#This Row],[Colonne5]])+POWER(300000,2)/2/(TableChart4[[#This Row],[Colonne4]]-TableChart4[[#This Row],[Colonne6]]))/2*0.00001,""))</f>
        <v/>
      </c>
    </row>
    <row r="211" spans="14:14" x14ac:dyDescent="0.25">
      <c r="N211" t="str">
        <f>IF(TableChart4[[#This Row],[Colonne4]]="","",IFERROR((POWER(200000,2)/2/(TableChart4[[#This Row],[Colonne4]]-TableChart4[[#This Row],[Colonne5]])+POWER(300000,2)/2/(TableChart4[[#This Row],[Colonne4]]-TableChart4[[#This Row],[Colonne6]]))/2*0.00001,""))</f>
        <v/>
      </c>
    </row>
    <row r="212" spans="14:14" x14ac:dyDescent="0.25">
      <c r="N212" t="str">
        <f>IF(TableChart4[[#This Row],[Colonne4]]="","",IFERROR((POWER(200000,2)/2/(TableChart4[[#This Row],[Colonne4]]-TableChart4[[#This Row],[Colonne5]])+POWER(300000,2)/2/(TableChart4[[#This Row],[Colonne4]]-TableChart4[[#This Row],[Colonne6]]))/2*0.00001,""))</f>
        <v/>
      </c>
    </row>
    <row r="213" spans="14:14" x14ac:dyDescent="0.25">
      <c r="N213" t="str">
        <f>IF(TableChart4[[#This Row],[Colonne4]]="","",IFERROR((POWER(200000,2)/2/(TableChart4[[#This Row],[Colonne4]]-TableChart4[[#This Row],[Colonne5]])+POWER(300000,2)/2/(TableChart4[[#This Row],[Colonne4]]-TableChart4[[#This Row],[Colonne6]]))/2*0.00001,""))</f>
        <v/>
      </c>
    </row>
    <row r="214" spans="14:14" x14ac:dyDescent="0.25">
      <c r="N214" t="str">
        <f>IF(TableChart4[[#This Row],[Colonne4]]="","",IFERROR((POWER(200000,2)/2/(TableChart4[[#This Row],[Colonne4]]-TableChart4[[#This Row],[Colonne5]])+POWER(300000,2)/2/(TableChart4[[#This Row],[Colonne4]]-TableChart4[[#This Row],[Colonne6]]))/2*0.00001,""))</f>
        <v/>
      </c>
    </row>
    <row r="215" spans="14:14" x14ac:dyDescent="0.25">
      <c r="N215" t="str">
        <f>IF(TableChart4[[#This Row],[Colonne4]]="","",IFERROR((POWER(200000,2)/2/(TableChart4[[#This Row],[Colonne4]]-TableChart4[[#This Row],[Colonne5]])+POWER(300000,2)/2/(TableChart4[[#This Row],[Colonne4]]-TableChart4[[#This Row],[Colonne6]]))/2*0.00001,""))</f>
        <v/>
      </c>
    </row>
    <row r="216" spans="14:14" x14ac:dyDescent="0.25">
      <c r="N216" t="str">
        <f>IF(TableChart4[[#This Row],[Colonne4]]="","",IFERROR((POWER(200000,2)/2/(TableChart4[[#This Row],[Colonne4]]-TableChart4[[#This Row],[Colonne5]])+POWER(300000,2)/2/(TableChart4[[#This Row],[Colonne4]]-TableChart4[[#This Row],[Colonne6]]))/2*0.00001,""))</f>
        <v/>
      </c>
    </row>
    <row r="217" spans="14:14" x14ac:dyDescent="0.25">
      <c r="N217" t="str">
        <f>IF(TableChart4[[#This Row],[Colonne4]]="","",IFERROR((POWER(200000,2)/2/(TableChart4[[#This Row],[Colonne4]]-TableChart4[[#This Row],[Colonne5]])+POWER(300000,2)/2/(TableChart4[[#This Row],[Colonne4]]-TableChart4[[#This Row],[Colonne6]]))/2*0.00001,""))</f>
        <v/>
      </c>
    </row>
    <row r="218" spans="14:14" x14ac:dyDescent="0.25">
      <c r="N218" t="str">
        <f>IF(TableChart4[[#This Row],[Colonne4]]="","",IFERROR((POWER(200000,2)/2/(TableChart4[[#This Row],[Colonne4]]-TableChart4[[#This Row],[Colonne5]])+POWER(300000,2)/2/(TableChart4[[#This Row],[Colonne4]]-TableChart4[[#This Row],[Colonne6]]))/2*0.00001,""))</f>
        <v/>
      </c>
    </row>
    <row r="219" spans="14:14" x14ac:dyDescent="0.25">
      <c r="N219" t="str">
        <f>IF(TableChart4[[#This Row],[Colonne4]]="","",IFERROR((POWER(200000,2)/2/(TableChart4[[#This Row],[Colonne4]]-TableChart4[[#This Row],[Colonne5]])+POWER(300000,2)/2/(TableChart4[[#This Row],[Colonne4]]-TableChart4[[#This Row],[Colonne6]]))/2*0.00001,""))</f>
        <v/>
      </c>
    </row>
    <row r="220" spans="14:14" x14ac:dyDescent="0.25">
      <c r="N220" t="str">
        <f>IF(TableChart4[[#This Row],[Colonne4]]="","",IFERROR((POWER(200000,2)/2/(TableChart4[[#This Row],[Colonne4]]-TableChart4[[#This Row],[Colonne5]])+POWER(300000,2)/2/(TableChart4[[#This Row],[Colonne4]]-TableChart4[[#This Row],[Colonne6]]))/2*0.00001,""))</f>
        <v/>
      </c>
    </row>
    <row r="221" spans="14:14" x14ac:dyDescent="0.25">
      <c r="N221" t="str">
        <f>IF(TableChart4[[#This Row],[Colonne4]]="","",IFERROR((POWER(200000,2)/2/(TableChart4[[#This Row],[Colonne4]]-TableChart4[[#This Row],[Colonne5]])+POWER(300000,2)/2/(TableChart4[[#This Row],[Colonne4]]-TableChart4[[#This Row],[Colonne6]]))/2*0.00001,""))</f>
        <v/>
      </c>
    </row>
    <row r="222" spans="14:14" x14ac:dyDescent="0.25">
      <c r="N222" t="str">
        <f>IF(TableChart4[[#This Row],[Colonne4]]="","",IFERROR((POWER(200000,2)/2/(TableChart4[[#This Row],[Colonne4]]-TableChart4[[#This Row],[Colonne5]])+POWER(300000,2)/2/(TableChart4[[#This Row],[Colonne4]]-TableChart4[[#This Row],[Colonne6]]))/2*0.00001,""))</f>
        <v/>
      </c>
    </row>
    <row r="223" spans="14:14" x14ac:dyDescent="0.25">
      <c r="N223" t="str">
        <f>IF(TableChart4[[#This Row],[Colonne4]]="","",IFERROR((POWER(200000,2)/2/(TableChart4[[#This Row],[Colonne4]]-TableChart4[[#This Row],[Colonne5]])+POWER(300000,2)/2/(TableChart4[[#This Row],[Colonne4]]-TableChart4[[#This Row],[Colonne6]]))/2*0.00001,""))</f>
        <v/>
      </c>
    </row>
    <row r="224" spans="14:14" x14ac:dyDescent="0.25">
      <c r="N224" t="str">
        <f>IF(TableChart4[[#This Row],[Colonne4]]="","",IFERROR((POWER(200000,2)/2/(TableChart4[[#This Row],[Colonne4]]-TableChart4[[#This Row],[Colonne5]])+POWER(300000,2)/2/(TableChart4[[#This Row],[Colonne4]]-TableChart4[[#This Row],[Colonne6]]))/2*0.00001,""))</f>
        <v/>
      </c>
    </row>
    <row r="225" spans="14:14" x14ac:dyDescent="0.25">
      <c r="N225" t="str">
        <f>IF(TableChart4[[#This Row],[Colonne4]]="","",IFERROR((POWER(200000,2)/2/(TableChart4[[#This Row],[Colonne4]]-TableChart4[[#This Row],[Colonne5]])+POWER(300000,2)/2/(TableChart4[[#This Row],[Colonne4]]-TableChart4[[#This Row],[Colonne6]]))/2*0.00001,""))</f>
        <v/>
      </c>
    </row>
    <row r="226" spans="14:14" x14ac:dyDescent="0.25">
      <c r="N226" t="str">
        <f>IF(TableChart4[[#This Row],[Colonne4]]="","",IFERROR((POWER(200000,2)/2/(TableChart4[[#This Row],[Colonne4]]-TableChart4[[#This Row],[Colonne5]])+POWER(300000,2)/2/(TableChart4[[#This Row],[Colonne4]]-TableChart4[[#This Row],[Colonne6]]))/2*0.00001,""))</f>
        <v/>
      </c>
    </row>
    <row r="227" spans="14:14" x14ac:dyDescent="0.25">
      <c r="N227" t="str">
        <f>IF(TableChart4[[#This Row],[Colonne4]]="","",IFERROR((POWER(200000,2)/2/(TableChart4[[#This Row],[Colonne4]]-TableChart4[[#This Row],[Colonne5]])+POWER(300000,2)/2/(TableChart4[[#This Row],[Colonne4]]-TableChart4[[#This Row],[Colonne6]]))/2*0.00001,""))</f>
        <v/>
      </c>
    </row>
    <row r="228" spans="14:14" x14ac:dyDescent="0.25">
      <c r="N228" t="str">
        <f>IF(TableChart4[[#This Row],[Colonne4]]="","",IFERROR((POWER(200000,2)/2/(TableChart4[[#This Row],[Colonne4]]-TableChart4[[#This Row],[Colonne5]])+POWER(300000,2)/2/(TableChart4[[#This Row],[Colonne4]]-TableChart4[[#This Row],[Colonne6]]))/2*0.00001,""))</f>
        <v/>
      </c>
    </row>
    <row r="229" spans="14:14" x14ac:dyDescent="0.25">
      <c r="N229" t="str">
        <f>IF(TableChart4[[#This Row],[Colonne4]]="","",IFERROR((POWER(200000,2)/2/(TableChart4[[#This Row],[Colonne4]]-TableChart4[[#This Row],[Colonne5]])+POWER(300000,2)/2/(TableChart4[[#This Row],[Colonne4]]-TableChart4[[#This Row],[Colonne6]]))/2*0.00001,""))</f>
        <v/>
      </c>
    </row>
    <row r="230" spans="14:14" x14ac:dyDescent="0.25">
      <c r="N230" t="str">
        <f>IF(TableChart4[[#This Row],[Colonne4]]="","",IFERROR((POWER(200000,2)/2/(TableChart4[[#This Row],[Colonne4]]-TableChart4[[#This Row],[Colonne5]])+POWER(300000,2)/2/(TableChart4[[#This Row],[Colonne4]]-TableChart4[[#This Row],[Colonne6]]))/2*0.00001,""))</f>
        <v/>
      </c>
    </row>
    <row r="231" spans="14:14" x14ac:dyDescent="0.25">
      <c r="N231" t="str">
        <f>IF(TableChart4[[#This Row],[Colonne4]]="","",IFERROR((POWER(200000,2)/2/(TableChart4[[#This Row],[Colonne4]]-TableChart4[[#This Row],[Colonne5]])+POWER(300000,2)/2/(TableChart4[[#This Row],[Colonne4]]-TableChart4[[#This Row],[Colonne6]]))/2*0.00001,""))</f>
        <v/>
      </c>
    </row>
    <row r="232" spans="14:14" x14ac:dyDescent="0.25">
      <c r="N232" t="str">
        <f>IF(TableChart4[[#This Row],[Colonne4]]="","",IFERROR((POWER(200000,2)/2/(TableChart4[[#This Row],[Colonne4]]-TableChart4[[#This Row],[Colonne5]])+POWER(300000,2)/2/(TableChart4[[#This Row],[Colonne4]]-TableChart4[[#This Row],[Colonne6]]))/2*0.00001,""))</f>
        <v/>
      </c>
    </row>
    <row r="233" spans="14:14" x14ac:dyDescent="0.25">
      <c r="N233" t="str">
        <f>IF(TableChart4[[#This Row],[Colonne4]]="","",IFERROR((POWER(200000,2)/2/(TableChart4[[#This Row],[Colonne4]]-TableChart4[[#This Row],[Colonne5]])+POWER(300000,2)/2/(TableChart4[[#This Row],[Colonne4]]-TableChart4[[#This Row],[Colonne6]]))/2*0.00001,""))</f>
        <v/>
      </c>
    </row>
    <row r="234" spans="14:14" x14ac:dyDescent="0.25">
      <c r="N234" t="str">
        <f>IF(TableChart4[[#This Row],[Colonne4]]="","",IFERROR((POWER(200000,2)/2/(TableChart4[[#This Row],[Colonne4]]-TableChart4[[#This Row],[Colonne5]])+POWER(300000,2)/2/(TableChart4[[#This Row],[Colonne4]]-TableChart4[[#This Row],[Colonne6]]))/2*0.00001,""))</f>
        <v/>
      </c>
    </row>
    <row r="235" spans="14:14" x14ac:dyDescent="0.25">
      <c r="N235" t="str">
        <f>IF(TableChart4[[#This Row],[Colonne4]]="","",IFERROR((POWER(200000,2)/2/(TableChart4[[#This Row],[Colonne4]]-TableChart4[[#This Row],[Colonne5]])+POWER(300000,2)/2/(TableChart4[[#This Row],[Colonne4]]-TableChart4[[#This Row],[Colonne6]]))/2*0.00001,""))</f>
        <v/>
      </c>
    </row>
    <row r="236" spans="14:14" x14ac:dyDescent="0.25">
      <c r="N236" t="str">
        <f>IF(TableChart4[[#This Row],[Colonne4]]="","",IFERROR((POWER(200000,2)/2/(TableChart4[[#This Row],[Colonne4]]-TableChart4[[#This Row],[Colonne5]])+POWER(300000,2)/2/(TableChart4[[#This Row],[Colonne4]]-TableChart4[[#This Row],[Colonne6]]))/2*0.00001,""))</f>
        <v/>
      </c>
    </row>
    <row r="237" spans="14:14" x14ac:dyDescent="0.25">
      <c r="N237" t="str">
        <f>IF(TableChart4[[#This Row],[Colonne4]]="","",IFERROR((POWER(200000,2)/2/(TableChart4[[#This Row],[Colonne4]]-TableChart4[[#This Row],[Colonne5]])+POWER(300000,2)/2/(TableChart4[[#This Row],[Colonne4]]-TableChart4[[#This Row],[Colonne6]]))/2*0.00001,""))</f>
        <v/>
      </c>
    </row>
    <row r="238" spans="14:14" x14ac:dyDescent="0.25">
      <c r="N238" t="str">
        <f>IF(TableChart4[[#This Row],[Colonne4]]="","",IFERROR((POWER(200000,2)/2/(TableChart4[[#This Row],[Colonne4]]-TableChart4[[#This Row],[Colonne5]])+POWER(300000,2)/2/(TableChart4[[#This Row],[Colonne4]]-TableChart4[[#This Row],[Colonne6]]))/2*0.00001,""))</f>
        <v/>
      </c>
    </row>
    <row r="239" spans="14:14" x14ac:dyDescent="0.25">
      <c r="N239" t="str">
        <f>IF(TableChart4[[#This Row],[Colonne4]]="","",IFERROR((POWER(200000,2)/2/(TableChart4[[#This Row],[Colonne4]]-TableChart4[[#This Row],[Colonne5]])+POWER(300000,2)/2/(TableChart4[[#This Row],[Colonne4]]-TableChart4[[#This Row],[Colonne6]]))/2*0.00001,""))</f>
        <v/>
      </c>
    </row>
    <row r="240" spans="14:14" x14ac:dyDescent="0.25">
      <c r="N240" t="str">
        <f>IF(TableChart4[[#This Row],[Colonne4]]="","",IFERROR((POWER(200000,2)/2/(TableChart4[[#This Row],[Colonne4]]-TableChart4[[#This Row],[Colonne5]])+POWER(300000,2)/2/(TableChart4[[#This Row],[Colonne4]]-TableChart4[[#This Row],[Colonne6]]))/2*0.00001,""))</f>
        <v/>
      </c>
    </row>
    <row r="241" spans="14:14" x14ac:dyDescent="0.25">
      <c r="N241" t="str">
        <f>IF(TableChart4[[#This Row],[Colonne4]]="","",IFERROR((POWER(200000,2)/2/(TableChart4[[#This Row],[Colonne4]]-TableChart4[[#This Row],[Colonne5]])+POWER(300000,2)/2/(TableChart4[[#This Row],[Colonne4]]-TableChart4[[#This Row],[Colonne6]]))/2*0.00001,""))</f>
        <v/>
      </c>
    </row>
    <row r="242" spans="14:14" x14ac:dyDescent="0.25">
      <c r="N242" t="str">
        <f>IF(TableChart4[[#This Row],[Colonne4]]="","",IFERROR((POWER(200000,2)/2/(TableChart4[[#This Row],[Colonne4]]-TableChart4[[#This Row],[Colonne5]])+POWER(300000,2)/2/(TableChart4[[#This Row],[Colonne4]]-TableChart4[[#This Row],[Colonne6]]))/2*0.00001,""))</f>
        <v/>
      </c>
    </row>
    <row r="243" spans="14:14" x14ac:dyDescent="0.25">
      <c r="N243" t="str">
        <f>IF(TableChart4[[#This Row],[Colonne4]]="","",IFERROR((POWER(200000,2)/2/(TableChart4[[#This Row],[Colonne4]]-TableChart4[[#This Row],[Colonne5]])+POWER(300000,2)/2/(TableChart4[[#This Row],[Colonne4]]-TableChart4[[#This Row],[Colonne6]]))/2*0.00001,""))</f>
        <v/>
      </c>
    </row>
    <row r="244" spans="14:14" x14ac:dyDescent="0.25">
      <c r="N244" t="str">
        <f>IF(TableChart4[[#This Row],[Colonne4]]="","",IFERROR((POWER(200000,2)/2/(TableChart4[[#This Row],[Colonne4]]-TableChart4[[#This Row],[Colonne5]])+POWER(300000,2)/2/(TableChart4[[#This Row],[Colonne4]]-TableChart4[[#This Row],[Colonne6]]))/2*0.00001,""))</f>
        <v/>
      </c>
    </row>
    <row r="245" spans="14:14" x14ac:dyDescent="0.25">
      <c r="N245" t="str">
        <f>IF(TableChart4[[#This Row],[Colonne4]]="","",IFERROR((POWER(200000,2)/2/(TableChart4[[#This Row],[Colonne4]]-TableChart4[[#This Row],[Colonne5]])+POWER(300000,2)/2/(TableChart4[[#This Row],[Colonne4]]-TableChart4[[#This Row],[Colonne6]]))/2*0.00001,""))</f>
        <v/>
      </c>
    </row>
    <row r="246" spans="14:14" x14ac:dyDescent="0.25">
      <c r="N246" t="str">
        <f>IF(TableChart4[[#This Row],[Colonne4]]="","",IFERROR((POWER(200000,2)/2/(TableChart4[[#This Row],[Colonne4]]-TableChart4[[#This Row],[Colonne5]])+POWER(300000,2)/2/(TableChart4[[#This Row],[Colonne4]]-TableChart4[[#This Row],[Colonne6]]))/2*0.00001,""))</f>
        <v/>
      </c>
    </row>
    <row r="247" spans="14:14" x14ac:dyDescent="0.25">
      <c r="N247" t="str">
        <f>IF(TableChart4[[#This Row],[Colonne4]]="","",IFERROR((POWER(200000,2)/2/(TableChart4[[#This Row],[Colonne4]]-TableChart4[[#This Row],[Colonne5]])+POWER(300000,2)/2/(TableChart4[[#This Row],[Colonne4]]-TableChart4[[#This Row],[Colonne6]]))/2*0.00001,""))</f>
        <v/>
      </c>
    </row>
    <row r="248" spans="14:14" x14ac:dyDescent="0.25">
      <c r="N248" t="str">
        <f>IF(TableChart4[[#This Row],[Colonne4]]="","",IFERROR((POWER(200000,2)/2/(TableChart4[[#This Row],[Colonne4]]-TableChart4[[#This Row],[Colonne5]])+POWER(300000,2)/2/(TableChart4[[#This Row],[Colonne4]]-TableChart4[[#This Row],[Colonne6]]))/2*0.00001,""))</f>
        <v/>
      </c>
    </row>
    <row r="249" spans="14:14" x14ac:dyDescent="0.25">
      <c r="N249" t="str">
        <f>IF(TableChart4[[#This Row],[Colonne4]]="","",IFERROR((POWER(200000,2)/2/(TableChart4[[#This Row],[Colonne4]]-TableChart4[[#This Row],[Colonne5]])+POWER(300000,2)/2/(TableChart4[[#This Row],[Colonne4]]-TableChart4[[#This Row],[Colonne6]]))/2*0.00001,""))</f>
        <v/>
      </c>
    </row>
    <row r="250" spans="14:14" x14ac:dyDescent="0.25">
      <c r="N250" t="str">
        <f>IF(TableChart4[[#This Row],[Colonne4]]="","",IFERROR((POWER(200000,2)/2/(TableChart4[[#This Row],[Colonne4]]-TableChart4[[#This Row],[Colonne5]])+POWER(300000,2)/2/(TableChart4[[#This Row],[Colonne4]]-TableChart4[[#This Row],[Colonne6]]))/2*0.00001,""))</f>
        <v/>
      </c>
    </row>
    <row r="251" spans="14:14" x14ac:dyDescent="0.25">
      <c r="N251" t="str">
        <f>IF(TableChart4[[#This Row],[Colonne4]]="","",IFERROR((POWER(200000,2)/2/(TableChart4[[#This Row],[Colonne4]]-TableChart4[[#This Row],[Colonne5]])+POWER(300000,2)/2/(TableChart4[[#This Row],[Colonne4]]-TableChart4[[#This Row],[Colonne6]]))/2*0.00001,""))</f>
        <v/>
      </c>
    </row>
    <row r="252" spans="14:14" x14ac:dyDescent="0.25">
      <c r="N252" t="str">
        <f>IF(TableChart4[[#This Row],[Colonne4]]="","",IFERROR((POWER(200000,2)/2/(TableChart4[[#This Row],[Colonne4]]-TableChart4[[#This Row],[Colonne5]])+POWER(300000,2)/2/(TableChart4[[#This Row],[Colonne4]]-TableChart4[[#This Row],[Colonne6]]))/2*0.00001,""))</f>
        <v/>
      </c>
    </row>
    <row r="253" spans="14:14" x14ac:dyDescent="0.25">
      <c r="N253" t="str">
        <f>IF(TableChart4[[#This Row],[Colonne4]]="","",IFERROR((POWER(200000,2)/2/(TableChart4[[#This Row],[Colonne4]]-TableChart4[[#This Row],[Colonne5]])+POWER(300000,2)/2/(TableChart4[[#This Row],[Colonne4]]-TableChart4[[#This Row],[Colonne6]]))/2*0.00001,""))</f>
        <v/>
      </c>
    </row>
    <row r="254" spans="14:14" x14ac:dyDescent="0.25">
      <c r="N254" t="str">
        <f>IF(TableChart4[[#This Row],[Colonne4]]="","",IFERROR((POWER(200000,2)/2/(TableChart4[[#This Row],[Colonne4]]-TableChart4[[#This Row],[Colonne5]])+POWER(300000,2)/2/(TableChart4[[#This Row],[Colonne4]]-TableChart4[[#This Row],[Colonne6]]))/2*0.00001,""))</f>
        <v/>
      </c>
    </row>
    <row r="255" spans="14:14" x14ac:dyDescent="0.25">
      <c r="N255" t="str">
        <f>IF(TableChart4[[#This Row],[Colonne4]]="","",IFERROR((POWER(200000,2)/2/(TableChart4[[#This Row],[Colonne4]]-TableChart4[[#This Row],[Colonne5]])+POWER(300000,2)/2/(TableChart4[[#This Row],[Colonne4]]-TableChart4[[#This Row],[Colonne6]]))/2*0.00001,""))</f>
        <v/>
      </c>
    </row>
    <row r="256" spans="14:14" x14ac:dyDescent="0.25">
      <c r="N256" t="str">
        <f>IF(TableChart4[[#This Row],[Colonne4]]="","",IFERROR((POWER(200000,2)/2/(TableChart4[[#This Row],[Colonne4]]-TableChart4[[#This Row],[Colonne5]])+POWER(300000,2)/2/(TableChart4[[#This Row],[Colonne4]]-TableChart4[[#This Row],[Colonne6]]))/2*0.00001,""))</f>
        <v/>
      </c>
    </row>
    <row r="257" spans="14:14" x14ac:dyDescent="0.25">
      <c r="N257" t="str">
        <f>IF(TableChart4[[#This Row],[Colonne4]]="","",IFERROR((POWER(200000,2)/2/(TableChart4[[#This Row],[Colonne4]]-TableChart4[[#This Row],[Colonne5]])+POWER(300000,2)/2/(TableChart4[[#This Row],[Colonne4]]-TableChart4[[#This Row],[Colonne6]]))/2*0.00001,""))</f>
        <v/>
      </c>
    </row>
    <row r="258" spans="14:14" x14ac:dyDescent="0.25">
      <c r="N258" t="str">
        <f>IF(TableChart4[[#This Row],[Colonne4]]="","",IFERROR((POWER(200000,2)/2/(TableChart4[[#This Row],[Colonne4]]-TableChart4[[#This Row],[Colonne5]])+POWER(300000,2)/2/(TableChart4[[#This Row],[Colonne4]]-TableChart4[[#This Row],[Colonne6]]))/2*0.00001,""))</f>
        <v/>
      </c>
    </row>
    <row r="259" spans="14:14" x14ac:dyDescent="0.25">
      <c r="N259" t="str">
        <f>IF(TableChart4[[#This Row],[Colonne4]]="","",IFERROR((POWER(200000,2)/2/(TableChart4[[#This Row],[Colonne4]]-TableChart4[[#This Row],[Colonne5]])+POWER(300000,2)/2/(TableChart4[[#This Row],[Colonne4]]-TableChart4[[#This Row],[Colonne6]]))/2*0.00001,""))</f>
        <v/>
      </c>
    </row>
    <row r="260" spans="14:14" x14ac:dyDescent="0.25">
      <c r="N260" t="str">
        <f>IF(TableChart4[[#This Row],[Colonne4]]="","",IFERROR((POWER(200000,2)/2/(TableChart4[[#This Row],[Colonne4]]-TableChart4[[#This Row],[Colonne5]])+POWER(300000,2)/2/(TableChart4[[#This Row],[Colonne4]]-TableChart4[[#This Row],[Colonne6]]))/2*0.00001,""))</f>
        <v/>
      </c>
    </row>
    <row r="261" spans="14:14" x14ac:dyDescent="0.25">
      <c r="N261" t="str">
        <f>IF(TableChart4[[#This Row],[Colonne4]]="","",IFERROR((POWER(200000,2)/2/(TableChart4[[#This Row],[Colonne4]]-TableChart4[[#This Row],[Colonne5]])+POWER(300000,2)/2/(TableChart4[[#This Row],[Colonne4]]-TableChart4[[#This Row],[Colonne6]]))/2*0.00001,""))</f>
        <v/>
      </c>
    </row>
    <row r="262" spans="14:14" x14ac:dyDescent="0.25">
      <c r="N262" t="str">
        <f>IF(TableChart4[[#This Row],[Colonne4]]="","",IFERROR((POWER(200000,2)/2/(TableChart4[[#This Row],[Colonne4]]-TableChart4[[#This Row],[Colonne5]])+POWER(300000,2)/2/(TableChart4[[#This Row],[Colonne4]]-TableChart4[[#This Row],[Colonne6]]))/2*0.00001,""))</f>
        <v/>
      </c>
    </row>
    <row r="263" spans="14:14" x14ac:dyDescent="0.25">
      <c r="N263" t="str">
        <f>IF(TableChart4[[#This Row],[Colonne4]]="","",IFERROR((POWER(200000,2)/2/(TableChart4[[#This Row],[Colonne4]]-TableChart4[[#This Row],[Colonne5]])+POWER(300000,2)/2/(TableChart4[[#This Row],[Colonne4]]-TableChart4[[#This Row],[Colonne6]]))/2*0.00001,""))</f>
        <v/>
      </c>
    </row>
    <row r="264" spans="14:14" x14ac:dyDescent="0.25">
      <c r="N264" t="str">
        <f>IF(TableChart4[[#This Row],[Colonne4]]="","",IFERROR((POWER(200000,2)/2/(TableChart4[[#This Row],[Colonne4]]-TableChart4[[#This Row],[Colonne5]])+POWER(300000,2)/2/(TableChart4[[#This Row],[Colonne4]]-TableChart4[[#This Row],[Colonne6]]))/2*0.00001,""))</f>
        <v/>
      </c>
    </row>
    <row r="265" spans="14:14" x14ac:dyDescent="0.25">
      <c r="N265" t="str">
        <f>IF(TableChart4[[#This Row],[Colonne4]]="","",IFERROR((POWER(200000,2)/2/(TableChart4[[#This Row],[Colonne4]]-TableChart4[[#This Row],[Colonne5]])+POWER(300000,2)/2/(TableChart4[[#This Row],[Colonne4]]-TableChart4[[#This Row],[Colonne6]]))/2*0.00001,""))</f>
        <v/>
      </c>
    </row>
    <row r="266" spans="14:14" x14ac:dyDescent="0.25">
      <c r="N266" t="str">
        <f>IF(TableChart4[[#This Row],[Colonne4]]="","",IFERROR((POWER(200000,2)/2/(TableChart4[[#This Row],[Colonne4]]-TableChart4[[#This Row],[Colonne5]])+POWER(300000,2)/2/(TableChart4[[#This Row],[Colonne4]]-TableChart4[[#This Row],[Colonne6]]))/2*0.00001,""))</f>
        <v/>
      </c>
    </row>
    <row r="267" spans="14:14" x14ac:dyDescent="0.25">
      <c r="N267" t="str">
        <f>IF(TableChart4[[#This Row],[Colonne4]]="","",IFERROR((POWER(200000,2)/2/(TableChart4[[#This Row],[Colonne4]]-TableChart4[[#This Row],[Colonne5]])+POWER(300000,2)/2/(TableChart4[[#This Row],[Colonne4]]-TableChart4[[#This Row],[Colonne6]]))/2*0.00001,""))</f>
        <v/>
      </c>
    </row>
    <row r="268" spans="14:14" x14ac:dyDescent="0.25">
      <c r="N268" t="str">
        <f>IF(TableChart4[[#This Row],[Colonne4]]="","",IFERROR((POWER(200000,2)/2/(TableChart4[[#This Row],[Colonne4]]-TableChart4[[#This Row],[Colonne5]])+POWER(300000,2)/2/(TableChart4[[#This Row],[Colonne4]]-TableChart4[[#This Row],[Colonne6]]))/2*0.00001,""))</f>
        <v/>
      </c>
    </row>
    <row r="269" spans="14:14" x14ac:dyDescent="0.25">
      <c r="N269" t="str">
        <f>IF(TableChart4[[#This Row],[Colonne4]]="","",IFERROR((POWER(200000,2)/2/(TableChart4[[#This Row],[Colonne4]]-TableChart4[[#This Row],[Colonne5]])+POWER(300000,2)/2/(TableChart4[[#This Row],[Colonne4]]-TableChart4[[#This Row],[Colonne6]]))/2*0.00001,""))</f>
        <v/>
      </c>
    </row>
    <row r="270" spans="14:14" x14ac:dyDescent="0.25">
      <c r="N270" t="str">
        <f>IF(TableChart4[[#This Row],[Colonne4]]="","",IFERROR((POWER(200000,2)/2/(TableChart4[[#This Row],[Colonne4]]-TableChart4[[#This Row],[Colonne5]])+POWER(300000,2)/2/(TableChart4[[#This Row],[Colonne4]]-TableChart4[[#This Row],[Colonne6]]))/2*0.00001,""))</f>
        <v/>
      </c>
    </row>
    <row r="271" spans="14:14" x14ac:dyDescent="0.25">
      <c r="N271" t="str">
        <f>IF(TableChart4[[#This Row],[Colonne4]]="","",IFERROR((POWER(200000,2)/2/(TableChart4[[#This Row],[Colonne4]]-TableChart4[[#This Row],[Colonne5]])+POWER(300000,2)/2/(TableChart4[[#This Row],[Colonne4]]-TableChart4[[#This Row],[Colonne6]]))/2*0.00001,""))</f>
        <v/>
      </c>
    </row>
    <row r="272" spans="14:14" x14ac:dyDescent="0.25">
      <c r="N272" t="str">
        <f>IF(TableChart4[[#This Row],[Colonne4]]="","",IFERROR((POWER(200000,2)/2/(TableChart4[[#This Row],[Colonne4]]-TableChart4[[#This Row],[Colonne5]])+POWER(300000,2)/2/(TableChart4[[#This Row],[Colonne4]]-TableChart4[[#This Row],[Colonne6]]))/2*0.00001,""))</f>
        <v/>
      </c>
    </row>
    <row r="273" spans="14:14" x14ac:dyDescent="0.25">
      <c r="N273" t="str">
        <f>IF(TableChart4[[#This Row],[Colonne4]]="","",IFERROR((POWER(200000,2)/2/(TableChart4[[#This Row],[Colonne4]]-TableChart4[[#This Row],[Colonne5]])+POWER(300000,2)/2/(TableChart4[[#This Row],[Colonne4]]-TableChart4[[#This Row],[Colonne6]]))/2*0.00001,""))</f>
        <v/>
      </c>
    </row>
    <row r="274" spans="14:14" x14ac:dyDescent="0.25">
      <c r="N274" t="str">
        <f>IF(TableChart4[[#This Row],[Colonne4]]="","",IFERROR((POWER(200000,2)/2/(TableChart4[[#This Row],[Colonne4]]-TableChart4[[#This Row],[Colonne5]])+POWER(300000,2)/2/(TableChart4[[#This Row],[Colonne4]]-TableChart4[[#This Row],[Colonne6]]))/2*0.00001,""))</f>
        <v/>
      </c>
    </row>
    <row r="275" spans="14:14" x14ac:dyDescent="0.25">
      <c r="N275" t="str">
        <f>IF(TableChart4[[#This Row],[Colonne4]]="","",IFERROR((POWER(200000,2)/2/(TableChart4[[#This Row],[Colonne4]]-TableChart4[[#This Row],[Colonne5]])+POWER(300000,2)/2/(TableChart4[[#This Row],[Colonne4]]-TableChart4[[#This Row],[Colonne6]]))/2*0.00001,""))</f>
        <v/>
      </c>
    </row>
    <row r="276" spans="14:14" x14ac:dyDescent="0.25">
      <c r="N276" t="str">
        <f>IF(TableChart4[[#This Row],[Colonne4]]="","",IFERROR((POWER(200000,2)/2/(TableChart4[[#This Row],[Colonne4]]-TableChart4[[#This Row],[Colonne5]])+POWER(300000,2)/2/(TableChart4[[#This Row],[Colonne4]]-TableChart4[[#This Row],[Colonne6]]))/2*0.00001,""))</f>
        <v/>
      </c>
    </row>
    <row r="277" spans="14:14" x14ac:dyDescent="0.25">
      <c r="N277" t="str">
        <f>IF(TableChart4[[#This Row],[Colonne4]]="","",IFERROR((POWER(200000,2)/2/(TableChart4[[#This Row],[Colonne4]]-TableChart4[[#This Row],[Colonne5]])+POWER(300000,2)/2/(TableChart4[[#This Row],[Colonne4]]-TableChart4[[#This Row],[Colonne6]]))/2*0.00001,""))</f>
        <v/>
      </c>
    </row>
    <row r="278" spans="14:14" x14ac:dyDescent="0.25">
      <c r="N278" t="str">
        <f>IF(TableChart4[[#This Row],[Colonne4]]="","",IFERROR((POWER(200000,2)/2/(TableChart4[[#This Row],[Colonne4]]-TableChart4[[#This Row],[Colonne5]])+POWER(300000,2)/2/(TableChart4[[#This Row],[Colonne4]]-TableChart4[[#This Row],[Colonne6]]))/2*0.00001,""))</f>
        <v/>
      </c>
    </row>
    <row r="279" spans="14:14" x14ac:dyDescent="0.25">
      <c r="N279" t="str">
        <f>IF(TableChart4[[#This Row],[Colonne4]]="","",IFERROR((POWER(200000,2)/2/(TableChart4[[#This Row],[Colonne4]]-TableChart4[[#This Row],[Colonne5]])+POWER(300000,2)/2/(TableChart4[[#This Row],[Colonne4]]-TableChart4[[#This Row],[Colonne6]]))/2*0.00001,""))</f>
        <v/>
      </c>
    </row>
    <row r="280" spans="14:14" x14ac:dyDescent="0.25">
      <c r="N280" t="str">
        <f>IF(TableChart4[[#This Row],[Colonne4]]="","",IFERROR((POWER(200000,2)/2/(TableChart4[[#This Row],[Colonne4]]-TableChart4[[#This Row],[Colonne5]])+POWER(300000,2)/2/(TableChart4[[#This Row],[Colonne4]]-TableChart4[[#This Row],[Colonne6]]))/2*0.00001,""))</f>
        <v/>
      </c>
    </row>
    <row r="281" spans="14:14" x14ac:dyDescent="0.25">
      <c r="N281" t="str">
        <f>IF(TableChart4[[#This Row],[Colonne4]]="","",IFERROR((POWER(200000,2)/2/(TableChart4[[#This Row],[Colonne4]]-TableChart4[[#This Row],[Colonne5]])+POWER(300000,2)/2/(TableChart4[[#This Row],[Colonne4]]-TableChart4[[#This Row],[Colonne6]]))/2*0.00001,""))</f>
        <v/>
      </c>
    </row>
    <row r="282" spans="14:14" x14ac:dyDescent="0.25">
      <c r="N282" t="str">
        <f>IF(TableChart4[[#This Row],[Colonne4]]="","",IFERROR((POWER(200000,2)/2/(TableChart4[[#This Row],[Colonne4]]-TableChart4[[#This Row],[Colonne5]])+POWER(300000,2)/2/(TableChart4[[#This Row],[Colonne4]]-TableChart4[[#This Row],[Colonne6]]))/2*0.00001,""))</f>
        <v/>
      </c>
    </row>
    <row r="283" spans="14:14" x14ac:dyDescent="0.25">
      <c r="N283" t="str">
        <f>IF(TableChart4[[#This Row],[Colonne4]]="","",IFERROR((POWER(200000,2)/2/(TableChart4[[#This Row],[Colonne4]]-TableChart4[[#This Row],[Colonne5]])+POWER(300000,2)/2/(TableChart4[[#This Row],[Colonne4]]-TableChart4[[#This Row],[Colonne6]]))/2*0.00001,""))</f>
        <v/>
      </c>
    </row>
    <row r="284" spans="14:14" x14ac:dyDescent="0.25">
      <c r="N284" t="str">
        <f>IF(TableChart4[[#This Row],[Colonne4]]="","",IFERROR((POWER(200000,2)/2/(TableChart4[[#This Row],[Colonne4]]-TableChart4[[#This Row],[Colonne5]])+POWER(300000,2)/2/(TableChart4[[#This Row],[Colonne4]]-TableChart4[[#This Row],[Colonne6]]))/2*0.00001,""))</f>
        <v/>
      </c>
    </row>
    <row r="285" spans="14:14" x14ac:dyDescent="0.25">
      <c r="N285" t="str">
        <f>IF(TableChart4[[#This Row],[Colonne4]]="","",IFERROR((POWER(200000,2)/2/(TableChart4[[#This Row],[Colonne4]]-TableChart4[[#This Row],[Colonne5]])+POWER(300000,2)/2/(TableChart4[[#This Row],[Colonne4]]-TableChart4[[#This Row],[Colonne6]]))/2*0.00001,""))</f>
        <v/>
      </c>
    </row>
    <row r="286" spans="14:14" x14ac:dyDescent="0.25">
      <c r="N286" t="str">
        <f>IF(TableChart4[[#This Row],[Colonne4]]="","",IFERROR((POWER(200000,2)/2/(TableChart4[[#This Row],[Colonne4]]-TableChart4[[#This Row],[Colonne5]])+POWER(300000,2)/2/(TableChart4[[#This Row],[Colonne4]]-TableChart4[[#This Row],[Colonne6]]))/2*0.00001,""))</f>
        <v/>
      </c>
    </row>
    <row r="287" spans="14:14" x14ac:dyDescent="0.25">
      <c r="N287" t="str">
        <f>IF(TableChart4[[#This Row],[Colonne4]]="","",IFERROR((POWER(200000,2)/2/(TableChart4[[#This Row],[Colonne4]]-TableChart4[[#This Row],[Colonne5]])+POWER(300000,2)/2/(TableChart4[[#This Row],[Colonne4]]-TableChart4[[#This Row],[Colonne6]]))/2*0.00001,""))</f>
        <v/>
      </c>
    </row>
    <row r="288" spans="14:14" x14ac:dyDescent="0.25">
      <c r="N288" t="str">
        <f>IF(TableChart4[[#This Row],[Colonne4]]="","",IFERROR((POWER(200000,2)/2/(TableChart4[[#This Row],[Colonne4]]-TableChart4[[#This Row],[Colonne5]])+POWER(300000,2)/2/(TableChart4[[#This Row],[Colonne4]]-TableChart4[[#This Row],[Colonne6]]))/2*0.00001,""))</f>
        <v/>
      </c>
    </row>
    <row r="289" spans="14:14" x14ac:dyDescent="0.25">
      <c r="N289" t="str">
        <f>IF(TableChart4[[#This Row],[Colonne4]]="","",IFERROR((POWER(200000,2)/2/(TableChart4[[#This Row],[Colonne4]]-TableChart4[[#This Row],[Colonne5]])+POWER(300000,2)/2/(TableChart4[[#This Row],[Colonne4]]-TableChart4[[#This Row],[Colonne6]]))/2*0.00001,""))</f>
        <v/>
      </c>
    </row>
    <row r="290" spans="14:14" x14ac:dyDescent="0.25">
      <c r="N290" t="str">
        <f>IF(TableChart4[[#This Row],[Colonne4]]="","",IFERROR((POWER(200000,2)/2/(TableChart4[[#This Row],[Colonne4]]-TableChart4[[#This Row],[Colonne5]])+POWER(300000,2)/2/(TableChart4[[#This Row],[Colonne4]]-TableChart4[[#This Row],[Colonne6]]))/2*0.00001,""))</f>
        <v/>
      </c>
    </row>
    <row r="291" spans="14:14" x14ac:dyDescent="0.25">
      <c r="N291" t="str">
        <f>IF(TableChart4[[#This Row],[Colonne4]]="","",IFERROR((POWER(200000,2)/2/(TableChart4[[#This Row],[Colonne4]]-TableChart4[[#This Row],[Colonne5]])+POWER(300000,2)/2/(TableChart4[[#This Row],[Colonne4]]-TableChart4[[#This Row],[Colonne6]]))/2*0.00001,""))</f>
        <v/>
      </c>
    </row>
    <row r="292" spans="14:14" x14ac:dyDescent="0.25">
      <c r="N292" t="str">
        <f>IF(TableChart4[[#This Row],[Colonne4]]="","",IFERROR((POWER(200000,2)/2/(TableChart4[[#This Row],[Colonne4]]-TableChart4[[#This Row],[Colonne5]])+POWER(300000,2)/2/(TableChart4[[#This Row],[Colonne4]]-TableChart4[[#This Row],[Colonne6]]))/2*0.00001,""))</f>
        <v/>
      </c>
    </row>
    <row r="293" spans="14:14" x14ac:dyDescent="0.25">
      <c r="N293" t="str">
        <f>IF(TableChart4[[#This Row],[Colonne4]]="","",IFERROR((POWER(200000,2)/2/(TableChart4[[#This Row],[Colonne4]]-TableChart4[[#This Row],[Colonne5]])+POWER(300000,2)/2/(TableChart4[[#This Row],[Colonne4]]-TableChart4[[#This Row],[Colonne6]]))/2*0.00001,""))</f>
        <v/>
      </c>
    </row>
    <row r="294" spans="14:14" x14ac:dyDescent="0.25">
      <c r="N294" t="str">
        <f>IF(TableChart4[[#This Row],[Colonne4]]="","",IFERROR((POWER(200000,2)/2/(TableChart4[[#This Row],[Colonne4]]-TableChart4[[#This Row],[Colonne5]])+POWER(300000,2)/2/(TableChart4[[#This Row],[Colonne4]]-TableChart4[[#This Row],[Colonne6]]))/2*0.00001,""))</f>
        <v/>
      </c>
    </row>
    <row r="295" spans="14:14" x14ac:dyDescent="0.25">
      <c r="N295" t="str">
        <f>IF(TableChart4[[#This Row],[Colonne4]]="","",IFERROR((POWER(200000,2)/2/(TableChart4[[#This Row],[Colonne4]]-TableChart4[[#This Row],[Colonne5]])+POWER(300000,2)/2/(TableChart4[[#This Row],[Colonne4]]-TableChart4[[#This Row],[Colonne6]]))/2*0.00001,""))</f>
        <v/>
      </c>
    </row>
    <row r="296" spans="14:14" x14ac:dyDescent="0.25">
      <c r="N296" t="str">
        <f>IF(TableChart4[[#This Row],[Colonne4]]="","",IFERROR((POWER(200000,2)/2/(TableChart4[[#This Row],[Colonne4]]-TableChart4[[#This Row],[Colonne5]])+POWER(300000,2)/2/(TableChart4[[#This Row],[Colonne4]]-TableChart4[[#This Row],[Colonne6]]))/2*0.00001,""))</f>
        <v/>
      </c>
    </row>
    <row r="297" spans="14:14" x14ac:dyDescent="0.25">
      <c r="N297" t="str">
        <f>IF(TableChart4[[#This Row],[Colonne4]]="","",IFERROR((POWER(200000,2)/2/(TableChart4[[#This Row],[Colonne4]]-TableChart4[[#This Row],[Colonne5]])+POWER(300000,2)/2/(TableChart4[[#This Row],[Colonne4]]-TableChart4[[#This Row],[Colonne6]]))/2*0.00001,""))</f>
        <v/>
      </c>
    </row>
    <row r="298" spans="14:14" x14ac:dyDescent="0.25">
      <c r="N298" t="str">
        <f>IF(TableChart4[[#This Row],[Colonne4]]="","",IFERROR((POWER(200000,2)/2/(TableChart4[[#This Row],[Colonne4]]-TableChart4[[#This Row],[Colonne5]])+POWER(300000,2)/2/(TableChart4[[#This Row],[Colonne4]]-TableChart4[[#This Row],[Colonne6]]))/2*0.00001,""))</f>
        <v/>
      </c>
    </row>
    <row r="299" spans="14:14" x14ac:dyDescent="0.25">
      <c r="N299" t="str">
        <f>IF(TableChart4[[#This Row],[Colonne4]]="","",IFERROR((POWER(200000,2)/2/(TableChart4[[#This Row],[Colonne4]]-TableChart4[[#This Row],[Colonne5]])+POWER(300000,2)/2/(TableChart4[[#This Row],[Colonne4]]-TableChart4[[#This Row],[Colonne6]]))/2*0.00001,""))</f>
        <v/>
      </c>
    </row>
    <row r="300" spans="14:14" x14ac:dyDescent="0.25">
      <c r="N300" t="str">
        <f>IF(TableChart4[[#This Row],[Colonne4]]="","",IFERROR((POWER(200000,2)/2/(TableChart4[[#This Row],[Colonne4]]-TableChart4[[#This Row],[Colonne5]])+POWER(300000,2)/2/(TableChart4[[#This Row],[Colonne4]]-TableChart4[[#This Row],[Colonne6]]))/2*0.00001,""))</f>
        <v/>
      </c>
    </row>
    <row r="301" spans="14:14" x14ac:dyDescent="0.25">
      <c r="N301" t="str">
        <f>IF(TableChart4[[#This Row],[Colonne4]]="","",IFERROR((POWER(200000,2)/2/(TableChart4[[#This Row],[Colonne4]]-TableChart4[[#This Row],[Colonne5]])+POWER(300000,2)/2/(TableChart4[[#This Row],[Colonne4]]-TableChart4[[#This Row],[Colonne6]]))/2*0.00001,""))</f>
        <v/>
      </c>
    </row>
    <row r="302" spans="14:14" x14ac:dyDescent="0.25">
      <c r="N302" t="str">
        <f>IF(TableChart4[[#This Row],[Colonne4]]="","",IFERROR((POWER(200000,2)/2/(TableChart4[[#This Row],[Colonne4]]-TableChart4[[#This Row],[Colonne5]])+POWER(300000,2)/2/(TableChart4[[#This Row],[Colonne4]]-TableChart4[[#This Row],[Colonne6]]))/2*0.00001,""))</f>
        <v/>
      </c>
    </row>
  </sheetData>
  <mergeCells count="14">
    <mergeCell ref="D38:N38"/>
    <mergeCell ref="D39:N39"/>
    <mergeCell ref="O38:P39"/>
    <mergeCell ref="A5:F5"/>
    <mergeCell ref="G2:O2"/>
    <mergeCell ref="G3:O3"/>
    <mergeCell ref="B11:P11"/>
    <mergeCell ref="E9:H9"/>
    <mergeCell ref="M9:P9"/>
    <mergeCell ref="B6:P6"/>
    <mergeCell ref="E7:H7"/>
    <mergeCell ref="M7:P7"/>
    <mergeCell ref="E8:H8"/>
    <mergeCell ref="M8:P8"/>
  </mergeCells>
  <pageMargins left="0.23622047244094491" right="0.23622047244094491" top="0.19685039370078741" bottom="0.19685039370078741" header="0" footer="0"/>
  <pageSetup paperSize="9" scale="13" orientation="landscape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6</vt:i4>
      </vt:variant>
      <vt:variant>
        <vt:lpstr>Plages nommées</vt:lpstr>
      </vt:variant>
      <vt:variant>
        <vt:i4>12</vt:i4>
      </vt:variant>
    </vt:vector>
  </HeadingPairs>
  <TitlesOfParts>
    <vt:vector size="18" baseType="lpstr">
      <vt:lpstr>RawData</vt:lpstr>
      <vt:lpstr>PageGardeModel</vt:lpstr>
      <vt:lpstr>TableHeavydynModel</vt:lpstr>
      <vt:lpstr>TableCorrectionModel</vt:lpstr>
      <vt:lpstr>ImplantationModel</vt:lpstr>
      <vt:lpstr>ChartHeavydynModel</vt:lpstr>
      <vt:lpstr>TableCorrectionModel!ChargeCorrection</vt:lpstr>
      <vt:lpstr>ImplantationModel!MapsImage</vt:lpstr>
      <vt:lpstr>ChartHeavydynModel!Page</vt:lpstr>
      <vt:lpstr>ImplantationModel!Page</vt:lpstr>
      <vt:lpstr>PageGardeModel!Page</vt:lpstr>
      <vt:lpstr>TableCorrectionModel!Page</vt:lpstr>
      <vt:lpstr>TableHeavydynModel!Page</vt:lpstr>
      <vt:lpstr>ChartHeavydynModel!Zone_d_impression</vt:lpstr>
      <vt:lpstr>ImplantationModel!Zone_d_impression</vt:lpstr>
      <vt:lpstr>PageGardeModel!Zone_d_impression</vt:lpstr>
      <vt:lpstr>TableCorrectionModel!Zone_d_impression</vt:lpstr>
      <vt:lpstr>TableHeavydynModel!Zone_d_impression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NDT-spellevrault</dc:creator>
  <cp:lastModifiedBy>seb p</cp:lastModifiedBy>
  <cp:lastPrinted>2021-02-16T17:40:41Z</cp:lastPrinted>
  <dcterms:created xsi:type="dcterms:W3CDTF">2018-07-30T15:23:52Z</dcterms:created>
  <dcterms:modified xsi:type="dcterms:W3CDTF">2021-02-16T17:41:00Z</dcterms:modified>
</cp:coreProperties>
</file>