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cuments\all notes\labs\optics\"/>
    </mc:Choice>
  </mc:AlternateContent>
  <xr:revisionPtr revIDLastSave="0" documentId="13_ncr:1_{B94E8C19-75EA-4BF8-88E6-447882F57F5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45" i="1" l="1"/>
  <c r="O46" i="1" s="1"/>
  <c r="P30" i="1"/>
  <c r="O5" i="1"/>
  <c r="O8" i="1"/>
  <c r="P63" i="1"/>
  <c r="P62" i="1"/>
  <c r="P61" i="1"/>
  <c r="P60" i="1"/>
  <c r="P59" i="1"/>
  <c r="P29" i="1"/>
  <c r="P27" i="1"/>
  <c r="P26" i="1"/>
  <c r="P25" i="1"/>
  <c r="P23" i="1"/>
  <c r="P22" i="1"/>
  <c r="P21" i="1"/>
  <c r="P20" i="1"/>
  <c r="P19" i="1"/>
  <c r="O4" i="1"/>
  <c r="I19" i="1"/>
  <c r="L54" i="1"/>
  <c r="I65" i="1"/>
  <c r="O44" i="1"/>
  <c r="L14" i="1"/>
  <c r="I10" i="1"/>
  <c r="K50" i="1"/>
  <c r="Q50" i="1"/>
  <c r="L44" i="1"/>
  <c r="F60" i="1"/>
  <c r="F58" i="1"/>
  <c r="L47" i="1"/>
  <c r="L46" i="1"/>
  <c r="L45" i="1"/>
  <c r="E77" i="1"/>
  <c r="D77" i="1"/>
  <c r="D76" i="1"/>
  <c r="D75" i="1"/>
  <c r="D74" i="1"/>
  <c r="G64" i="1"/>
  <c r="G62" i="1"/>
  <c r="G60" i="1"/>
  <c r="F64" i="1"/>
  <c r="E64" i="1"/>
  <c r="H64" i="1" s="1"/>
  <c r="D59" i="1"/>
  <c r="E60" i="1" s="1"/>
  <c r="D60" i="1"/>
  <c r="D61" i="1"/>
  <c r="D62" i="1"/>
  <c r="E62" i="1" s="1"/>
  <c r="D63" i="1"/>
  <c r="D64" i="1"/>
  <c r="D73" i="1"/>
  <c r="D72" i="1"/>
  <c r="D71" i="1"/>
  <c r="D70" i="1"/>
  <c r="D69" i="1"/>
  <c r="D68" i="1"/>
  <c r="D67" i="1"/>
  <c r="G58" i="1"/>
  <c r="D58" i="1"/>
  <c r="E58" i="1" s="1"/>
  <c r="D57" i="1"/>
  <c r="G56" i="1"/>
  <c r="D56" i="1"/>
  <c r="D55" i="1"/>
  <c r="G54" i="1"/>
  <c r="D54" i="1"/>
  <c r="D53" i="1"/>
  <c r="Q52" i="1"/>
  <c r="G52" i="1"/>
  <c r="E52" i="1"/>
  <c r="F52" i="1" s="1"/>
  <c r="D52" i="1"/>
  <c r="D51" i="1"/>
  <c r="G50" i="1"/>
  <c r="D50" i="1"/>
  <c r="D49" i="1"/>
  <c r="G48" i="1"/>
  <c r="D48" i="1"/>
  <c r="E48" i="1" s="1"/>
  <c r="D47" i="1"/>
  <c r="G46" i="1"/>
  <c r="D46" i="1"/>
  <c r="D45" i="1"/>
  <c r="G44" i="1"/>
  <c r="D44" i="1"/>
  <c r="D43" i="1"/>
  <c r="Q12" i="1"/>
  <c r="E18" i="1"/>
  <c r="F18" i="1" s="1"/>
  <c r="N12" i="1"/>
  <c r="D29" i="1"/>
  <c r="D28" i="1"/>
  <c r="D27" i="1"/>
  <c r="D26" i="1"/>
  <c r="D25" i="1"/>
  <c r="D24" i="1"/>
  <c r="D23" i="1"/>
  <c r="D22" i="1"/>
  <c r="L4" i="1"/>
  <c r="Q10" i="1" s="1"/>
  <c r="G6" i="1"/>
  <c r="G8" i="1"/>
  <c r="G10" i="1"/>
  <c r="G12" i="1"/>
  <c r="G14" i="1"/>
  <c r="G18" i="1"/>
  <c r="G4" i="1"/>
  <c r="D4" i="1"/>
  <c r="E4" i="1" s="1"/>
  <c r="F4" i="1" s="1"/>
  <c r="D5" i="1"/>
  <c r="D6" i="1"/>
  <c r="E6" i="1" s="1"/>
  <c r="D7" i="1"/>
  <c r="E8" i="1" s="1"/>
  <c r="D8" i="1"/>
  <c r="D9" i="1"/>
  <c r="D10" i="1"/>
  <c r="E10" i="1" s="1"/>
  <c r="D11" i="1"/>
  <c r="D12" i="1"/>
  <c r="E12" i="1" s="1"/>
  <c r="D13" i="1"/>
  <c r="D14" i="1"/>
  <c r="E14" i="1" s="1"/>
  <c r="D15" i="1"/>
  <c r="E16" i="1" s="1"/>
  <c r="D16" i="1"/>
  <c r="D17" i="1"/>
  <c r="D18" i="1"/>
  <c r="D3" i="1"/>
  <c r="O47" i="1" l="1"/>
  <c r="O48" i="1"/>
  <c r="P70" i="1"/>
  <c r="P65" i="1"/>
  <c r="P69" i="1" s="1"/>
  <c r="F16" i="1"/>
  <c r="E28" i="1"/>
  <c r="H14" i="1"/>
  <c r="F14" i="1"/>
  <c r="H6" i="1"/>
  <c r="F6" i="1"/>
  <c r="E26" i="1"/>
  <c r="H12" i="1"/>
  <c r="F12" i="1"/>
  <c r="E24" i="1"/>
  <c r="F8" i="1"/>
  <c r="N50" i="1"/>
  <c r="E76" i="1"/>
  <c r="F62" i="1"/>
  <c r="H62" i="1"/>
  <c r="F10" i="1"/>
  <c r="E25" i="1"/>
  <c r="H10" i="1"/>
  <c r="E75" i="1"/>
  <c r="H60" i="1"/>
  <c r="E54" i="1"/>
  <c r="E72" i="1" s="1"/>
  <c r="E56" i="1"/>
  <c r="H52" i="1"/>
  <c r="E50" i="1"/>
  <c r="F50" i="1" s="1"/>
  <c r="E71" i="1"/>
  <c r="E44" i="1"/>
  <c r="E46" i="1"/>
  <c r="F46" i="1" s="1"/>
  <c r="H46" i="1"/>
  <c r="H48" i="1"/>
  <c r="F48" i="1"/>
  <c r="E69" i="1"/>
  <c r="E70" i="1"/>
  <c r="H50" i="1"/>
  <c r="H18" i="1"/>
  <c r="E29" i="1"/>
  <c r="E27" i="1"/>
  <c r="H8" i="1"/>
  <c r="E23" i="1"/>
  <c r="H4" i="1"/>
  <c r="E22" i="1"/>
  <c r="L5" i="1"/>
  <c r="K12" i="1" s="1"/>
  <c r="G16" i="1"/>
  <c r="L6" i="1" s="1"/>
  <c r="H16" i="1"/>
  <c r="P67" i="1" l="1"/>
  <c r="P66" i="1"/>
  <c r="F56" i="1"/>
  <c r="F54" i="1"/>
  <c r="H54" i="1"/>
  <c r="F44" i="1"/>
  <c r="K52" i="1"/>
  <c r="E73" i="1"/>
  <c r="H56" i="1"/>
  <c r="N10" i="1"/>
  <c r="E68" i="1"/>
  <c r="H58" i="1"/>
  <c r="E67" i="1"/>
  <c r="H44" i="1"/>
  <c r="E74" i="1"/>
  <c r="L7" i="1"/>
  <c r="K10" i="1" s="1"/>
  <c r="L15" i="1" l="1"/>
  <c r="N52" i="1"/>
  <c r="L17" i="1" l="1"/>
  <c r="I18" i="1"/>
  <c r="I16" i="1"/>
  <c r="I14" i="1"/>
  <c r="I8" i="1"/>
  <c r="I4" i="1"/>
  <c r="I6" i="1"/>
  <c r="I12" i="1"/>
  <c r="L55" i="1"/>
  <c r="L57" i="1" l="1"/>
  <c r="I56" i="1"/>
  <c r="I54" i="1"/>
  <c r="I50" i="1"/>
  <c r="I64" i="1"/>
  <c r="I62" i="1"/>
  <c r="I60" i="1"/>
  <c r="I52" i="1"/>
  <c r="I48" i="1"/>
  <c r="I46" i="1"/>
  <c r="I44" i="1"/>
  <c r="I58" i="1"/>
  <c r="O6" i="1" l="1"/>
  <c r="M14" i="1" s="1"/>
  <c r="M17" i="1" s="1"/>
  <c r="O7" i="1"/>
  <c r="M15" i="1" s="1"/>
  <c r="M55" i="1" l="1"/>
  <c r="M54" i="1"/>
  <c r="M57" i="1" s="1"/>
  <c r="A43" i="1"/>
</calcChain>
</file>

<file path=xl/sharedStrings.xml><?xml version="1.0" encoding="utf-8"?>
<sst xmlns="http://schemas.openxmlformats.org/spreadsheetml/2006/main" count="98" uniqueCount="38">
  <si>
    <t>N</t>
  </si>
  <si>
    <t>p</t>
  </si>
  <si>
    <t>q</t>
  </si>
  <si>
    <t>lambda</t>
  </si>
  <si>
    <t>x^2 (N^2)</t>
  </si>
  <si>
    <t>sums</t>
  </si>
  <si>
    <t>xi</t>
  </si>
  <si>
    <t>yi</t>
  </si>
  <si>
    <t>xiyi</t>
  </si>
  <si>
    <t>equation 1:</t>
  </si>
  <si>
    <t>"="</t>
  </si>
  <si>
    <t>a</t>
  </si>
  <si>
    <t>"+"</t>
  </si>
  <si>
    <t>b</t>
  </si>
  <si>
    <t>equation 2:</t>
  </si>
  <si>
    <t>nm</t>
  </si>
  <si>
    <t>Na Lamp</t>
  </si>
  <si>
    <t>di</t>
  </si>
  <si>
    <t>\delta d</t>
  </si>
  <si>
    <t>xy (N \delta d)</t>
  </si>
  <si>
    <t>xi^2</t>
  </si>
  <si>
    <t>xs (N)</t>
  </si>
  <si>
    <t>ys (delta d)</t>
  </si>
  <si>
    <t>Final \lambda</t>
  </si>
  <si>
    <t>(y-(ax+b))^2</t>
  </si>
  <si>
    <t>errors</t>
  </si>
  <si>
    <t>Delta</t>
  </si>
  <si>
    <t>sigma y</t>
  </si>
  <si>
    <t>sigma a</t>
  </si>
  <si>
    <t>sigma b</t>
  </si>
  <si>
    <t>He-Ne Lamp</t>
  </si>
  <si>
    <t>\chi^2</t>
  </si>
  <si>
    <t>sigma i</t>
  </si>
  <si>
    <t>Sx</t>
  </si>
  <si>
    <t>Sxx</t>
  </si>
  <si>
    <t>Sy</t>
  </si>
  <si>
    <t>S</t>
  </si>
  <si>
    <t>Sxy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</si>
</sst>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9" xfId="0" applyFont="1" applyFill="1" applyBorder="1"/>
    <xf numFmtId="0" fontId="2" fillId="2" borderId="3" xfId="0" applyFont="1" applyFill="1" applyBorder="1" applyAlignment="1">
      <alignment horizontal="right"/>
    </xf>
    <xf numFmtId="0" fontId="2" fillId="2" borderId="10" xfId="0" applyFont="1" applyFill="1" applyBorder="1"/>
    <xf numFmtId="0" fontId="2" fillId="2" borderId="8" xfId="0" applyFont="1" applyFill="1" applyBorder="1" applyAlignment="1">
      <alignment horizontal="right"/>
    </xf>
    <xf numFmtId="0" fontId="0" fillId="3" borderId="0" xfId="0" applyFill="1"/>
    <xf numFmtId="0" fontId="3" fillId="3" borderId="0" xfId="0" applyFont="1" applyFill="1"/>
    <xf numFmtId="0" fontId="4" fillId="0" borderId="0" xfId="0" applyFont="1"/>
    <xf numFmtId="0" fontId="4" fillId="3" borderId="0" xfId="0" applyFont="1" applyFill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\delta d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ys (delta d)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Sheet1!$D$22:$D$29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2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  <c:pt idx="7">
                  <c:v>17</c:v>
                </c:pt>
              </c:numCache>
            </c:numRef>
          </c:xVal>
          <c:yVal>
            <c:numRef>
              <c:f>Sheet1!$E$22:$E$29</c:f>
              <c:numCache>
                <c:formatCode>General</c:formatCode>
                <c:ptCount val="8"/>
                <c:pt idx="0">
                  <c:v>1.9000000000000128E-3</c:v>
                </c:pt>
                <c:pt idx="1">
                  <c:v>2.8000000000000004E-3</c:v>
                </c:pt>
                <c:pt idx="2">
                  <c:v>4.0999999999999995E-3</c:v>
                </c:pt>
                <c:pt idx="3">
                  <c:v>5.0000000000000044E-4</c:v>
                </c:pt>
                <c:pt idx="4">
                  <c:v>3.1999999999999997E-3</c:v>
                </c:pt>
                <c:pt idx="5">
                  <c:v>3.7000000000000019E-3</c:v>
                </c:pt>
                <c:pt idx="6">
                  <c:v>7.3000000000000001E-3</c:v>
                </c:pt>
                <c:pt idx="7">
                  <c:v>5.1999999999999902E-3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2-4675-8D71-36A8AFD77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11600"/>
        <c:axId val="273210192"/>
      </c:scatterChart>
      <c:valAx>
        <c:axId val="2732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10192"/>
        <c:crosses val="autoZero"/>
        <c:crossBetween val="midCat"/>
      </c:valAx>
      <c:valAx>
        <c:axId val="2732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\delta 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1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Sheet1!$E$66</c:f>
              <c:strCache>
                <c:ptCount val="1"/>
                <c:pt idx="0">
                  <c:v>ys (delta 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Sheet1!$D$67:$D$77</c:f>
              <c:numCache>
                <c:formatCode>General</c:formatCode>
                <c:ptCount val="11"/>
                <c:pt idx="0">
                  <c:v>5</c:v>
                </c:pt>
                <c:pt idx="1">
                  <c:v>20</c:v>
                </c:pt>
                <c:pt idx="2">
                  <c:v>4</c:v>
                </c:pt>
                <c:pt idx="3">
                  <c:v>5</c:v>
                </c:pt>
                <c:pt idx="4">
                  <c:v>15</c:v>
                </c:pt>
                <c:pt idx="5">
                  <c:v>8</c:v>
                </c:pt>
                <c:pt idx="6">
                  <c:v>25</c:v>
                </c:pt>
                <c:pt idx="7">
                  <c:v>2</c:v>
                </c:pt>
                <c:pt idx="8">
                  <c:v>12</c:v>
                </c:pt>
                <c:pt idx="9">
                  <c:v>18</c:v>
                </c:pt>
                <c:pt idx="10">
                  <c:v>5</c:v>
                </c:pt>
              </c:numCache>
            </c:numRef>
          </c:xVal>
          <c:yVal>
            <c:numRef>
              <c:f>Sheet1!$E$67:$E$77</c:f>
              <c:numCache>
                <c:formatCode>General</c:formatCode>
                <c:ptCount val="11"/>
                <c:pt idx="0">
                  <c:v>1.6999999999999932E-3</c:v>
                </c:pt>
                <c:pt idx="1">
                  <c:v>5.2999999999999714E-3</c:v>
                </c:pt>
                <c:pt idx="2">
                  <c:v>1.3999999999999568E-3</c:v>
                </c:pt>
                <c:pt idx="3">
                  <c:v>1.7000000000000348E-3</c:v>
                </c:pt>
                <c:pt idx="4">
                  <c:v>4.5000000000000595E-3</c:v>
                </c:pt>
                <c:pt idx="5">
                  <c:v>2.2999999999999687E-3</c:v>
                </c:pt>
                <c:pt idx="6">
                  <c:v>8.9999999999999525E-3</c:v>
                </c:pt>
                <c:pt idx="7">
                  <c:v>8.0000000000002292E-4</c:v>
                </c:pt>
                <c:pt idx="8">
                  <c:v>3.5000000000000031E-3</c:v>
                </c:pt>
                <c:pt idx="9">
                  <c:v>6.1999999999999833E-3</c:v>
                </c:pt>
                <c:pt idx="10">
                  <c:v>1.6999999999999238E-3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1-4733-93AE-5FD58107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98960"/>
        <c:axId val="552399664"/>
      </c:scatterChart>
      <c:valAx>
        <c:axId val="55239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99664"/>
        <c:crosses val="autoZero"/>
        <c:crossBetween val="midCat"/>
      </c:valAx>
      <c:valAx>
        <c:axId val="5523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9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19</xdr:row>
      <xdr:rowOff>121920</xdr:rowOff>
    </xdr:from>
    <xdr:to>
      <xdr:col>12</xdr:col>
      <xdr:colOff>640080</xdr:colOff>
      <xdr:row>37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3628F4-1A3B-D64B-D1F8-A57624EA9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609600</xdr:colOff>
      <xdr:row>65</xdr:row>
      <xdr:rowOff>140970</xdr:rowOff>
    </xdr:from>
    <xdr:to>
      <xdr:col>12</xdr:col>
      <xdr:colOff>838200</xdr:colOff>
      <xdr:row>79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E300AF-89A7-F930-A233-A943B0041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77"/>
  <sheetViews>
    <sheetView tabSelected="1" topLeftCell="A25" workbookViewId="0">
      <selection activeCell="O46" sqref="O46"/>
    </sheetView>
  </sheetViews>
  <sheetFormatPr defaultColWidth="12.6640625" defaultRowHeight="15.75" customHeight="1" x14ac:dyDescent="0.25"/>
  <sheetData>
    <row r="1" spans="1:17" s="17" customFormat="1" ht="15.75" customHeight="1" x14ac:dyDescent="0.25">
      <c r="A1" s="18" t="s">
        <v>16</v>
      </c>
    </row>
    <row r="2" spans="1:17" s="21" customFormat="1" ht="15.75" customHeight="1" x14ac:dyDescent="0.25">
      <c r="A2" s="21" t="s">
        <v>0</v>
      </c>
      <c r="B2" s="21" t="s">
        <v>1</v>
      </c>
      <c r="C2" s="21" t="s">
        <v>2</v>
      </c>
      <c r="D2" s="21" t="s">
        <v>17</v>
      </c>
      <c r="E2" s="21" t="s">
        <v>18</v>
      </c>
      <c r="F2" s="21" t="s">
        <v>3</v>
      </c>
      <c r="G2" s="21" t="s">
        <v>4</v>
      </c>
      <c r="H2" s="21" t="s">
        <v>19</v>
      </c>
      <c r="I2" s="21" t="s">
        <v>24</v>
      </c>
    </row>
    <row r="3" spans="1:17" ht="15.75" customHeight="1" x14ac:dyDescent="0.25">
      <c r="A3">
        <v>0</v>
      </c>
      <c r="B3">
        <v>75</v>
      </c>
      <c r="C3">
        <v>98</v>
      </c>
      <c r="D3">
        <f>B3*0.01+C3*0.0001</f>
        <v>0.75980000000000003</v>
      </c>
      <c r="K3" s="19" t="s">
        <v>5</v>
      </c>
      <c r="N3" s="19" t="s">
        <v>25</v>
      </c>
    </row>
    <row r="4" spans="1:17" ht="15.75" customHeight="1" x14ac:dyDescent="0.25">
      <c r="A4">
        <v>5</v>
      </c>
      <c r="B4">
        <v>75</v>
      </c>
      <c r="C4">
        <v>79</v>
      </c>
      <c r="D4">
        <f t="shared" ref="D4:D18" si="0">B4*0.01+C4*0.0001</f>
        <v>0.75790000000000002</v>
      </c>
      <c r="E4">
        <f>ABS(D4-D3)</f>
        <v>1.9000000000000128E-3</v>
      </c>
      <c r="F4">
        <f>2*E4*1000000/A4</f>
        <v>760.00000000000512</v>
      </c>
      <c r="G4">
        <f>A4^2</f>
        <v>25</v>
      </c>
      <c r="H4">
        <f>A4*E4</f>
        <v>9.5000000000000639E-3</v>
      </c>
      <c r="I4">
        <f>(E4-(($L$14*A4)+$L$15))^2</f>
        <v>3.473772694364335E-8</v>
      </c>
      <c r="K4" s="19" t="s">
        <v>6</v>
      </c>
      <c r="L4">
        <f>SUM(A3:A18)</f>
        <v>88</v>
      </c>
      <c r="N4" s="19" t="s">
        <v>26</v>
      </c>
      <c r="O4" s="19">
        <f>(L8*L6)-(L4^2)</f>
        <v>2144</v>
      </c>
    </row>
    <row r="5" spans="1:17" ht="15.75" customHeight="1" x14ac:dyDescent="0.25">
      <c r="A5">
        <v>0</v>
      </c>
      <c r="B5">
        <v>2</v>
      </c>
      <c r="C5">
        <v>98</v>
      </c>
      <c r="D5">
        <f t="shared" si="0"/>
        <v>2.98E-2</v>
      </c>
      <c r="K5" s="19" t="s">
        <v>7</v>
      </c>
      <c r="L5">
        <f>SUM(E3:E18)</f>
        <v>2.8700000000000003E-2</v>
      </c>
      <c r="N5" s="19" t="s">
        <v>27</v>
      </c>
      <c r="O5">
        <f>SQRT(SUM(I4:I18)/(L8-2))</f>
        <v>7.8189040916249852E-4</v>
      </c>
    </row>
    <row r="6" spans="1:17" ht="15.75" customHeight="1" x14ac:dyDescent="0.25">
      <c r="A6">
        <v>7</v>
      </c>
      <c r="B6">
        <v>2</v>
      </c>
      <c r="C6">
        <v>70</v>
      </c>
      <c r="D6">
        <f t="shared" si="0"/>
        <v>2.7E-2</v>
      </c>
      <c r="E6">
        <f>ABS(D6-D5)</f>
        <v>2.8000000000000004E-3</v>
      </c>
      <c r="F6">
        <f>2*E6*1000000/A6</f>
        <v>800.00000000000011</v>
      </c>
      <c r="G6">
        <f t="shared" ref="G6:G18" si="1">A6^2</f>
        <v>49</v>
      </c>
      <c r="H6">
        <f t="shared" ref="H6:H18" si="2">A6*E6</f>
        <v>1.9600000000000003E-2</v>
      </c>
      <c r="I6">
        <f>(E6-(($L$14*A6)+$L$15))^2</f>
        <v>2.1321650840944346E-7</v>
      </c>
      <c r="K6" s="19" t="s">
        <v>20</v>
      </c>
      <c r="L6">
        <f>SUM(G3:G18)</f>
        <v>1236</v>
      </c>
      <c r="N6" s="19" t="s">
        <v>28</v>
      </c>
      <c r="O6">
        <f>O5*SQRT(L8/O4)</f>
        <v>4.7761558417453295E-5</v>
      </c>
    </row>
    <row r="7" spans="1:17" ht="15.75" customHeight="1" x14ac:dyDescent="0.25">
      <c r="A7">
        <v>0</v>
      </c>
      <c r="B7">
        <v>2</v>
      </c>
      <c r="C7">
        <v>70</v>
      </c>
      <c r="D7">
        <f t="shared" si="0"/>
        <v>2.7E-2</v>
      </c>
      <c r="K7" s="19" t="s">
        <v>8</v>
      </c>
      <c r="L7">
        <f>SUM(H3:H18)</f>
        <v>0.39939999999999987</v>
      </c>
      <c r="N7" s="19" t="s">
        <v>29</v>
      </c>
      <c r="O7">
        <f>O5*SQRT(L6/O4)</f>
        <v>5.9366675707054522E-4</v>
      </c>
    </row>
    <row r="8" spans="1:17" ht="15.75" customHeight="1" x14ac:dyDescent="0.25">
      <c r="A8">
        <v>10</v>
      </c>
      <c r="B8">
        <v>2</v>
      </c>
      <c r="C8">
        <v>29</v>
      </c>
      <c r="D8">
        <f t="shared" si="0"/>
        <v>2.29E-2</v>
      </c>
      <c r="E8">
        <f>ABS(D8-D7)</f>
        <v>4.0999999999999995E-3</v>
      </c>
      <c r="F8">
        <f>2*E8*1000000/A8</f>
        <v>819.99999999999977</v>
      </c>
      <c r="G8">
        <f t="shared" si="1"/>
        <v>100</v>
      </c>
      <c r="H8">
        <f t="shared" si="2"/>
        <v>4.0999999999999995E-2</v>
      </c>
      <c r="I8">
        <f>(E8-(($L$14*A8)+$L$15))^2</f>
        <v>6.8031719898640882E-7</v>
      </c>
      <c r="K8" s="19" t="s">
        <v>0</v>
      </c>
      <c r="L8">
        <v>8</v>
      </c>
      <c r="N8" s="19" t="s">
        <v>31</v>
      </c>
      <c r="O8">
        <f>SUM(I4:I18)/O5^2</f>
        <v>6</v>
      </c>
    </row>
    <row r="9" spans="1:17" ht="15.75" customHeight="1" x14ac:dyDescent="0.25">
      <c r="A9">
        <v>0</v>
      </c>
      <c r="B9">
        <v>2</v>
      </c>
      <c r="C9">
        <v>29</v>
      </c>
      <c r="D9">
        <f t="shared" si="0"/>
        <v>2.29E-2</v>
      </c>
      <c r="K9" s="1" t="s">
        <v>9</v>
      </c>
      <c r="L9" s="2"/>
      <c r="M9" s="2"/>
      <c r="N9" s="2"/>
      <c r="O9" s="2"/>
      <c r="P9" s="2"/>
      <c r="Q9" s="3"/>
    </row>
    <row r="10" spans="1:17" ht="15.75" customHeight="1" x14ac:dyDescent="0.25">
      <c r="A10">
        <v>2</v>
      </c>
      <c r="B10">
        <v>2</v>
      </c>
      <c r="C10">
        <v>24</v>
      </c>
      <c r="D10">
        <f t="shared" si="0"/>
        <v>2.24E-2</v>
      </c>
      <c r="E10">
        <f>ABS(D10-D9)</f>
        <v>5.0000000000000044E-4</v>
      </c>
      <c r="F10">
        <f>2*E10*1000000/A10</f>
        <v>500.00000000000045</v>
      </c>
      <c r="G10">
        <f t="shared" si="1"/>
        <v>4</v>
      </c>
      <c r="H10">
        <f t="shared" si="2"/>
        <v>1.0000000000000009E-3</v>
      </c>
      <c r="I10">
        <f>(E10-(($L$14*A10)+$L$15))^2</f>
        <v>7.655132685453619E-8</v>
      </c>
      <c r="K10" s="4">
        <f>L7</f>
        <v>0.39939999999999987</v>
      </c>
      <c r="L10" s="5" t="s">
        <v>10</v>
      </c>
      <c r="M10" s="5" t="s">
        <v>11</v>
      </c>
      <c r="N10" s="5">
        <f>L6</f>
        <v>1236</v>
      </c>
      <c r="O10" s="5" t="s">
        <v>12</v>
      </c>
      <c r="P10" s="5" t="s">
        <v>13</v>
      </c>
      <c r="Q10" s="6">
        <f>L4</f>
        <v>88</v>
      </c>
    </row>
    <row r="11" spans="1:17" ht="15.75" customHeight="1" x14ac:dyDescent="0.25">
      <c r="A11">
        <v>0</v>
      </c>
      <c r="B11">
        <v>0</v>
      </c>
      <c r="C11">
        <v>74</v>
      </c>
      <c r="D11">
        <f t="shared" si="0"/>
        <v>7.4000000000000003E-3</v>
      </c>
      <c r="K11" s="7" t="s">
        <v>14</v>
      </c>
      <c r="L11" s="8"/>
      <c r="M11" s="8"/>
      <c r="N11" s="8"/>
      <c r="O11" s="8"/>
      <c r="P11" s="8"/>
      <c r="Q11" s="9"/>
    </row>
    <row r="12" spans="1:17" ht="15.75" customHeight="1" x14ac:dyDescent="0.25">
      <c r="A12">
        <v>12</v>
      </c>
      <c r="B12">
        <v>0</v>
      </c>
      <c r="C12">
        <v>42</v>
      </c>
      <c r="D12">
        <f t="shared" si="0"/>
        <v>4.2000000000000006E-3</v>
      </c>
      <c r="E12">
        <f>ABS(D12-D11)</f>
        <v>3.1999999999999997E-3</v>
      </c>
      <c r="F12">
        <f>2*E12*1000000/A12</f>
        <v>533.33333333333326</v>
      </c>
      <c r="G12">
        <f t="shared" si="1"/>
        <v>144</v>
      </c>
      <c r="H12">
        <f t="shared" si="2"/>
        <v>3.8399999999999997E-2</v>
      </c>
      <c r="I12">
        <f>(E12-(($L$14*A12)+$L$15))^2</f>
        <v>4.8973884077745567E-7</v>
      </c>
      <c r="K12" s="10">
        <f>L5</f>
        <v>2.8700000000000003E-2</v>
      </c>
      <c r="L12" s="11" t="s">
        <v>10</v>
      </c>
      <c r="M12" s="11" t="s">
        <v>11</v>
      </c>
      <c r="N12" s="11">
        <f>L4</f>
        <v>88</v>
      </c>
      <c r="O12" s="11" t="s">
        <v>12</v>
      </c>
      <c r="P12" s="11" t="s">
        <v>13</v>
      </c>
      <c r="Q12" s="12">
        <f>L8</f>
        <v>8</v>
      </c>
    </row>
    <row r="13" spans="1:17" ht="15.75" customHeight="1" x14ac:dyDescent="0.25">
      <c r="A13">
        <v>0</v>
      </c>
      <c r="B13">
        <v>1</v>
      </c>
      <c r="C13">
        <v>94</v>
      </c>
      <c r="D13">
        <f t="shared" si="0"/>
        <v>1.9400000000000001E-2</v>
      </c>
    </row>
    <row r="14" spans="1:17" ht="15.75" customHeight="1" x14ac:dyDescent="0.25">
      <c r="A14">
        <v>15</v>
      </c>
      <c r="B14">
        <v>1</v>
      </c>
      <c r="C14">
        <v>57</v>
      </c>
      <c r="D14">
        <f t="shared" si="0"/>
        <v>1.5699999999999999E-2</v>
      </c>
      <c r="E14">
        <f>ABS(D14-D13)</f>
        <v>3.7000000000000019E-3</v>
      </c>
      <c r="F14">
        <f>2*E14*1000000/A14</f>
        <v>493.3333333333336</v>
      </c>
      <c r="G14">
        <f t="shared" si="1"/>
        <v>225</v>
      </c>
      <c r="H14">
        <f t="shared" si="2"/>
        <v>5.5500000000000028E-2</v>
      </c>
      <c r="I14">
        <f>(E14-(($L$14*A14)+$L$15))^2</f>
        <v>1.2922090457228702E-6</v>
      </c>
      <c r="K14" s="13" t="s">
        <v>11</v>
      </c>
      <c r="L14" s="14">
        <f>(K10-Q10*L15)/N10</f>
        <v>3.1231343283582029E-4</v>
      </c>
      <c r="M14">
        <f>O6</f>
        <v>4.7761558417453295E-5</v>
      </c>
    </row>
    <row r="15" spans="1:17" ht="15.75" customHeight="1" x14ac:dyDescent="0.25">
      <c r="A15">
        <v>0</v>
      </c>
      <c r="B15">
        <v>1</v>
      </c>
      <c r="C15">
        <v>48</v>
      </c>
      <c r="D15">
        <f t="shared" si="0"/>
        <v>1.4800000000000001E-2</v>
      </c>
      <c r="K15" s="15" t="s">
        <v>13</v>
      </c>
      <c r="L15" s="16">
        <f>((N10*K12)-(N12*K10))/((N10*Q12)-(N12*Q10))</f>
        <v>1.5205223880597701E-4</v>
      </c>
      <c r="M15">
        <f>O7</f>
        <v>5.9366675707054522E-4</v>
      </c>
    </row>
    <row r="16" spans="1:17" ht="15.75" customHeight="1" x14ac:dyDescent="0.25">
      <c r="A16">
        <v>20</v>
      </c>
      <c r="B16">
        <v>0</v>
      </c>
      <c r="C16">
        <v>75</v>
      </c>
      <c r="D16">
        <f t="shared" si="0"/>
        <v>7.5000000000000006E-3</v>
      </c>
      <c r="E16">
        <f>ABS(D16-D15)</f>
        <v>7.3000000000000001E-3</v>
      </c>
      <c r="F16">
        <f>2*E16*1000000/A16</f>
        <v>730</v>
      </c>
      <c r="G16">
        <f t="shared" si="1"/>
        <v>400</v>
      </c>
      <c r="H16">
        <f t="shared" si="2"/>
        <v>0.14599999999999999</v>
      </c>
      <c r="I16">
        <f>(E16-(($L$14*A16)+$L$15))^2</f>
        <v>8.1302520745155649E-7</v>
      </c>
    </row>
    <row r="17" spans="1:16" ht="15.75" customHeight="1" x14ac:dyDescent="0.25">
      <c r="A17">
        <v>0</v>
      </c>
      <c r="B17">
        <v>0</v>
      </c>
      <c r="C17">
        <v>41</v>
      </c>
      <c r="D17">
        <f t="shared" si="0"/>
        <v>4.1000000000000003E-3</v>
      </c>
      <c r="K17" s="19" t="s">
        <v>23</v>
      </c>
      <c r="L17">
        <f>2*L14*1000000</f>
        <v>624.62686567164053</v>
      </c>
      <c r="M17">
        <f>(M14/L14)*L17</f>
        <v>95.523116834906588</v>
      </c>
      <c r="N17" s="19" t="s">
        <v>15</v>
      </c>
    </row>
    <row r="18" spans="1:16" ht="15.75" customHeight="1" x14ac:dyDescent="0.25">
      <c r="A18">
        <v>17</v>
      </c>
      <c r="B18">
        <v>99</v>
      </c>
      <c r="C18">
        <v>89</v>
      </c>
      <c r="D18">
        <f t="shared" si="0"/>
        <v>0.99890000000000001</v>
      </c>
      <c r="E18">
        <f>ABS(1-D18+D17)</f>
        <v>5.1999999999999902E-3</v>
      </c>
      <c r="F18">
        <f>2*E18*1000000/A18</f>
        <v>611.76470588235179</v>
      </c>
      <c r="G18">
        <f t="shared" si="1"/>
        <v>289</v>
      </c>
      <c r="H18">
        <f t="shared" si="2"/>
        <v>8.839999999999984E-2</v>
      </c>
      <c r="I18">
        <f>(E18-(($L$14*A18)+$L$15))^2</f>
        <v>6.8319816495882125E-8</v>
      </c>
      <c r="O18" t="s">
        <v>32</v>
      </c>
      <c r="P18" s="22">
        <v>1E-4</v>
      </c>
    </row>
    <row r="19" spans="1:16" ht="15.75" customHeight="1" x14ac:dyDescent="0.25">
      <c r="I19">
        <f>SUM(I4:I18)</f>
        <v>3.6681156716417963E-6</v>
      </c>
      <c r="O19" t="s">
        <v>33</v>
      </c>
      <c r="P19" s="22">
        <f>L4/P18^2</f>
        <v>8800000000</v>
      </c>
    </row>
    <row r="20" spans="1:16" ht="15.75" customHeight="1" x14ac:dyDescent="0.25">
      <c r="O20" t="s">
        <v>34</v>
      </c>
      <c r="P20" s="22">
        <f>L6/P18^2</f>
        <v>123600000000</v>
      </c>
    </row>
    <row r="21" spans="1:16" ht="15.75" customHeight="1" x14ac:dyDescent="0.25">
      <c r="D21" s="20" t="s">
        <v>21</v>
      </c>
      <c r="E21" s="20" t="s">
        <v>22</v>
      </c>
      <c r="O21" t="s">
        <v>35</v>
      </c>
      <c r="P21" s="22">
        <f>L5/P18^2</f>
        <v>2870000.0000000005</v>
      </c>
    </row>
    <row r="22" spans="1:16" ht="15.75" customHeight="1" x14ac:dyDescent="0.25">
      <c r="D22" s="17">
        <f>A4</f>
        <v>5</v>
      </c>
      <c r="E22" s="17">
        <f>E4</f>
        <v>1.9000000000000128E-3</v>
      </c>
      <c r="O22" t="s">
        <v>36</v>
      </c>
      <c r="P22" s="22">
        <f>L8/P18^2</f>
        <v>800000000</v>
      </c>
    </row>
    <row r="23" spans="1:16" ht="15.75" customHeight="1" x14ac:dyDescent="0.25">
      <c r="D23" s="17">
        <f>A6</f>
        <v>7</v>
      </c>
      <c r="E23" s="17">
        <f>E6</f>
        <v>2.8000000000000004E-3</v>
      </c>
      <c r="O23" t="s">
        <v>37</v>
      </c>
      <c r="P23" s="22">
        <f>L7/P18^2</f>
        <v>39939999.999999985</v>
      </c>
    </row>
    <row r="24" spans="1:16" ht="15.75" customHeight="1" x14ac:dyDescent="0.25">
      <c r="D24" s="17">
        <f>A8</f>
        <v>10</v>
      </c>
      <c r="E24" s="17">
        <f>E8</f>
        <v>4.0999999999999995E-3</v>
      </c>
      <c r="P24" s="22"/>
    </row>
    <row r="25" spans="1:16" ht="15.75" customHeight="1" x14ac:dyDescent="0.25">
      <c r="D25" s="17">
        <f>A10</f>
        <v>2</v>
      </c>
      <c r="E25" s="17">
        <f>E10</f>
        <v>5.0000000000000044E-4</v>
      </c>
      <c r="O25" t="s">
        <v>26</v>
      </c>
      <c r="P25" s="22">
        <f>(P20*P22)-P19^2</f>
        <v>2.144E+19</v>
      </c>
    </row>
    <row r="26" spans="1:16" ht="15.75" customHeight="1" x14ac:dyDescent="0.25">
      <c r="D26" s="17">
        <f>A12</f>
        <v>12</v>
      </c>
      <c r="E26" s="17">
        <f>E12</f>
        <v>3.1999999999999997E-3</v>
      </c>
      <c r="O26" t="s">
        <v>11</v>
      </c>
      <c r="P26" s="22">
        <f>(P20*P21-P19*P23)/P25</f>
        <v>1.520522388059791E-4</v>
      </c>
    </row>
    <row r="27" spans="1:16" ht="15.75" customHeight="1" x14ac:dyDescent="0.25">
      <c r="D27" s="17">
        <f>A14</f>
        <v>15</v>
      </c>
      <c r="E27" s="17">
        <f>E14</f>
        <v>3.7000000000000019E-3</v>
      </c>
      <c r="O27" t="s">
        <v>13</v>
      </c>
      <c r="P27" s="22">
        <f>(P22*P23-P19*P21)/P25</f>
        <v>3.1231343283582013E-4</v>
      </c>
    </row>
    <row r="28" spans="1:16" ht="15.75" customHeight="1" x14ac:dyDescent="0.25">
      <c r="D28" s="17">
        <f>A16</f>
        <v>20</v>
      </c>
      <c r="E28" s="17">
        <f>E16</f>
        <v>7.3000000000000001E-3</v>
      </c>
      <c r="P28" s="22"/>
    </row>
    <row r="29" spans="1:16" ht="15.75" customHeight="1" x14ac:dyDescent="0.25">
      <c r="D29" s="17">
        <f>A18</f>
        <v>17</v>
      </c>
      <c r="E29" s="17">
        <f>E18</f>
        <v>5.1999999999999902E-3</v>
      </c>
      <c r="O29" t="s">
        <v>28</v>
      </c>
      <c r="P29" s="22">
        <f>SQRT(P20/P25)</f>
        <v>7.5927105654926221E-5</v>
      </c>
    </row>
    <row r="30" spans="1:16" ht="15.75" customHeight="1" x14ac:dyDescent="0.25">
      <c r="O30" t="s">
        <v>29</v>
      </c>
      <c r="P30" s="22">
        <f>SQRT(P22/P25)</f>
        <v>6.1084722178152611E-6</v>
      </c>
    </row>
    <row r="41" spans="1:17" ht="15.75" customHeight="1" x14ac:dyDescent="0.25">
      <c r="A41" s="18" t="s">
        <v>30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.75" customHeight="1" x14ac:dyDescent="0.25">
      <c r="A42" s="21" t="s">
        <v>0</v>
      </c>
      <c r="B42" s="21" t="s">
        <v>1</v>
      </c>
      <c r="C42" s="21" t="s">
        <v>2</v>
      </c>
      <c r="D42" s="21" t="s">
        <v>17</v>
      </c>
      <c r="E42" s="21" t="s">
        <v>18</v>
      </c>
      <c r="F42" s="21" t="s">
        <v>3</v>
      </c>
      <c r="G42" s="21" t="s">
        <v>4</v>
      </c>
      <c r="H42" s="21" t="s">
        <v>19</v>
      </c>
      <c r="I42" s="21" t="s">
        <v>24</v>
      </c>
      <c r="J42" s="21"/>
      <c r="K42" s="21"/>
      <c r="L42" s="21"/>
      <c r="M42" s="21"/>
      <c r="N42" s="21"/>
      <c r="O42" s="21"/>
      <c r="P42" s="21"/>
      <c r="Q42" s="21"/>
    </row>
    <row r="43" spans="1:17" ht="15.75" customHeight="1" x14ac:dyDescent="0.25">
      <c r="A43">
        <f ca="1">A43:C1297</f>
        <v>0</v>
      </c>
      <c r="B43">
        <v>10</v>
      </c>
      <c r="C43">
        <v>82</v>
      </c>
      <c r="D43">
        <f>B43*0.01+C43*0.0001</f>
        <v>0.1082</v>
      </c>
      <c r="K43" s="19" t="s">
        <v>5</v>
      </c>
      <c r="N43" s="19" t="s">
        <v>25</v>
      </c>
    </row>
    <row r="44" spans="1:17" ht="15.75" customHeight="1" x14ac:dyDescent="0.25">
      <c r="A44">
        <v>5</v>
      </c>
      <c r="B44">
        <v>10</v>
      </c>
      <c r="C44">
        <v>65</v>
      </c>
      <c r="D44">
        <f t="shared" ref="D44:D64" si="3">B44*0.01+C44*0.0001</f>
        <v>0.10650000000000001</v>
      </c>
      <c r="E44">
        <f>ABS(D44-D43)</f>
        <v>1.6999999999999932E-3</v>
      </c>
      <c r="F44">
        <f>2*E44*1000000/A44</f>
        <v>679.99999999999727</v>
      </c>
      <c r="G44">
        <f>A44^2</f>
        <v>25</v>
      </c>
      <c r="H44">
        <f>A44*E44</f>
        <v>8.4999999999999659E-3</v>
      </c>
      <c r="I44">
        <f>(E44-(($L$54*A44)+$L$55))^2</f>
        <v>1.4715492910606925E-8</v>
      </c>
      <c r="K44" s="19" t="s">
        <v>6</v>
      </c>
      <c r="L44">
        <f>SUM(D67:D77)</f>
        <v>119</v>
      </c>
      <c r="N44" s="19" t="s">
        <v>26</v>
      </c>
      <c r="O44" s="19">
        <f>(L48*L46)-(L44^2)</f>
        <v>6486</v>
      </c>
    </row>
    <row r="45" spans="1:17" ht="15.75" customHeight="1" x14ac:dyDescent="0.25">
      <c r="A45">
        <v>0</v>
      </c>
      <c r="B45">
        <v>99</v>
      </c>
      <c r="C45">
        <v>23</v>
      </c>
      <c r="D45">
        <f t="shared" si="3"/>
        <v>0.99229999999999996</v>
      </c>
      <c r="K45" s="19" t="s">
        <v>7</v>
      </c>
      <c r="L45">
        <f>SUM(E43:E64)</f>
        <v>3.809999999999987E-2</v>
      </c>
      <c r="N45" s="19" t="s">
        <v>27</v>
      </c>
      <c r="O45">
        <f>SQRT(SUM(I44:I64)/(L48-2))</f>
        <v>5.5150786740564082E-4</v>
      </c>
    </row>
    <row r="46" spans="1:17" ht="15.75" customHeight="1" x14ac:dyDescent="0.25">
      <c r="A46">
        <v>20</v>
      </c>
      <c r="B46">
        <v>98</v>
      </c>
      <c r="C46">
        <v>70</v>
      </c>
      <c r="D46">
        <f t="shared" si="3"/>
        <v>0.98699999999999999</v>
      </c>
      <c r="E46">
        <f>ABS(D46-D45)</f>
        <v>5.2999999999999714E-3</v>
      </c>
      <c r="F46">
        <f>2*E46*1000000/A46</f>
        <v>529.99999999999716</v>
      </c>
      <c r="G46">
        <f t="shared" ref="G46" si="4">A46^2</f>
        <v>400</v>
      </c>
      <c r="H46">
        <f t="shared" ref="H46" si="5">A46*E46</f>
        <v>0.10599999999999943</v>
      </c>
      <c r="I46">
        <f>(E46-(($L$54*A46)+$L$55))^2</f>
        <v>1.2957571465627167E-6</v>
      </c>
      <c r="K46" s="19" t="s">
        <v>20</v>
      </c>
      <c r="L46">
        <f>SUM(G43:G64)</f>
        <v>1877</v>
      </c>
      <c r="N46" s="19" t="s">
        <v>28</v>
      </c>
      <c r="O46">
        <f>O45*SQRT(L48/O44)</f>
        <v>2.2712219804500934E-5</v>
      </c>
    </row>
    <row r="47" spans="1:17" ht="15.75" customHeight="1" x14ac:dyDescent="0.25">
      <c r="A47">
        <v>0</v>
      </c>
      <c r="B47">
        <v>98</v>
      </c>
      <c r="C47">
        <v>70</v>
      </c>
      <c r="D47">
        <f t="shared" si="3"/>
        <v>0.98699999999999999</v>
      </c>
      <c r="K47" s="19" t="s">
        <v>8</v>
      </c>
      <c r="L47">
        <f>SUM(H43:H64)</f>
        <v>0.60319999999999829</v>
      </c>
      <c r="N47" s="19" t="s">
        <v>29</v>
      </c>
      <c r="O47">
        <f>O45*SQRT(L46/O44)</f>
        <v>2.9668485433304617E-4</v>
      </c>
    </row>
    <row r="48" spans="1:17" ht="15.75" customHeight="1" x14ac:dyDescent="0.25">
      <c r="A48">
        <v>4</v>
      </c>
      <c r="B48">
        <v>98</v>
      </c>
      <c r="C48">
        <v>56</v>
      </c>
      <c r="D48">
        <f t="shared" si="3"/>
        <v>0.98560000000000003</v>
      </c>
      <c r="E48">
        <f>ABS(D48-D47)</f>
        <v>1.3999999999999568E-3</v>
      </c>
      <c r="F48">
        <f>2*E48*1000000/A48</f>
        <v>699.9999999999784</v>
      </c>
      <c r="G48">
        <f t="shared" ref="G48" si="6">A48^2</f>
        <v>16</v>
      </c>
      <c r="H48">
        <f t="shared" ref="H48" si="7">A48*E48</f>
        <v>5.5999999999998273E-3</v>
      </c>
      <c r="I48">
        <f>(E48-(($L$54*A48)+$L$55))^2</f>
        <v>2.1106901993125067E-8</v>
      </c>
      <c r="K48" s="19" t="s">
        <v>0</v>
      </c>
      <c r="L48">
        <v>11</v>
      </c>
      <c r="N48" s="19" t="s">
        <v>31</v>
      </c>
      <c r="O48">
        <f>SUM(I44:I58)/O45^2</f>
        <v>8.0051638012413786</v>
      </c>
    </row>
    <row r="49" spans="1:17" ht="15.75" customHeight="1" x14ac:dyDescent="0.25">
      <c r="A49">
        <v>0</v>
      </c>
      <c r="B49">
        <v>98</v>
      </c>
      <c r="C49">
        <v>56</v>
      </c>
      <c r="D49">
        <f t="shared" si="3"/>
        <v>0.98560000000000003</v>
      </c>
      <c r="K49" s="1" t="s">
        <v>9</v>
      </c>
      <c r="L49" s="2"/>
      <c r="M49" s="2"/>
      <c r="N49" s="2"/>
      <c r="O49" s="2"/>
      <c r="P49" s="2"/>
      <c r="Q49" s="3"/>
    </row>
    <row r="50" spans="1:17" ht="15.75" customHeight="1" x14ac:dyDescent="0.25">
      <c r="A50">
        <v>5</v>
      </c>
      <c r="B50">
        <v>98</v>
      </c>
      <c r="C50">
        <v>39</v>
      </c>
      <c r="D50">
        <f t="shared" si="3"/>
        <v>0.9839</v>
      </c>
      <c r="E50">
        <f>ABS(D50-D49)</f>
        <v>1.7000000000000348E-3</v>
      </c>
      <c r="F50">
        <f>2*E50*1000000/A50</f>
        <v>680.00000000001387</v>
      </c>
      <c r="G50">
        <f t="shared" ref="G50" si="8">A50^2</f>
        <v>25</v>
      </c>
      <c r="H50">
        <f t="shared" ref="H50" si="9">A50*E50</f>
        <v>8.5000000000001741E-3</v>
      </c>
      <c r="I50">
        <f>(E50-(($L$54*A50)+$L$55))^2</f>
        <v>1.4715492910617025E-8</v>
      </c>
      <c r="K50" s="4">
        <f>L47</f>
        <v>0.60319999999999829</v>
      </c>
      <c r="L50" s="5" t="s">
        <v>10</v>
      </c>
      <c r="M50" s="5" t="s">
        <v>11</v>
      </c>
      <c r="N50" s="5">
        <f>L46</f>
        <v>1877</v>
      </c>
      <c r="O50" s="5" t="s">
        <v>12</v>
      </c>
      <c r="P50" s="5" t="s">
        <v>13</v>
      </c>
      <c r="Q50" s="6">
        <f>L44</f>
        <v>119</v>
      </c>
    </row>
    <row r="51" spans="1:17" ht="15.75" customHeight="1" x14ac:dyDescent="0.25">
      <c r="A51">
        <v>0</v>
      </c>
      <c r="B51">
        <v>80</v>
      </c>
      <c r="C51">
        <v>20</v>
      </c>
      <c r="D51">
        <f t="shared" si="3"/>
        <v>0.80200000000000005</v>
      </c>
      <c r="K51" s="7" t="s">
        <v>14</v>
      </c>
      <c r="L51" s="8"/>
      <c r="M51" s="8"/>
      <c r="N51" s="8"/>
      <c r="O51" s="8"/>
      <c r="P51" s="8"/>
      <c r="Q51" s="9"/>
    </row>
    <row r="52" spans="1:17" ht="15.75" customHeight="1" x14ac:dyDescent="0.25">
      <c r="A52">
        <v>15</v>
      </c>
      <c r="B52">
        <v>79</v>
      </c>
      <c r="C52">
        <v>75</v>
      </c>
      <c r="D52">
        <f t="shared" si="3"/>
        <v>0.79749999999999999</v>
      </c>
      <c r="E52">
        <f>ABS(D52-D51)</f>
        <v>4.5000000000000595E-3</v>
      </c>
      <c r="F52">
        <f>2*E52*1000000/A52</f>
        <v>600.00000000000784</v>
      </c>
      <c r="G52">
        <f t="shared" ref="G52" si="10">A52^2</f>
        <v>225</v>
      </c>
      <c r="H52">
        <f t="shared" ref="H52" si="11">A52*E52</f>
        <v>6.7500000000000893E-2</v>
      </c>
      <c r="I52">
        <f>(E52-(($L$54*A52)+$L$55))^2</f>
        <v>1.0140385292485679E-7</v>
      </c>
      <c r="K52" s="10">
        <f>L45</f>
        <v>3.809999999999987E-2</v>
      </c>
      <c r="L52" s="11" t="s">
        <v>10</v>
      </c>
      <c r="M52" s="11" t="s">
        <v>11</v>
      </c>
      <c r="N52" s="11">
        <f>L44</f>
        <v>119</v>
      </c>
      <c r="O52" s="11" t="s">
        <v>12</v>
      </c>
      <c r="P52" s="11" t="s">
        <v>13</v>
      </c>
      <c r="Q52" s="12">
        <f>L48</f>
        <v>11</v>
      </c>
    </row>
    <row r="53" spans="1:17" ht="15.75" customHeight="1" x14ac:dyDescent="0.25">
      <c r="A53">
        <v>0</v>
      </c>
      <c r="B53">
        <v>79</v>
      </c>
      <c r="C53">
        <v>75</v>
      </c>
      <c r="D53">
        <f t="shared" si="3"/>
        <v>0.79749999999999999</v>
      </c>
    </row>
    <row r="54" spans="1:17" ht="15.75" customHeight="1" x14ac:dyDescent="0.25">
      <c r="A54">
        <v>8</v>
      </c>
      <c r="B54">
        <v>79</v>
      </c>
      <c r="C54">
        <v>52</v>
      </c>
      <c r="D54">
        <f t="shared" si="3"/>
        <v>0.79520000000000002</v>
      </c>
      <c r="E54">
        <f>ABS(D54-D53)</f>
        <v>2.2999999999999687E-3</v>
      </c>
      <c r="F54">
        <f>2*E54*1000000/A54</f>
        <v>574.99999999999216</v>
      </c>
      <c r="G54">
        <f t="shared" ref="G54" si="12">A54^2</f>
        <v>64</v>
      </c>
      <c r="H54">
        <f t="shared" ref="H54" si="13">A54*E54</f>
        <v>1.839999999999975E-2</v>
      </c>
      <c r="I54">
        <f>(E54-(($L$54*A54)+$L$55))^2</f>
        <v>6.2808736794904116E-8</v>
      </c>
      <c r="K54" s="13" t="s">
        <v>11</v>
      </c>
      <c r="L54" s="14">
        <f>(K50-Q50*L55)/N50</f>
        <v>3.2397471477027393E-4</v>
      </c>
      <c r="M54">
        <f>O46</f>
        <v>2.2712219804500934E-5</v>
      </c>
    </row>
    <row r="55" spans="1:17" ht="15.75" customHeight="1" x14ac:dyDescent="0.25">
      <c r="A55">
        <v>0</v>
      </c>
      <c r="B55">
        <v>50</v>
      </c>
      <c r="C55">
        <v>15</v>
      </c>
      <c r="D55">
        <f t="shared" si="3"/>
        <v>0.50149999999999995</v>
      </c>
      <c r="K55" s="15" t="s">
        <v>13</v>
      </c>
      <c r="L55" s="16">
        <f>((N50*K52)-(N52*K50))/((N50*Q52)-(N52*Q50))</f>
        <v>-4.1181005242066273E-5</v>
      </c>
      <c r="M55">
        <f>O47</f>
        <v>2.9668485433304617E-4</v>
      </c>
    </row>
    <row r="56" spans="1:17" ht="15.75" customHeight="1" x14ac:dyDescent="0.25">
      <c r="A56">
        <v>25</v>
      </c>
      <c r="B56">
        <v>49</v>
      </c>
      <c r="C56">
        <v>25</v>
      </c>
      <c r="D56">
        <f t="shared" si="3"/>
        <v>0.49249999999999999</v>
      </c>
      <c r="E56">
        <f>ABS(D56-D55)</f>
        <v>8.9999999999999525E-3</v>
      </c>
      <c r="F56">
        <f>2*E56*1000000/A56</f>
        <v>719.99999999999625</v>
      </c>
      <c r="G56">
        <f t="shared" ref="G56" si="14">A56^2</f>
        <v>625</v>
      </c>
      <c r="H56">
        <f t="shared" ref="H56" si="15">A56*E56</f>
        <v>0.22499999999999881</v>
      </c>
      <c r="I56">
        <f>(E56-(($L$54*A56)+$L$55))^2</f>
        <v>8.8701198311422165E-7</v>
      </c>
    </row>
    <row r="57" spans="1:17" ht="15.75" customHeight="1" x14ac:dyDescent="0.25">
      <c r="A57">
        <v>0</v>
      </c>
      <c r="B57">
        <v>49</v>
      </c>
      <c r="C57">
        <v>25</v>
      </c>
      <c r="D57">
        <f t="shared" si="3"/>
        <v>0.49249999999999999</v>
      </c>
      <c r="K57" s="19" t="s">
        <v>23</v>
      </c>
      <c r="L57">
        <f>2*L54*1000000</f>
        <v>647.94942954054784</v>
      </c>
      <c r="M57">
        <f>(M54/L54)*L57</f>
        <v>45.424439609001858</v>
      </c>
      <c r="N57" s="19" t="s">
        <v>15</v>
      </c>
    </row>
    <row r="58" spans="1:17" ht="15.75" customHeight="1" x14ac:dyDescent="0.25">
      <c r="A58">
        <v>2</v>
      </c>
      <c r="B58">
        <v>49</v>
      </c>
      <c r="C58">
        <v>17</v>
      </c>
      <c r="D58">
        <f t="shared" si="3"/>
        <v>0.49169999999999997</v>
      </c>
      <c r="E58">
        <f>ABS(D58-D57)</f>
        <v>8.0000000000002292E-4</v>
      </c>
      <c r="F58">
        <f>2*E58*1000000/A58</f>
        <v>800.00000000002296</v>
      </c>
      <c r="G58">
        <f t="shared" ref="G58:G64" si="16">A58^2</f>
        <v>4</v>
      </c>
      <c r="H58">
        <f t="shared" ref="H58:H64" si="17">A58*E58</f>
        <v>1.6000000000000458E-3</v>
      </c>
      <c r="I58">
        <f>(E58-(($L$54*A58)+$L$55))^2</f>
        <v>3.7338441848100498E-8</v>
      </c>
      <c r="O58" t="s">
        <v>32</v>
      </c>
      <c r="P58" s="22">
        <v>1E-4</v>
      </c>
    </row>
    <row r="59" spans="1:17" ht="15.75" customHeight="1" x14ac:dyDescent="0.25">
      <c r="A59">
        <v>0</v>
      </c>
      <c r="B59">
        <v>40</v>
      </c>
      <c r="C59">
        <v>30</v>
      </c>
      <c r="D59">
        <f t="shared" si="3"/>
        <v>0.40300000000000002</v>
      </c>
      <c r="O59" t="s">
        <v>33</v>
      </c>
      <c r="P59" s="22">
        <f>L44/P58^2</f>
        <v>11900000000</v>
      </c>
    </row>
    <row r="60" spans="1:17" ht="15.75" customHeight="1" x14ac:dyDescent="0.25">
      <c r="A60">
        <v>12</v>
      </c>
      <c r="B60">
        <v>39</v>
      </c>
      <c r="C60">
        <v>95</v>
      </c>
      <c r="D60">
        <f t="shared" si="3"/>
        <v>0.39950000000000002</v>
      </c>
      <c r="E60">
        <f>ABS(D60-D59)</f>
        <v>3.5000000000000031E-3</v>
      </c>
      <c r="F60">
        <f>2*E60/A60</f>
        <v>5.8333333333333382E-4</v>
      </c>
      <c r="G60">
        <f t="shared" si="16"/>
        <v>144</v>
      </c>
      <c r="H60">
        <f t="shared" si="17"/>
        <v>4.2000000000000037E-2</v>
      </c>
      <c r="I60">
        <f>(E60-(($L$54*A60)+$L$55))^2</f>
        <v>1.2007304163933132E-7</v>
      </c>
      <c r="O60" t="s">
        <v>34</v>
      </c>
      <c r="P60" s="22">
        <f>L46/P58^2</f>
        <v>187700000000</v>
      </c>
    </row>
    <row r="61" spans="1:17" ht="15.75" customHeight="1" x14ac:dyDescent="0.25">
      <c r="A61">
        <v>0</v>
      </c>
      <c r="B61">
        <v>30</v>
      </c>
      <c r="C61">
        <v>20</v>
      </c>
      <c r="D61">
        <f t="shared" si="3"/>
        <v>0.30199999999999999</v>
      </c>
      <c r="O61" t="s">
        <v>35</v>
      </c>
      <c r="P61" s="22">
        <f>L45/P58^2</f>
        <v>3809999.999999987</v>
      </c>
    </row>
    <row r="62" spans="1:17" ht="15.75" customHeight="1" x14ac:dyDescent="0.25">
      <c r="A62">
        <v>18</v>
      </c>
      <c r="B62">
        <v>29</v>
      </c>
      <c r="C62">
        <v>58</v>
      </c>
      <c r="D62">
        <f t="shared" si="3"/>
        <v>0.29580000000000001</v>
      </c>
      <c r="E62">
        <f>ABS(D62-D61)</f>
        <v>6.1999999999999833E-3</v>
      </c>
      <c r="F62">
        <f>2*E62*1000000/A62</f>
        <v>688.8888888888871</v>
      </c>
      <c r="G62">
        <f t="shared" si="16"/>
        <v>324</v>
      </c>
      <c r="H62">
        <f t="shared" si="17"/>
        <v>0.1115999999999997</v>
      </c>
      <c r="I62">
        <f>(E62-(($L$54*A62)+$L$55))^2</f>
        <v>1.6780176668379038E-7</v>
      </c>
      <c r="O62" t="s">
        <v>36</v>
      </c>
      <c r="P62" s="22">
        <f>L48/P58^2</f>
        <v>1100000000</v>
      </c>
    </row>
    <row r="63" spans="1:17" ht="15.75" customHeight="1" x14ac:dyDescent="0.25">
      <c r="A63">
        <v>0</v>
      </c>
      <c r="B63">
        <v>97</v>
      </c>
      <c r="C63">
        <v>95</v>
      </c>
      <c r="D63">
        <f t="shared" si="3"/>
        <v>0.97949999999999993</v>
      </c>
      <c r="O63" t="s">
        <v>37</v>
      </c>
      <c r="P63" s="22">
        <f>L47/P58^2</f>
        <v>60319999.999999829</v>
      </c>
    </row>
    <row r="64" spans="1:17" ht="15.75" customHeight="1" x14ac:dyDescent="0.25">
      <c r="A64">
        <v>5</v>
      </c>
      <c r="B64">
        <v>97</v>
      </c>
      <c r="C64">
        <v>78</v>
      </c>
      <c r="D64">
        <f t="shared" si="3"/>
        <v>0.9778</v>
      </c>
      <c r="E64">
        <f>ABS(D64-D63)</f>
        <v>1.6999999999999238E-3</v>
      </c>
      <c r="F64">
        <f>2*E64*1000000/A64</f>
        <v>679.99999999996953</v>
      </c>
      <c r="G64">
        <f t="shared" si="16"/>
        <v>25</v>
      </c>
      <c r="H64">
        <f t="shared" si="17"/>
        <v>8.499999999999619E-3</v>
      </c>
      <c r="I64">
        <f>(E64-(($L$54*A64)+$L$55))^2</f>
        <v>1.471549291059009E-8</v>
      </c>
      <c r="P64" s="22"/>
    </row>
    <row r="65" spans="4:16" ht="15.75" customHeight="1" x14ac:dyDescent="0.25">
      <c r="I65">
        <f>SUM(I44:I64)</f>
        <v>2.7374483502928609E-6</v>
      </c>
      <c r="O65" t="s">
        <v>26</v>
      </c>
      <c r="P65" s="22">
        <f>(P60*P62)-P59^2</f>
        <v>6.486E+19</v>
      </c>
    </row>
    <row r="66" spans="4:16" ht="15.75" customHeight="1" x14ac:dyDescent="0.25">
      <c r="D66" s="20" t="s">
        <v>21</v>
      </c>
      <c r="E66" s="20" t="s">
        <v>22</v>
      </c>
      <c r="O66" t="s">
        <v>11</v>
      </c>
      <c r="P66" s="22">
        <f>(P60*P61-P59*P63)/P65</f>
        <v>-4.1181005242065744E-5</v>
      </c>
    </row>
    <row r="67" spans="4:16" ht="15.75" customHeight="1" x14ac:dyDescent="0.25">
      <c r="D67" s="17">
        <f>A44</f>
        <v>5</v>
      </c>
      <c r="E67" s="17">
        <f>E44</f>
        <v>1.6999999999999932E-3</v>
      </c>
      <c r="O67" t="s">
        <v>13</v>
      </c>
      <c r="P67" s="22">
        <f>(P62*P63-P59*P61)/P65</f>
        <v>3.2397471477027382E-4</v>
      </c>
    </row>
    <row r="68" spans="4:16" ht="15.75" customHeight="1" x14ac:dyDescent="0.25">
      <c r="D68" s="17">
        <f>A46</f>
        <v>20</v>
      </c>
      <c r="E68" s="17">
        <f>E46</f>
        <v>5.2999999999999714E-3</v>
      </c>
      <c r="P68" s="22"/>
    </row>
    <row r="69" spans="4:16" ht="15.75" customHeight="1" x14ac:dyDescent="0.25">
      <c r="D69" s="17">
        <f>A48</f>
        <v>4</v>
      </c>
      <c r="E69" s="17">
        <f>E48</f>
        <v>1.3999999999999568E-3</v>
      </c>
      <c r="O69" t="s">
        <v>28</v>
      </c>
      <c r="P69" s="22">
        <f>SQRT(P60/P65)</f>
        <v>5.3795217052602958E-5</v>
      </c>
    </row>
    <row r="70" spans="4:16" ht="15.75" customHeight="1" x14ac:dyDescent="0.25">
      <c r="D70" s="17">
        <f>A50</f>
        <v>5</v>
      </c>
      <c r="E70" s="17">
        <f>E50</f>
        <v>1.7000000000000348E-3</v>
      </c>
      <c r="O70" t="s">
        <v>29</v>
      </c>
      <c r="P70" s="22">
        <f>SQRT(P62/P65)</f>
        <v>4.1182041357527566E-6</v>
      </c>
    </row>
    <row r="71" spans="4:16" ht="15.75" customHeight="1" x14ac:dyDescent="0.25">
      <c r="D71" s="17">
        <f>A52</f>
        <v>15</v>
      </c>
      <c r="E71" s="17">
        <f>E52</f>
        <v>4.5000000000000595E-3</v>
      </c>
    </row>
    <row r="72" spans="4:16" ht="15.75" customHeight="1" x14ac:dyDescent="0.25">
      <c r="D72" s="17">
        <f>A54</f>
        <v>8</v>
      </c>
      <c r="E72" s="17">
        <f>E54</f>
        <v>2.2999999999999687E-3</v>
      </c>
    </row>
    <row r="73" spans="4:16" ht="15.75" customHeight="1" x14ac:dyDescent="0.25">
      <c r="D73" s="17">
        <f>A56</f>
        <v>25</v>
      </c>
      <c r="E73" s="17">
        <f>E56</f>
        <v>8.9999999999999525E-3</v>
      </c>
    </row>
    <row r="74" spans="4:16" ht="15.75" customHeight="1" x14ac:dyDescent="0.25">
      <c r="D74" s="17">
        <f>A58</f>
        <v>2</v>
      </c>
      <c r="E74" s="17">
        <f>E58</f>
        <v>8.0000000000002292E-4</v>
      </c>
    </row>
    <row r="75" spans="4:16" ht="15.75" customHeight="1" x14ac:dyDescent="0.25">
      <c r="D75" s="17">
        <f>A60</f>
        <v>12</v>
      </c>
      <c r="E75" s="17">
        <f>E60</f>
        <v>3.5000000000000031E-3</v>
      </c>
    </row>
    <row r="76" spans="4:16" ht="15.75" customHeight="1" x14ac:dyDescent="0.25">
      <c r="D76" s="17">
        <f>A62</f>
        <v>18</v>
      </c>
      <c r="E76" s="17">
        <f>E62</f>
        <v>6.1999999999999833E-3</v>
      </c>
    </row>
    <row r="77" spans="4:16" ht="15.75" customHeight="1" x14ac:dyDescent="0.25">
      <c r="D77" s="17">
        <f>A64</f>
        <v>5</v>
      </c>
      <c r="E77" s="17">
        <f>E64</f>
        <v>1.6999999999999238E-3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gayatri padinjaroot</cp:lastModifiedBy>
  <dcterms:modified xsi:type="dcterms:W3CDTF">2024-08-20T05:04:11Z</dcterms:modified>
</cp:coreProperties>
</file>