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Documents\all notes\labs\modern physics\1. millikan oil drop\"/>
    </mc:Choice>
  </mc:AlternateContent>
  <xr:revisionPtr revIDLastSave="0" documentId="13_ncr:1_{65A90B1B-E2A3-4E2E-9CB9-E06B8B72929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alancing" sheetId="2" r:id="rId1"/>
    <sheet name="Dynamic" sheetId="3" r:id="rId2"/>
  </sheets>
  <calcPr calcId="181029"/>
</workbook>
</file>

<file path=xl/calcChain.xml><?xml version="1.0" encoding="utf-8"?>
<calcChain xmlns="http://schemas.openxmlformats.org/spreadsheetml/2006/main">
  <c r="O18" i="2" l="1"/>
  <c r="R18" i="3"/>
  <c r="F7" i="3"/>
  <c r="Q6" i="2"/>
  <c r="Q5" i="3"/>
  <c r="E37" i="3"/>
  <c r="G37" i="3" s="1"/>
  <c r="I37" i="3" s="1"/>
  <c r="F37" i="3"/>
  <c r="D37" i="2"/>
  <c r="E37" i="2" s="1"/>
  <c r="G37" i="2" s="1"/>
  <c r="H37" i="2" l="1"/>
  <c r="I37" i="2" s="1"/>
  <c r="K17" i="2" s="1"/>
  <c r="K37" i="3"/>
  <c r="J37" i="3"/>
  <c r="D32" i="2"/>
  <c r="F32" i="3"/>
  <c r="F27" i="3"/>
  <c r="F22" i="3"/>
  <c r="F17" i="3"/>
  <c r="F12" i="3"/>
  <c r="F2" i="3"/>
  <c r="D27" i="2"/>
  <c r="E27" i="2" s="1"/>
  <c r="G27" i="2" s="1"/>
  <c r="D22" i="2"/>
  <c r="E22" i="2" s="1"/>
  <c r="G22" i="2" s="1"/>
  <c r="D17" i="2"/>
  <c r="E17" i="2" s="1"/>
  <c r="G17" i="2" s="1"/>
  <c r="D12" i="2"/>
  <c r="E12" i="2" s="1"/>
  <c r="G12" i="2" s="1"/>
  <c r="D7" i="2"/>
  <c r="E7" i="2" s="1"/>
  <c r="G7" i="2" s="1"/>
  <c r="D2" i="2"/>
  <c r="H32" i="2" l="1"/>
  <c r="I32" i="2" s="1"/>
  <c r="K16" i="2" s="1"/>
  <c r="E32" i="2"/>
  <c r="G32" i="2" s="1"/>
  <c r="E2" i="2"/>
  <c r="G2" i="2" s="1"/>
  <c r="H2" i="2" s="1"/>
  <c r="I2" i="2" s="1"/>
  <c r="K10" i="2" s="1"/>
  <c r="H17" i="2"/>
  <c r="I17" i="2" s="1"/>
  <c r="K13" i="2" s="1"/>
  <c r="H12" i="2"/>
  <c r="I12" i="2" s="1"/>
  <c r="K12" i="2" s="1"/>
  <c r="H22" i="2"/>
  <c r="I22" i="2" s="1"/>
  <c r="K14" i="2" s="1"/>
  <c r="H7" i="2"/>
  <c r="I7" i="2" s="1"/>
  <c r="K11" i="2" s="1"/>
  <c r="L37" i="3"/>
  <c r="N17" i="3" s="1"/>
  <c r="H27" i="2"/>
  <c r="I27" i="2" s="1"/>
  <c r="K15" i="2" s="1"/>
  <c r="L15" i="2" l="1"/>
  <c r="M15" i="2" s="1"/>
  <c r="N15" i="2" s="1"/>
  <c r="L11" i="2"/>
  <c r="M11" i="2" s="1"/>
  <c r="N11" i="2" s="1"/>
  <c r="L17" i="2"/>
  <c r="M17" i="2" s="1"/>
  <c r="N17" i="2" s="1"/>
  <c r="L16" i="2"/>
  <c r="M16" i="2" s="1"/>
  <c r="N16" i="2" s="1"/>
  <c r="L13" i="2"/>
  <c r="M13" i="2" s="1"/>
  <c r="N13" i="2" s="1"/>
  <c r="L10" i="2"/>
  <c r="M10" i="2" s="1"/>
  <c r="N10" i="2" s="1"/>
  <c r="L12" i="2"/>
  <c r="M12" i="2" s="1"/>
  <c r="N12" i="2" s="1"/>
  <c r="L14" i="2"/>
  <c r="M14" i="2" s="1"/>
  <c r="N14" i="2" s="1"/>
  <c r="E12" i="3"/>
  <c r="G12" i="3" s="1"/>
  <c r="I12" i="3" s="1"/>
  <c r="J12" i="3" s="1"/>
  <c r="E7" i="3"/>
  <c r="E27" i="3"/>
  <c r="E2" i="3"/>
  <c r="E22" i="3"/>
  <c r="E32" i="3"/>
  <c r="E17" i="3"/>
  <c r="N18" i="2" l="1"/>
  <c r="K22" i="3"/>
  <c r="G22" i="3"/>
  <c r="I22" i="3" s="1"/>
  <c r="J22" i="3" s="1"/>
  <c r="K7" i="3"/>
  <c r="G7" i="3"/>
  <c r="I7" i="3" s="1"/>
  <c r="J7" i="3" s="1"/>
  <c r="L7" i="3" s="1"/>
  <c r="K27" i="3"/>
  <c r="G27" i="3"/>
  <c r="I27" i="3" s="1"/>
  <c r="J27" i="3" s="1"/>
  <c r="L27" i="3" s="1"/>
  <c r="N15" i="3" s="1"/>
  <c r="K32" i="3"/>
  <c r="G32" i="3"/>
  <c r="I32" i="3" s="1"/>
  <c r="J32" i="3" s="1"/>
  <c r="L32" i="3" s="1"/>
  <c r="N16" i="3" s="1"/>
  <c r="K17" i="3"/>
  <c r="G17" i="3"/>
  <c r="I17" i="3" s="1"/>
  <c r="J17" i="3" s="1"/>
  <c r="G2" i="3"/>
  <c r="I2" i="3" s="1"/>
  <c r="J2" i="3" s="1"/>
  <c r="K2" i="3"/>
  <c r="K12" i="3"/>
  <c r="L12" i="3" s="1"/>
  <c r="N12" i="3" s="1"/>
  <c r="L17" i="3" l="1"/>
  <c r="N13" i="3" s="1"/>
  <c r="L2" i="3"/>
  <c r="N10" i="3" s="1"/>
  <c r="N11" i="3"/>
  <c r="L22" i="3"/>
  <c r="N14" i="3" s="1"/>
  <c r="O14" i="3" s="1"/>
  <c r="P14" i="3" s="1"/>
  <c r="Q14" i="3" s="1"/>
  <c r="O15" i="3" l="1"/>
  <c r="P15" i="3" s="1"/>
  <c r="Q15" i="3" s="1"/>
  <c r="O17" i="3"/>
  <c r="P17" i="3" s="1"/>
  <c r="Q17" i="3" s="1"/>
  <c r="O10" i="3"/>
  <c r="P10" i="3" s="1"/>
  <c r="Q10" i="3" s="1"/>
  <c r="O16" i="3"/>
  <c r="P16" i="3" s="1"/>
  <c r="Q16" i="3" s="1"/>
  <c r="O11" i="3"/>
  <c r="P11" i="3" s="1"/>
  <c r="Q11" i="3" s="1"/>
  <c r="O13" i="3"/>
  <c r="P13" i="3" s="1"/>
  <c r="Q13" i="3" s="1"/>
  <c r="O12" i="3"/>
  <c r="P12" i="3" s="1"/>
  <c r="Q12" i="3" s="1"/>
  <c r="Q18" i="3" l="1"/>
</calcChain>
</file>

<file path=xl/sharedStrings.xml><?xml version="1.0" encoding="utf-8"?>
<sst xmlns="http://schemas.openxmlformats.org/spreadsheetml/2006/main" count="47" uniqueCount="33">
  <si>
    <t>Drop no</t>
  </si>
  <si>
    <t>Sl no</t>
  </si>
  <si>
    <t>Free Fall time (s)</t>
  </si>
  <si>
    <t>Mean Free fall time (s)</t>
  </si>
  <si>
    <t>Voltage (V)</t>
  </si>
  <si>
    <t>Balancing voltage(V)</t>
  </si>
  <si>
    <t>Drop no.</t>
  </si>
  <si>
    <t>Rise time (s)</t>
  </si>
  <si>
    <t>Mean Free fall time $t_f$ (s)</t>
  </si>
  <si>
    <t>Mean Rise time $t_r$ (s)</t>
  </si>
  <si>
    <t>L</t>
  </si>
  <si>
    <t>C</t>
  </si>
  <si>
    <t>D</t>
  </si>
  <si>
    <t>zeta</t>
  </si>
  <si>
    <t>c</t>
  </si>
  <si>
    <t>$\eta$ ($\times 10^{-12}$)</t>
  </si>
  <si>
    <t>r ($\times 10^{-7}$) (in m)</t>
  </si>
  <si>
    <t>$n_\text{eff}$</t>
  </si>
  <si>
    <t>$ne$ divided</t>
  </si>
  <si>
    <t>Average $ne/n_\text{eff}$</t>
  </si>
  <si>
    <t>$ne/n_\text{eff}$</t>
  </si>
  <si>
    <t>m</t>
  </si>
  <si>
    <t xml:space="preserve">Mean free fall velocity ($v_f$) (in mm/s) </t>
  </si>
  <si>
    <t>ne ($\times 10^{-19}$)</t>
  </si>
  <si>
    <t>$\eta$ ($\times 10^{-13}$)</t>
  </si>
  <si>
    <t>$ne$ ($\times 10^{-19}$)</t>
  </si>
  <si>
    <t>T $(1+t_f/t_r)$</t>
  </si>
  <si>
    <t xml:space="preserve">ne </t>
  </si>
  <si>
    <t>$ne$</t>
  </si>
  <si>
    <t xml:space="preserve"> divided</t>
  </si>
  <si>
    <t xml:space="preserve">ne ($\times 10^{-19}$ C) </t>
  </si>
  <si>
    <t>($\times 10^{-19}$ C)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</si>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</sst>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2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sz val="12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2"/>
      <color rgb="FF000000"/>
      <name val="Arial Narrow"/>
      <family val="2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FE31-495E-457C-8098-40A17BF0017D}">
  <dimension ref="A1:Q41"/>
  <sheetViews>
    <sheetView tabSelected="1" zoomScale="55" zoomScaleNormal="55" workbookViewId="0">
      <selection activeCell="K16" sqref="K16"/>
    </sheetView>
  </sheetViews>
  <sheetFormatPr defaultRowHeight="15.6" x14ac:dyDescent="0.3"/>
  <cols>
    <col min="1" max="1" width="17.33203125" style="7" customWidth="1"/>
    <col min="2" max="3" width="9.109375" style="7" bestFit="1" customWidth="1"/>
    <col min="4" max="4" width="16.5546875" style="7" bestFit="1" customWidth="1"/>
    <col min="5" max="5" width="14" style="7" bestFit="1" customWidth="1"/>
    <col min="6" max="6" width="11.5546875" style="7" customWidth="1"/>
    <col min="7" max="7" width="17.77734375" style="7" bestFit="1" customWidth="1"/>
    <col min="8" max="8" width="8.88671875" style="7"/>
    <col min="9" max="9" width="14.21875" style="7" bestFit="1" customWidth="1"/>
    <col min="10" max="10" width="8.88671875" style="7"/>
    <col min="11" max="11" width="22.77734375" style="7" bestFit="1" customWidth="1"/>
    <col min="12" max="12" width="14" style="7" bestFit="1" customWidth="1"/>
    <col min="13" max="13" width="8.88671875" style="7"/>
    <col min="14" max="14" width="22.77734375" style="7" bestFit="1" customWidth="1"/>
    <col min="15" max="16" width="8.88671875" style="7"/>
    <col min="17" max="17" width="10" style="7" bestFit="1" customWidth="1"/>
    <col min="18" max="16384" width="8.88671875" style="7"/>
  </cols>
  <sheetData>
    <row r="1" spans="1:17" ht="75" x14ac:dyDescent="0.3">
      <c r="A1" s="8" t="s">
        <v>0</v>
      </c>
      <c r="B1" s="8" t="s">
        <v>1</v>
      </c>
      <c r="C1" s="8" t="s">
        <v>2</v>
      </c>
      <c r="D1" s="8" t="s">
        <v>3</v>
      </c>
      <c r="E1" s="1" t="s">
        <v>22</v>
      </c>
      <c r="F1" s="14" t="s">
        <v>5</v>
      </c>
      <c r="G1" s="13" t="s">
        <v>24</v>
      </c>
      <c r="H1" s="13" t="s">
        <v>16</v>
      </c>
      <c r="I1" s="13" t="s">
        <v>30</v>
      </c>
    </row>
    <row r="2" spans="1:17" x14ac:dyDescent="0.3">
      <c r="A2" s="24">
        <v>1</v>
      </c>
      <c r="B2" s="8">
        <v>1</v>
      </c>
      <c r="C2" s="15">
        <v>6.72</v>
      </c>
      <c r="D2" s="25">
        <f>AVERAGE(C2:C6)</f>
        <v>6.8179999999999996</v>
      </c>
      <c r="E2" s="25">
        <f>$Q$3*1000/D2</f>
        <v>0.14667057788207685</v>
      </c>
      <c r="F2" s="26">
        <v>484</v>
      </c>
      <c r="G2" s="20">
        <f>E2*$Q$5*0.001*10000000000000</f>
        <v>13.259020240539748</v>
      </c>
      <c r="H2" s="20">
        <f>((-$Q$6)+(SQRT(($Q$6)^2+(G2*10^(-13)))))*10000000</f>
        <v>11.115937267898895</v>
      </c>
      <c r="I2" s="20">
        <f>($Q$4*((H2*0.0000001)^3)*10000000000000000000)/F2</f>
        <v>5.3956472374890065</v>
      </c>
    </row>
    <row r="3" spans="1:17" x14ac:dyDescent="0.3">
      <c r="A3" s="24"/>
      <c r="B3" s="8">
        <v>2</v>
      </c>
      <c r="C3" s="15">
        <v>6.97</v>
      </c>
      <c r="D3" s="25"/>
      <c r="E3" s="25"/>
      <c r="F3" s="27"/>
      <c r="G3" s="20"/>
      <c r="H3" s="20"/>
      <c r="I3" s="20"/>
      <c r="P3" s="9" t="s">
        <v>10</v>
      </c>
      <c r="Q3" s="9">
        <v>1E-3</v>
      </c>
    </row>
    <row r="4" spans="1:17" x14ac:dyDescent="0.3">
      <c r="A4" s="24"/>
      <c r="B4" s="8">
        <v>3</v>
      </c>
      <c r="C4" s="15">
        <v>6.69</v>
      </c>
      <c r="D4" s="25"/>
      <c r="E4" s="25"/>
      <c r="F4" s="27"/>
      <c r="G4" s="20"/>
      <c r="H4" s="20"/>
      <c r="I4" s="20"/>
      <c r="P4" s="9" t="s">
        <v>11</v>
      </c>
      <c r="Q4" s="9">
        <v>190.13</v>
      </c>
    </row>
    <row r="5" spans="1:17" x14ac:dyDescent="0.3">
      <c r="A5" s="24"/>
      <c r="B5" s="8">
        <v>4</v>
      </c>
      <c r="C5" s="15">
        <v>6.81</v>
      </c>
      <c r="D5" s="25"/>
      <c r="E5" s="25"/>
      <c r="F5" s="27"/>
      <c r="G5" s="20"/>
      <c r="H5" s="20"/>
      <c r="I5" s="20"/>
      <c r="P5" s="9" t="s">
        <v>12</v>
      </c>
      <c r="Q5" s="10">
        <v>9.0400000000000002E-9</v>
      </c>
    </row>
    <row r="6" spans="1:17" x14ac:dyDescent="0.3">
      <c r="A6" s="24"/>
      <c r="B6" s="8">
        <v>5</v>
      </c>
      <c r="C6" s="15">
        <v>6.9</v>
      </c>
      <c r="D6" s="25"/>
      <c r="E6" s="25"/>
      <c r="F6" s="28"/>
      <c r="G6" s="20"/>
      <c r="H6" s="20"/>
      <c r="I6" s="20"/>
      <c r="P6" s="9" t="s">
        <v>13</v>
      </c>
      <c r="Q6" s="9">
        <f>0.0000000406</f>
        <v>4.06E-8</v>
      </c>
    </row>
    <row r="7" spans="1:17" x14ac:dyDescent="0.3">
      <c r="A7" s="24">
        <v>2</v>
      </c>
      <c r="B7" s="8">
        <v>1</v>
      </c>
      <c r="C7" s="15">
        <v>8.7799999999999994</v>
      </c>
      <c r="D7" s="25">
        <f t="shared" ref="D7" si="0">AVERAGE(C7:C11)</f>
        <v>8.3180000000000014</v>
      </c>
      <c r="E7" s="25">
        <f t="shared" ref="E7" si="1">$Q$3*1000/D7</f>
        <v>0.12022120702091847</v>
      </c>
      <c r="F7" s="26">
        <v>208</v>
      </c>
      <c r="G7" s="20">
        <f t="shared" ref="G7" si="2">E7*$Q$5*0.001*10000000000000</f>
        <v>10.867997114691029</v>
      </c>
      <c r="H7" s="20">
        <f t="shared" ref="H7" si="3">((-$Q$6)+(SQRT(($Q$6)^2+(G7*10^(-13)))))*10000000</f>
        <v>10.02687147179099</v>
      </c>
      <c r="I7" s="20">
        <f t="shared" ref="I7" si="4">($Q$4*((H7*0.0000001)^3)*10000000000000000000)/F7</f>
        <v>9.2147521258605778</v>
      </c>
      <c r="P7" s="9" t="s">
        <v>14</v>
      </c>
      <c r="Q7" s="10">
        <v>6.1700000000000003E-8</v>
      </c>
    </row>
    <row r="8" spans="1:17" ht="45" customHeight="1" x14ac:dyDescent="0.3">
      <c r="A8" s="24"/>
      <c r="B8" s="8">
        <v>2</v>
      </c>
      <c r="C8" s="15">
        <v>8.4700000000000006</v>
      </c>
      <c r="D8" s="25"/>
      <c r="E8" s="25"/>
      <c r="F8" s="27"/>
      <c r="G8" s="20"/>
      <c r="H8" s="20"/>
      <c r="I8" s="20"/>
      <c r="K8" s="13" t="s">
        <v>27</v>
      </c>
      <c r="L8" s="1" t="s">
        <v>28</v>
      </c>
      <c r="M8" s="18" t="s">
        <v>17</v>
      </c>
      <c r="N8" s="17" t="s">
        <v>20</v>
      </c>
    </row>
    <row r="9" spans="1:17" x14ac:dyDescent="0.3">
      <c r="A9" s="24"/>
      <c r="B9" s="8">
        <v>3</v>
      </c>
      <c r="C9" s="15">
        <v>8.0299999999999994</v>
      </c>
      <c r="D9" s="25"/>
      <c r="E9" s="25"/>
      <c r="F9" s="27"/>
      <c r="G9" s="20"/>
      <c r="H9" s="20"/>
      <c r="I9" s="20"/>
      <c r="K9" s="16" t="s">
        <v>31</v>
      </c>
      <c r="L9" s="16" t="s">
        <v>29</v>
      </c>
      <c r="M9" s="19"/>
      <c r="N9" s="16" t="s">
        <v>31</v>
      </c>
    </row>
    <row r="10" spans="1:17" x14ac:dyDescent="0.3">
      <c r="A10" s="24"/>
      <c r="B10" s="8">
        <v>4</v>
      </c>
      <c r="C10" s="15">
        <v>8.2200000000000006</v>
      </c>
      <c r="D10" s="25"/>
      <c r="E10" s="25"/>
      <c r="F10" s="27"/>
      <c r="G10" s="20"/>
      <c r="H10" s="20"/>
      <c r="I10" s="20"/>
      <c r="K10" s="12">
        <f>I2</f>
        <v>5.3956472374890065</v>
      </c>
      <c r="L10" s="12">
        <f>K10/MIN($K$10:$K$17)</f>
        <v>2.3818552009941998</v>
      </c>
      <c r="M10" s="6">
        <f>ROUND(L10,0)</f>
        <v>2</v>
      </c>
      <c r="N10" s="12">
        <f>K10/M10</f>
        <v>2.6978236187445033</v>
      </c>
    </row>
    <row r="11" spans="1:17" x14ac:dyDescent="0.3">
      <c r="A11" s="24"/>
      <c r="B11" s="8">
        <v>5</v>
      </c>
      <c r="C11" s="15">
        <v>8.09</v>
      </c>
      <c r="D11" s="25"/>
      <c r="E11" s="25"/>
      <c r="F11" s="28"/>
      <c r="G11" s="20"/>
      <c r="H11" s="20"/>
      <c r="I11" s="20"/>
      <c r="K11" s="12">
        <f>I7</f>
        <v>9.2147521258605778</v>
      </c>
      <c r="L11" s="12">
        <f t="shared" ref="L11:L15" si="5">K11/MIN($K$10:$K$17)</f>
        <v>4.0677613473981475</v>
      </c>
      <c r="M11" s="6">
        <f t="shared" ref="M11:M15" si="6">ROUND(L11,0)</f>
        <v>4</v>
      </c>
      <c r="N11" s="12">
        <f t="shared" ref="N11:N15" si="7">K11/M11</f>
        <v>2.3036880314651444</v>
      </c>
    </row>
    <row r="12" spans="1:17" x14ac:dyDescent="0.3">
      <c r="A12" s="24">
        <v>3</v>
      </c>
      <c r="B12" s="8">
        <v>1</v>
      </c>
      <c r="C12" s="15">
        <v>8.09</v>
      </c>
      <c r="D12" s="25">
        <f t="shared" ref="D12" si="8">AVERAGE(C12:C16)</f>
        <v>8.0460000000000012</v>
      </c>
      <c r="E12" s="25">
        <f t="shared" ref="E12" si="9">$Q$3*1000/D12</f>
        <v>0.12428535918468803</v>
      </c>
      <c r="F12" s="26">
        <v>360</v>
      </c>
      <c r="G12" s="20">
        <f t="shared" ref="G12" si="10">E12*$Q$5*0.001*10000000000000</f>
        <v>11.2353964702958</v>
      </c>
      <c r="H12" s="20">
        <f t="shared" ref="H12" si="11">((-$Q$6)+(SQRT(($Q$6)^2+(G12*10^(-13)))))*10000000</f>
        <v>10.201487954410224</v>
      </c>
      <c r="I12" s="20">
        <f t="shared" ref="I12" si="12">($Q$4*((H12*0.0000001)^3)*10000000000000000000)/F12</f>
        <v>5.607105282197768</v>
      </c>
      <c r="K12" s="12">
        <f>I12</f>
        <v>5.607105282197768</v>
      </c>
      <c r="L12" s="12">
        <f t="shared" si="5"/>
        <v>2.4752012670754246</v>
      </c>
      <c r="M12" s="6">
        <f t="shared" si="6"/>
        <v>2</v>
      </c>
      <c r="N12" s="12">
        <f t="shared" si="7"/>
        <v>2.803552641098884</v>
      </c>
    </row>
    <row r="13" spans="1:17" x14ac:dyDescent="0.3">
      <c r="A13" s="24"/>
      <c r="B13" s="8">
        <v>2</v>
      </c>
      <c r="C13" s="15">
        <v>8.0299999999999994</v>
      </c>
      <c r="D13" s="25"/>
      <c r="E13" s="25"/>
      <c r="F13" s="27"/>
      <c r="G13" s="20"/>
      <c r="H13" s="20"/>
      <c r="I13" s="20"/>
      <c r="K13" s="12">
        <f>I17</f>
        <v>5.7548003860674113</v>
      </c>
      <c r="L13" s="12">
        <f t="shared" si="5"/>
        <v>2.5403998124638369</v>
      </c>
      <c r="M13" s="6">
        <f t="shared" si="6"/>
        <v>3</v>
      </c>
      <c r="N13" s="12">
        <f t="shared" si="7"/>
        <v>1.9182667953558037</v>
      </c>
    </row>
    <row r="14" spans="1:17" x14ac:dyDescent="0.3">
      <c r="A14" s="24"/>
      <c r="B14" s="8">
        <v>3</v>
      </c>
      <c r="C14" s="15">
        <v>8.09</v>
      </c>
      <c r="D14" s="25"/>
      <c r="E14" s="25"/>
      <c r="F14" s="27"/>
      <c r="G14" s="20"/>
      <c r="H14" s="20"/>
      <c r="I14" s="20"/>
      <c r="K14" s="12">
        <f>I22</f>
        <v>49.427556420551092</v>
      </c>
      <c r="L14" s="12">
        <f>K14/MIN($K$10:$K$17)</f>
        <v>21.819306776532709</v>
      </c>
      <c r="M14" s="6">
        <f>ROUND(L14,0)</f>
        <v>22</v>
      </c>
      <c r="N14" s="12">
        <f>K14/M14</f>
        <v>2.2467071100250497</v>
      </c>
    </row>
    <row r="15" spans="1:17" x14ac:dyDescent="0.3">
      <c r="A15" s="24"/>
      <c r="B15" s="8">
        <v>4</v>
      </c>
      <c r="C15" s="15">
        <v>7.97</v>
      </c>
      <c r="D15" s="25"/>
      <c r="E15" s="25"/>
      <c r="F15" s="27"/>
      <c r="G15" s="20"/>
      <c r="H15" s="20"/>
      <c r="I15" s="20"/>
      <c r="K15" s="12">
        <f>I27</f>
        <v>5.5756139374289067</v>
      </c>
      <c r="L15" s="12">
        <f t="shared" si="5"/>
        <v>2.4612997238457526</v>
      </c>
      <c r="M15" s="6">
        <f t="shared" si="6"/>
        <v>2</v>
      </c>
      <c r="N15" s="12">
        <f t="shared" si="7"/>
        <v>2.7878069687144533</v>
      </c>
    </row>
    <row r="16" spans="1:17" x14ac:dyDescent="0.3">
      <c r="A16" s="24"/>
      <c r="B16" s="8">
        <v>5</v>
      </c>
      <c r="C16" s="15">
        <v>8.0500000000000007</v>
      </c>
      <c r="D16" s="25"/>
      <c r="E16" s="25"/>
      <c r="F16" s="28"/>
      <c r="G16" s="20"/>
      <c r="H16" s="20"/>
      <c r="I16" s="20"/>
      <c r="K16" s="12">
        <f>I32</f>
        <v>2.2653128684047767</v>
      </c>
      <c r="L16" s="12">
        <f>K16/MIN($K$10:$K$17)</f>
        <v>1</v>
      </c>
      <c r="M16" s="6">
        <f>ROUND(L16,0)</f>
        <v>1</v>
      </c>
      <c r="N16" s="12">
        <f>K16/M16</f>
        <v>2.2653128684047767</v>
      </c>
    </row>
    <row r="17" spans="1:15" x14ac:dyDescent="0.3">
      <c r="A17" s="24">
        <v>4</v>
      </c>
      <c r="B17" s="8">
        <v>1</v>
      </c>
      <c r="C17" s="15">
        <v>6.34</v>
      </c>
      <c r="D17" s="25">
        <f t="shared" ref="D17" si="13">AVERAGE(C17:C21)</f>
        <v>6.2219999999999995</v>
      </c>
      <c r="E17" s="25">
        <f t="shared" ref="E17" si="14">$Q$3*1000/D17</f>
        <v>0.16072002571520413</v>
      </c>
      <c r="F17" s="26">
        <v>523</v>
      </c>
      <c r="G17" s="20">
        <f t="shared" ref="G17" si="15">E17*$Q$5*0.001*10000000000000</f>
        <v>14.529090324654456</v>
      </c>
      <c r="H17" s="20">
        <f t="shared" ref="H17" si="16">((-$Q$6)+(SQRT(($Q$6)^2+(G17*10^(-13)))))*10000000</f>
        <v>11.654503275010732</v>
      </c>
      <c r="I17" s="20">
        <f t="shared" ref="I17" si="17">($Q$4*((H17*0.0000001)^3)*10000000000000000000)/F17</f>
        <v>5.7548003860674113</v>
      </c>
      <c r="K17" s="12">
        <f>I37</f>
        <v>9.3816163467702083</v>
      </c>
      <c r="L17" s="12">
        <f>K17/MIN($K$10:$K$17)</f>
        <v>4.1414219102444338</v>
      </c>
      <c r="M17" s="6">
        <f>ROUND(L17,0)</f>
        <v>4</v>
      </c>
      <c r="N17" s="12">
        <f>K17/M17</f>
        <v>2.3454040866925521</v>
      </c>
      <c r="O17" s="7" t="s">
        <v>32</v>
      </c>
    </row>
    <row r="18" spans="1:15" x14ac:dyDescent="0.3">
      <c r="A18" s="24"/>
      <c r="B18" s="8">
        <v>2</v>
      </c>
      <c r="C18" s="15">
        <v>6.22</v>
      </c>
      <c r="D18" s="25"/>
      <c r="E18" s="25"/>
      <c r="F18" s="27"/>
      <c r="G18" s="20"/>
      <c r="H18" s="20"/>
      <c r="I18" s="20"/>
      <c r="K18" s="21" t="s">
        <v>19</v>
      </c>
      <c r="L18" s="22"/>
      <c r="M18" s="23"/>
      <c r="N18" s="12">
        <f>AVERAGE(N10:N17)</f>
        <v>2.4210702650626459</v>
      </c>
      <c r="O18" s="4">
        <f>_xlfn.STDEV.S(N10:N17)</f>
        <v>0.3126749022476169</v>
      </c>
    </row>
    <row r="19" spans="1:15" x14ac:dyDescent="0.3">
      <c r="A19" s="24"/>
      <c r="B19" s="8">
        <v>3</v>
      </c>
      <c r="C19" s="15">
        <v>6.22</v>
      </c>
      <c r="D19" s="25"/>
      <c r="E19" s="25"/>
      <c r="F19" s="27"/>
      <c r="G19" s="20"/>
      <c r="H19" s="20"/>
      <c r="I19" s="20"/>
    </row>
    <row r="20" spans="1:15" x14ac:dyDescent="0.3">
      <c r="A20" s="24"/>
      <c r="B20" s="8">
        <v>4</v>
      </c>
      <c r="C20" s="15">
        <v>6.12</v>
      </c>
      <c r="D20" s="25"/>
      <c r="E20" s="25"/>
      <c r="F20" s="27"/>
      <c r="G20" s="20"/>
      <c r="H20" s="20"/>
      <c r="I20" s="20"/>
    </row>
    <row r="21" spans="1:15" x14ac:dyDescent="0.3">
      <c r="A21" s="24"/>
      <c r="B21" s="8">
        <v>5</v>
      </c>
      <c r="C21" s="15">
        <v>6.21</v>
      </c>
      <c r="D21" s="25"/>
      <c r="E21" s="25"/>
      <c r="F21" s="28"/>
      <c r="G21" s="20"/>
      <c r="H21" s="20"/>
      <c r="I21" s="20"/>
    </row>
    <row r="22" spans="1:15" x14ac:dyDescent="0.3">
      <c r="A22" s="24">
        <v>5</v>
      </c>
      <c r="B22" s="8">
        <v>1</v>
      </c>
      <c r="C22" s="15">
        <v>1.45</v>
      </c>
      <c r="D22" s="25">
        <f t="shared" ref="D22" si="18">AVERAGE(C22:C26)</f>
        <v>1.464</v>
      </c>
      <c r="E22" s="25">
        <f t="shared" ref="E22" si="19">$Q$3*1000/D22</f>
        <v>0.68306010928961747</v>
      </c>
      <c r="F22" s="26">
        <v>562</v>
      </c>
      <c r="G22" s="20">
        <f t="shared" ref="G22" si="20">E22*$Q$5*0.001*10000000000000</f>
        <v>61.748633879781416</v>
      </c>
      <c r="H22" s="20">
        <f>((-$Q$6)+(SQRT(($Q$6)^2+(G22*10^(-13)))))*10000000</f>
        <v>24.446588895280389</v>
      </c>
      <c r="I22" s="20">
        <f t="shared" ref="I22" si="21">($Q$4*((H22*0.0000001)^3)*10000000000000000000)/F22</f>
        <v>49.427556420551092</v>
      </c>
    </row>
    <row r="23" spans="1:15" x14ac:dyDescent="0.3">
      <c r="A23" s="24"/>
      <c r="B23" s="8">
        <v>2</v>
      </c>
      <c r="C23" s="15">
        <v>1.48</v>
      </c>
      <c r="D23" s="25"/>
      <c r="E23" s="25"/>
      <c r="F23" s="27"/>
      <c r="G23" s="20"/>
      <c r="H23" s="20"/>
      <c r="I23" s="20"/>
    </row>
    <row r="24" spans="1:15" x14ac:dyDescent="0.3">
      <c r="A24" s="24"/>
      <c r="B24" s="8">
        <v>3</v>
      </c>
      <c r="C24" s="15">
        <v>1.42</v>
      </c>
      <c r="D24" s="25"/>
      <c r="E24" s="25"/>
      <c r="F24" s="27"/>
      <c r="G24" s="20"/>
      <c r="H24" s="20"/>
      <c r="I24" s="20"/>
    </row>
    <row r="25" spans="1:15" x14ac:dyDescent="0.3">
      <c r="A25" s="24"/>
      <c r="B25" s="8">
        <v>4</v>
      </c>
      <c r="C25" s="15">
        <v>1.5</v>
      </c>
      <c r="D25" s="25"/>
      <c r="E25" s="25"/>
      <c r="F25" s="27"/>
      <c r="G25" s="20"/>
      <c r="H25" s="20"/>
      <c r="I25" s="20"/>
    </row>
    <row r="26" spans="1:15" x14ac:dyDescent="0.3">
      <c r="A26" s="24"/>
      <c r="B26" s="8">
        <v>5</v>
      </c>
      <c r="C26" s="15">
        <v>1.47</v>
      </c>
      <c r="D26" s="25"/>
      <c r="E26" s="25"/>
      <c r="F26" s="28"/>
      <c r="G26" s="20"/>
      <c r="H26" s="20"/>
      <c r="I26" s="20"/>
    </row>
    <row r="27" spans="1:15" x14ac:dyDescent="0.3">
      <c r="A27" s="24">
        <v>6</v>
      </c>
      <c r="B27" s="8">
        <v>1</v>
      </c>
      <c r="C27" s="15">
        <v>15.35</v>
      </c>
      <c r="D27" s="25">
        <f t="shared" ref="D27" si="22">AVERAGE(C27:C31)</f>
        <v>14.366</v>
      </c>
      <c r="E27" s="25">
        <f t="shared" ref="E27" si="23">$Q$3*1000/D27</f>
        <v>6.9608798552136988E-2</v>
      </c>
      <c r="F27" s="26">
        <v>146</v>
      </c>
      <c r="G27" s="20">
        <f t="shared" ref="G27" si="24">E27*$Q$5*0.001*10000000000000</f>
        <v>6.2926353891131832</v>
      </c>
      <c r="H27" s="20">
        <f t="shared" ref="H27" si="25">((-$Q$6)+(SQRT(($Q$6)^2+(G27*10^(-13)))))*10000000</f>
        <v>7.5369962791840619</v>
      </c>
      <c r="I27" s="20">
        <f>($Q$4*((H27*0.0000001)^3)*10000000000000000000)/F27</f>
        <v>5.5756139374289067</v>
      </c>
    </row>
    <row r="28" spans="1:15" x14ac:dyDescent="0.3">
      <c r="A28" s="24"/>
      <c r="B28" s="8">
        <v>2</v>
      </c>
      <c r="C28" s="15">
        <v>14.22</v>
      </c>
      <c r="D28" s="25"/>
      <c r="E28" s="25"/>
      <c r="F28" s="27"/>
      <c r="G28" s="20"/>
      <c r="H28" s="20"/>
      <c r="I28" s="20"/>
    </row>
    <row r="29" spans="1:15" x14ac:dyDescent="0.3">
      <c r="A29" s="24"/>
      <c r="B29" s="8">
        <v>3</v>
      </c>
      <c r="C29" s="15">
        <v>13.73</v>
      </c>
      <c r="D29" s="25"/>
      <c r="E29" s="25"/>
      <c r="F29" s="27"/>
      <c r="G29" s="20"/>
      <c r="H29" s="20"/>
      <c r="I29" s="20"/>
    </row>
    <row r="30" spans="1:15" x14ac:dyDescent="0.3">
      <c r="A30" s="24"/>
      <c r="B30" s="8">
        <v>4</v>
      </c>
      <c r="C30" s="15">
        <v>14.46</v>
      </c>
      <c r="D30" s="25"/>
      <c r="E30" s="25"/>
      <c r="F30" s="27"/>
      <c r="G30" s="20"/>
      <c r="H30" s="20"/>
      <c r="I30" s="20"/>
      <c r="K30" s="20"/>
    </row>
    <row r="31" spans="1:15" x14ac:dyDescent="0.3">
      <c r="A31" s="24"/>
      <c r="B31" s="8">
        <v>5</v>
      </c>
      <c r="C31" s="15">
        <v>14.07</v>
      </c>
      <c r="D31" s="25"/>
      <c r="E31" s="25"/>
      <c r="F31" s="28"/>
      <c r="G31" s="20"/>
      <c r="H31" s="20"/>
      <c r="I31" s="20"/>
      <c r="K31" s="20"/>
    </row>
    <row r="32" spans="1:15" x14ac:dyDescent="0.3">
      <c r="A32" s="24">
        <v>8</v>
      </c>
      <c r="B32" s="8">
        <v>1</v>
      </c>
      <c r="C32" s="15">
        <v>15.85</v>
      </c>
      <c r="D32" s="25">
        <f t="shared" ref="D32" si="26">AVERAGE(C32:C36)</f>
        <v>15.553999999999998</v>
      </c>
      <c r="E32" s="25">
        <f t="shared" ref="E32" si="27">$Q$3*1000/D32</f>
        <v>6.4292143500064292E-2</v>
      </c>
      <c r="F32" s="26">
        <v>317</v>
      </c>
      <c r="G32" s="20">
        <f t="shared" ref="G32" si="28">E32*$Q$5*0.001*10000000000000</f>
        <v>5.8120097724058128</v>
      </c>
      <c r="H32" s="20">
        <f t="shared" ref="H32" si="29">((-$Q$6)+(SQRT(($Q$6)^2+(G32*10^(-13)))))*10000000</f>
        <v>7.2284570025679056</v>
      </c>
      <c r="I32" s="20">
        <f t="shared" ref="I32" si="30">($Q$4*((H32*0.0000001)^3)*10000000000000000000)/F32</f>
        <v>2.2653128684047767</v>
      </c>
      <c r="K32" s="20"/>
    </row>
    <row r="33" spans="1:11" x14ac:dyDescent="0.3">
      <c r="A33" s="24"/>
      <c r="B33" s="8">
        <v>2</v>
      </c>
      <c r="C33" s="15">
        <v>15.6</v>
      </c>
      <c r="D33" s="25"/>
      <c r="E33" s="25"/>
      <c r="F33" s="27"/>
      <c r="G33" s="20"/>
      <c r="H33" s="20"/>
      <c r="I33" s="20"/>
      <c r="K33" s="20"/>
    </row>
    <row r="34" spans="1:11" x14ac:dyDescent="0.3">
      <c r="A34" s="24"/>
      <c r="B34" s="8">
        <v>3</v>
      </c>
      <c r="C34" s="15">
        <v>15.37</v>
      </c>
      <c r="D34" s="25"/>
      <c r="E34" s="25"/>
      <c r="F34" s="27"/>
      <c r="G34" s="20"/>
      <c r="H34" s="20"/>
      <c r="I34" s="20"/>
      <c r="K34" s="20"/>
    </row>
    <row r="35" spans="1:11" x14ac:dyDescent="0.3">
      <c r="A35" s="24"/>
      <c r="B35" s="8">
        <v>4</v>
      </c>
      <c r="C35" s="15">
        <v>15.4</v>
      </c>
      <c r="D35" s="25"/>
      <c r="E35" s="25"/>
      <c r="F35" s="27"/>
      <c r="G35" s="20"/>
      <c r="H35" s="20"/>
      <c r="I35" s="20"/>
    </row>
    <row r="36" spans="1:11" x14ac:dyDescent="0.3">
      <c r="A36" s="24"/>
      <c r="B36" s="8">
        <v>5</v>
      </c>
      <c r="C36" s="15">
        <v>15.55</v>
      </c>
      <c r="D36" s="25"/>
      <c r="E36" s="25"/>
      <c r="F36" s="28"/>
      <c r="G36" s="20"/>
      <c r="H36" s="20"/>
      <c r="I36" s="20"/>
    </row>
    <row r="37" spans="1:11" x14ac:dyDescent="0.3">
      <c r="A37" s="24">
        <v>7</v>
      </c>
      <c r="B37" s="8">
        <v>1</v>
      </c>
      <c r="C37" s="15">
        <v>8.31</v>
      </c>
      <c r="D37" s="25">
        <f>AVERAGE(C37:C41)</f>
        <v>8.0740000000000016</v>
      </c>
      <c r="E37" s="25">
        <f t="shared" ref="E37" si="31">$Q$3*1000/D37</f>
        <v>0.12385434728758977</v>
      </c>
      <c r="F37" s="29">
        <v>214</v>
      </c>
      <c r="G37" s="20">
        <f t="shared" ref="G37" si="32">E37*$Q$5*0.001*10000000000000</f>
        <v>11.196432994798116</v>
      </c>
      <c r="H37" s="20">
        <f t="shared" ref="H37" si="33">((-$Q$6)+(SQRT(($Q$6)^2+(G37*10^(-13)))))*10000000</f>
        <v>10.183106003246031</v>
      </c>
      <c r="I37" s="20">
        <f t="shared" ref="I37" si="34">($Q$4*((H37*0.0000001)^3)*10000000000000000000)/F37</f>
        <v>9.3816163467702083</v>
      </c>
    </row>
    <row r="38" spans="1:11" x14ac:dyDescent="0.3">
      <c r="A38" s="24"/>
      <c r="B38" s="8">
        <v>2</v>
      </c>
      <c r="C38" s="15">
        <v>8.15</v>
      </c>
      <c r="D38" s="25"/>
      <c r="E38" s="25"/>
      <c r="F38" s="29"/>
      <c r="G38" s="20"/>
      <c r="H38" s="20"/>
      <c r="I38" s="20"/>
    </row>
    <row r="39" spans="1:11" x14ac:dyDescent="0.3">
      <c r="A39" s="24"/>
      <c r="B39" s="8">
        <v>3</v>
      </c>
      <c r="C39" s="15">
        <v>7.86</v>
      </c>
      <c r="D39" s="25"/>
      <c r="E39" s="25"/>
      <c r="F39" s="29"/>
      <c r="G39" s="20"/>
      <c r="H39" s="20"/>
      <c r="I39" s="20"/>
    </row>
    <row r="40" spans="1:11" x14ac:dyDescent="0.3">
      <c r="A40" s="24"/>
      <c r="B40" s="8">
        <v>4</v>
      </c>
      <c r="C40" s="15">
        <v>7.89</v>
      </c>
      <c r="D40" s="25"/>
      <c r="E40" s="25"/>
      <c r="F40" s="29"/>
      <c r="G40" s="20"/>
      <c r="H40" s="20"/>
      <c r="I40" s="20"/>
    </row>
    <row r="41" spans="1:11" x14ac:dyDescent="0.3">
      <c r="A41" s="24"/>
      <c r="B41" s="8">
        <v>5</v>
      </c>
      <c r="C41" s="15">
        <v>8.16</v>
      </c>
      <c r="D41" s="25"/>
      <c r="E41" s="25"/>
      <c r="F41" s="29"/>
      <c r="G41" s="20"/>
      <c r="H41" s="20"/>
      <c r="I41" s="20"/>
    </row>
  </sheetData>
  <mergeCells count="59">
    <mergeCell ref="F32:F36"/>
    <mergeCell ref="A32:A36"/>
    <mergeCell ref="D32:D36"/>
    <mergeCell ref="E32:E36"/>
    <mergeCell ref="A37:A41"/>
    <mergeCell ref="D37:D41"/>
    <mergeCell ref="E37:E41"/>
    <mergeCell ref="F37:F41"/>
    <mergeCell ref="A27:A31"/>
    <mergeCell ref="D27:D31"/>
    <mergeCell ref="E27:E31"/>
    <mergeCell ref="G27:G31"/>
    <mergeCell ref="F22:F26"/>
    <mergeCell ref="F27:F31"/>
    <mergeCell ref="F12:F16"/>
    <mergeCell ref="F17:F21"/>
    <mergeCell ref="A22:A26"/>
    <mergeCell ref="D22:D26"/>
    <mergeCell ref="E22:E26"/>
    <mergeCell ref="A12:A16"/>
    <mergeCell ref="D12:D16"/>
    <mergeCell ref="E12:E16"/>
    <mergeCell ref="A17:A21"/>
    <mergeCell ref="D17:D21"/>
    <mergeCell ref="E17:E21"/>
    <mergeCell ref="A2:A6"/>
    <mergeCell ref="D2:D6"/>
    <mergeCell ref="E2:E6"/>
    <mergeCell ref="G2:G6"/>
    <mergeCell ref="A7:A11"/>
    <mergeCell ref="D7:D11"/>
    <mergeCell ref="E7:E11"/>
    <mergeCell ref="G7:G11"/>
    <mergeCell ref="F2:F6"/>
    <mergeCell ref="F7:F11"/>
    <mergeCell ref="H37:H41"/>
    <mergeCell ref="K30:K34"/>
    <mergeCell ref="G37:G41"/>
    <mergeCell ref="I37:I41"/>
    <mergeCell ref="K18:M18"/>
    <mergeCell ref="G17:G21"/>
    <mergeCell ref="G22:G26"/>
    <mergeCell ref="H2:H6"/>
    <mergeCell ref="I2:I6"/>
    <mergeCell ref="I7:I11"/>
    <mergeCell ref="I12:I16"/>
    <mergeCell ref="I17:I21"/>
    <mergeCell ref="M8:M9"/>
    <mergeCell ref="G32:G36"/>
    <mergeCell ref="H7:H11"/>
    <mergeCell ref="H12:H16"/>
    <mergeCell ref="H17:H21"/>
    <mergeCell ref="H22:H26"/>
    <mergeCell ref="H27:H31"/>
    <mergeCell ref="H32:H36"/>
    <mergeCell ref="G12:G16"/>
    <mergeCell ref="I22:I26"/>
    <mergeCell ref="I27:I31"/>
    <mergeCell ref="I32:I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0CA5-D929-4321-8290-3F91F93937F7}">
  <dimension ref="A1:R41"/>
  <sheetViews>
    <sheetView zoomScale="70" zoomScaleNormal="70" workbookViewId="0">
      <selection activeCell="N17" sqref="N17"/>
    </sheetView>
  </sheetViews>
  <sheetFormatPr defaultRowHeight="15" x14ac:dyDescent="0.25"/>
  <cols>
    <col min="1" max="1" width="7" style="4" bestFit="1" customWidth="1"/>
    <col min="2" max="2" width="9.109375" style="4" bestFit="1" customWidth="1"/>
    <col min="3" max="3" width="11.77734375" style="4" customWidth="1"/>
    <col min="4" max="4" width="12.88671875" style="4" customWidth="1"/>
    <col min="5" max="5" width="13.109375" style="4" customWidth="1"/>
    <col min="6" max="6" width="9.109375" style="4" bestFit="1" customWidth="1"/>
    <col min="7" max="7" width="12.21875" style="4" customWidth="1"/>
    <col min="8" max="8" width="9.109375" style="4" bestFit="1" customWidth="1"/>
    <col min="9" max="9" width="16.44140625" style="4" bestFit="1" customWidth="1"/>
    <col min="10" max="10" width="14" style="4" bestFit="1" customWidth="1"/>
    <col min="11" max="12" width="16.44140625" style="4" bestFit="1" customWidth="1"/>
    <col min="13" max="13" width="8.88671875" style="4"/>
    <col min="14" max="14" width="14.88671875" style="4" bestFit="1" customWidth="1"/>
    <col min="15" max="15" width="14.5546875" style="4" bestFit="1" customWidth="1"/>
    <col min="16" max="16" width="8.88671875" style="4"/>
    <col min="17" max="17" width="14.88671875" style="4" bestFit="1" customWidth="1"/>
    <col min="18" max="16384" width="8.88671875" style="4"/>
  </cols>
  <sheetData>
    <row r="1" spans="1:18" ht="75" x14ac:dyDescent="0.25">
      <c r="A1" s="1" t="s">
        <v>6</v>
      </c>
      <c r="B1" s="1" t="s">
        <v>1</v>
      </c>
      <c r="C1" s="1" t="s">
        <v>2</v>
      </c>
      <c r="D1" s="13" t="s">
        <v>7</v>
      </c>
      <c r="E1" s="1" t="s">
        <v>8</v>
      </c>
      <c r="F1" s="1" t="s">
        <v>9</v>
      </c>
      <c r="G1" s="1" t="s">
        <v>22</v>
      </c>
      <c r="H1" s="1" t="s">
        <v>4</v>
      </c>
      <c r="I1" s="13" t="s">
        <v>15</v>
      </c>
      <c r="J1" s="13" t="s">
        <v>16</v>
      </c>
      <c r="K1" s="13" t="s">
        <v>26</v>
      </c>
      <c r="L1" s="13" t="s">
        <v>25</v>
      </c>
    </row>
    <row r="2" spans="1:18" x14ac:dyDescent="0.25">
      <c r="A2" s="30">
        <v>1</v>
      </c>
      <c r="B2" s="1">
        <v>1</v>
      </c>
      <c r="C2" s="11">
        <v>10.199999999999999</v>
      </c>
      <c r="D2" s="11">
        <v>2.4</v>
      </c>
      <c r="E2" s="30">
        <f t="shared" ref="E2:F2" si="0">AVERAGE(C2:C6)</f>
        <v>9.36</v>
      </c>
      <c r="F2" s="30">
        <f t="shared" si="0"/>
        <v>2.54</v>
      </c>
      <c r="G2" s="31">
        <f>$Q$2*1000/E2</f>
        <v>0.10683760683760685</v>
      </c>
      <c r="H2" s="30">
        <v>145</v>
      </c>
      <c r="I2" s="20">
        <f>G2*0.001*$Q$4*1000000000000</f>
        <v>0.96581196581196593</v>
      </c>
      <c r="J2" s="20">
        <f>((-$Q$5)+(SQRT(($Q$5)^2+(I2*10^(-12)))))*10000000</f>
        <v>9.429956109153629</v>
      </c>
      <c r="K2" s="20">
        <f>1+(E2/F2)</f>
        <v>4.6850393700787398</v>
      </c>
      <c r="L2" s="20">
        <f>($Q$3*((J2*0.0000001)^3)*K2)*10000000000000000000/H2</f>
        <v>51.513956252422723</v>
      </c>
      <c r="P2" s="4" t="s">
        <v>10</v>
      </c>
      <c r="Q2" s="4">
        <v>1E-3</v>
      </c>
      <c r="R2" s="4" t="s">
        <v>21</v>
      </c>
    </row>
    <row r="3" spans="1:18" x14ac:dyDescent="0.25">
      <c r="A3" s="30"/>
      <c r="B3" s="1">
        <v>2</v>
      </c>
      <c r="C3" s="11">
        <v>9.1</v>
      </c>
      <c r="D3" s="11">
        <v>2.7</v>
      </c>
      <c r="E3" s="30"/>
      <c r="F3" s="30"/>
      <c r="G3" s="31"/>
      <c r="H3" s="30"/>
      <c r="I3" s="20"/>
      <c r="J3" s="20"/>
      <c r="K3" s="20"/>
      <c r="L3" s="20"/>
      <c r="P3" s="4" t="s">
        <v>11</v>
      </c>
      <c r="Q3" s="4">
        <v>190.13</v>
      </c>
    </row>
    <row r="4" spans="1:18" x14ac:dyDescent="0.25">
      <c r="A4" s="30"/>
      <c r="B4" s="1">
        <v>3</v>
      </c>
      <c r="C4" s="11">
        <v>9.1</v>
      </c>
      <c r="D4" s="11">
        <v>2.7</v>
      </c>
      <c r="E4" s="30"/>
      <c r="F4" s="30"/>
      <c r="G4" s="31"/>
      <c r="H4" s="30"/>
      <c r="I4" s="20"/>
      <c r="J4" s="20"/>
      <c r="K4" s="20"/>
      <c r="L4" s="20"/>
      <c r="P4" s="4" t="s">
        <v>12</v>
      </c>
      <c r="Q4" s="5">
        <v>9.0400000000000002E-9</v>
      </c>
    </row>
    <row r="5" spans="1:18" x14ac:dyDescent="0.25">
      <c r="A5" s="30"/>
      <c r="B5" s="1">
        <v>4</v>
      </c>
      <c r="C5" s="11">
        <v>9.1999999999999993</v>
      </c>
      <c r="D5" s="11">
        <v>2.2999999999999998</v>
      </c>
      <c r="E5" s="30"/>
      <c r="F5" s="30"/>
      <c r="G5" s="31"/>
      <c r="H5" s="30"/>
      <c r="I5" s="20"/>
      <c r="J5" s="20"/>
      <c r="K5" s="20"/>
      <c r="L5" s="20"/>
      <c r="P5" s="4" t="s">
        <v>13</v>
      </c>
      <c r="Q5" s="4">
        <f>0.0000000406</f>
        <v>4.06E-8</v>
      </c>
    </row>
    <row r="6" spans="1:18" x14ac:dyDescent="0.25">
      <c r="A6" s="30"/>
      <c r="B6" s="1">
        <v>5</v>
      </c>
      <c r="C6" s="11">
        <v>9.1999999999999993</v>
      </c>
      <c r="D6" s="11">
        <v>2.6</v>
      </c>
      <c r="E6" s="30"/>
      <c r="F6" s="30"/>
      <c r="G6" s="31"/>
      <c r="H6" s="30"/>
      <c r="I6" s="20"/>
      <c r="J6" s="20"/>
      <c r="K6" s="20"/>
      <c r="L6" s="20"/>
      <c r="P6" s="4" t="s">
        <v>14</v>
      </c>
      <c r="Q6" s="5">
        <v>6.1700000000000003E-8</v>
      </c>
    </row>
    <row r="7" spans="1:18" x14ac:dyDescent="0.25">
      <c r="A7" s="30">
        <v>2</v>
      </c>
      <c r="B7" s="1">
        <v>1</v>
      </c>
      <c r="C7" s="11">
        <v>3.3</v>
      </c>
      <c r="D7" s="11">
        <v>3.9</v>
      </c>
      <c r="E7" s="30">
        <f>AVERAGE(C7:C11)</f>
        <v>2.92</v>
      </c>
      <c r="F7" s="30">
        <f>AVERAGE(D7:D11)</f>
        <v>3.8199999999999994</v>
      </c>
      <c r="G7" s="31">
        <f>$Q$2*1000/E7</f>
        <v>0.34246575342465752</v>
      </c>
      <c r="H7" s="30">
        <v>282</v>
      </c>
      <c r="I7" s="20">
        <f>G7*0.001*$Q$4*1000000000000</f>
        <v>3.095890410958904</v>
      </c>
      <c r="J7" s="20">
        <f>((-$Q$5)+(SQRT(($Q$5)^2+(I7*10^(-12)))))*10000000</f>
        <v>17.193826053000929</v>
      </c>
      <c r="K7" s="20">
        <f>1+(E7/F7)</f>
        <v>1.7643979057591626</v>
      </c>
      <c r="L7" s="20">
        <f>($Q$3*((J7*0.0000001)^3)*K7)*10000000000000000000/H7</f>
        <v>60.46661539163204</v>
      </c>
    </row>
    <row r="8" spans="1:18" x14ac:dyDescent="0.25">
      <c r="A8" s="30"/>
      <c r="B8" s="1">
        <v>2</v>
      </c>
      <c r="C8" s="11">
        <v>2.8</v>
      </c>
      <c r="D8" s="11">
        <v>3.8</v>
      </c>
      <c r="E8" s="30"/>
      <c r="F8" s="30"/>
      <c r="G8" s="31"/>
      <c r="H8" s="30"/>
      <c r="I8" s="20"/>
      <c r="J8" s="20"/>
      <c r="K8" s="20"/>
      <c r="L8" s="20"/>
    </row>
    <row r="9" spans="1:18" ht="31.2" x14ac:dyDescent="0.25">
      <c r="A9" s="30"/>
      <c r="B9" s="1">
        <v>3</v>
      </c>
      <c r="C9" s="11">
        <v>2.9</v>
      </c>
      <c r="D9" s="11">
        <v>3.6</v>
      </c>
      <c r="E9" s="30"/>
      <c r="F9" s="30"/>
      <c r="G9" s="31"/>
      <c r="H9" s="30"/>
      <c r="I9" s="20"/>
      <c r="J9" s="20"/>
      <c r="K9" s="20"/>
      <c r="L9" s="20"/>
      <c r="N9" s="3" t="s">
        <v>23</v>
      </c>
      <c r="O9" s="2" t="s">
        <v>18</v>
      </c>
      <c r="P9" s="2" t="s">
        <v>17</v>
      </c>
      <c r="Q9" s="2" t="s">
        <v>20</v>
      </c>
    </row>
    <row r="10" spans="1:18" x14ac:dyDescent="0.25">
      <c r="A10" s="30"/>
      <c r="B10" s="1">
        <v>4</v>
      </c>
      <c r="C10" s="11">
        <v>2.6</v>
      </c>
      <c r="D10" s="11">
        <v>3.8</v>
      </c>
      <c r="E10" s="30"/>
      <c r="F10" s="30"/>
      <c r="G10" s="31"/>
      <c r="H10" s="30"/>
      <c r="I10" s="20"/>
      <c r="J10" s="20"/>
      <c r="K10" s="20"/>
      <c r="L10" s="20"/>
      <c r="N10" s="12">
        <f>L2</f>
        <v>51.513956252422723</v>
      </c>
      <c r="O10" s="12">
        <f>N10/MIN($N$10:$N$17)</f>
        <v>23.463910789511232</v>
      </c>
      <c r="P10" s="6">
        <f>ROUND(O10,0)</f>
        <v>23</v>
      </c>
      <c r="Q10" s="12">
        <f>N10/P10</f>
        <v>2.2397372283662054</v>
      </c>
    </row>
    <row r="11" spans="1:18" x14ac:dyDescent="0.25">
      <c r="A11" s="30"/>
      <c r="B11" s="1">
        <v>5</v>
      </c>
      <c r="C11" s="11">
        <v>3</v>
      </c>
      <c r="D11" s="11">
        <v>4</v>
      </c>
      <c r="E11" s="30"/>
      <c r="F11" s="30"/>
      <c r="G11" s="31"/>
      <c r="H11" s="30"/>
      <c r="I11" s="20"/>
      <c r="J11" s="20"/>
      <c r="K11" s="20"/>
      <c r="L11" s="20"/>
      <c r="N11" s="12">
        <f>L7</f>
        <v>60.46661539163204</v>
      </c>
      <c r="O11" s="12">
        <f>N11/MIN($N$10:$N$17)</f>
        <v>27.541726019659283</v>
      </c>
      <c r="P11" s="6">
        <f>ROUND(O11,0)</f>
        <v>28</v>
      </c>
      <c r="Q11" s="12">
        <f>N11/P11</f>
        <v>2.159521978272573</v>
      </c>
    </row>
    <row r="12" spans="1:18" x14ac:dyDescent="0.25">
      <c r="A12" s="30">
        <v>3</v>
      </c>
      <c r="B12" s="1">
        <v>1</v>
      </c>
      <c r="C12" s="11">
        <v>14.1</v>
      </c>
      <c r="D12" s="11">
        <v>6.3</v>
      </c>
      <c r="E12" s="30">
        <f t="shared" ref="E12:F12" si="1">AVERAGE(C12:C16)</f>
        <v>14.36</v>
      </c>
      <c r="F12" s="30">
        <f t="shared" si="1"/>
        <v>6.32</v>
      </c>
      <c r="G12" s="31">
        <f t="shared" ref="G12" si="2">$Q$2*1000/E12</f>
        <v>6.9637883008356549E-2</v>
      </c>
      <c r="H12" s="30">
        <v>320</v>
      </c>
      <c r="I12" s="20">
        <f t="shared" ref="I12" si="3">G12*0.001*$Q$4*1000000000000</f>
        <v>0.62952646239554322</v>
      </c>
      <c r="J12" s="20">
        <f t="shared" ref="J12" si="4">((-$Q$5)+(SQRT(($Q$5)^2+(I12*10^(-12)))))*10000000</f>
        <v>7.5386511716723179</v>
      </c>
      <c r="K12" s="20">
        <f>1+(E12/F12)</f>
        <v>3.2721518987341769</v>
      </c>
      <c r="L12" s="20">
        <f t="shared" ref="L12" si="5">($Q$3*((J12*0.0000001)^3)*K12)*10000000000000000000/H12</f>
        <v>8.3294259261620489</v>
      </c>
      <c r="N12" s="12">
        <f>L12</f>
        <v>8.3294259261620489</v>
      </c>
      <c r="O12" s="12">
        <f t="shared" ref="O12:O15" si="6">N12/MIN($N$10:$N$17)</f>
        <v>3.7939409254771927</v>
      </c>
      <c r="P12" s="6">
        <f t="shared" ref="P12:P16" si="7">ROUND(O12,0)</f>
        <v>4</v>
      </c>
      <c r="Q12" s="12">
        <f t="shared" ref="Q12:Q16" si="8">N12/P12</f>
        <v>2.0823564815405122</v>
      </c>
    </row>
    <row r="13" spans="1:18" x14ac:dyDescent="0.25">
      <c r="A13" s="30"/>
      <c r="B13" s="1">
        <v>2</v>
      </c>
      <c r="C13" s="11">
        <v>15.3</v>
      </c>
      <c r="D13" s="11">
        <v>6.3</v>
      </c>
      <c r="E13" s="30"/>
      <c r="F13" s="30"/>
      <c r="G13" s="31"/>
      <c r="H13" s="30"/>
      <c r="I13" s="20"/>
      <c r="J13" s="20"/>
      <c r="K13" s="20"/>
      <c r="L13" s="20"/>
      <c r="N13" s="12">
        <f>L17</f>
        <v>8.1234844826496513</v>
      </c>
      <c r="O13" s="12">
        <f t="shared" si="6"/>
        <v>3.7001373815451384</v>
      </c>
      <c r="P13" s="6">
        <f t="shared" si="7"/>
        <v>4</v>
      </c>
      <c r="Q13" s="12">
        <f t="shared" si="8"/>
        <v>2.0308711206624128</v>
      </c>
    </row>
    <row r="14" spans="1:18" x14ac:dyDescent="0.25">
      <c r="A14" s="30"/>
      <c r="B14" s="1">
        <v>3</v>
      </c>
      <c r="C14" s="11">
        <v>14.2</v>
      </c>
      <c r="D14" s="11">
        <v>6.1</v>
      </c>
      <c r="E14" s="30"/>
      <c r="F14" s="30"/>
      <c r="G14" s="31"/>
      <c r="H14" s="30"/>
      <c r="I14" s="20"/>
      <c r="J14" s="20"/>
      <c r="K14" s="20"/>
      <c r="L14" s="20"/>
      <c r="N14" s="12">
        <f>L22</f>
        <v>9.9369486726335321</v>
      </c>
      <c r="O14" s="12">
        <f t="shared" si="6"/>
        <v>4.5261458085673558</v>
      </c>
      <c r="P14" s="6">
        <f t="shared" si="7"/>
        <v>5</v>
      </c>
      <c r="Q14" s="12">
        <f t="shared" si="8"/>
        <v>1.9873897345267064</v>
      </c>
    </row>
    <row r="15" spans="1:18" x14ac:dyDescent="0.25">
      <c r="A15" s="30"/>
      <c r="B15" s="1">
        <v>4</v>
      </c>
      <c r="C15" s="11">
        <v>14.4</v>
      </c>
      <c r="D15" s="11">
        <v>6.5</v>
      </c>
      <c r="E15" s="30"/>
      <c r="F15" s="30"/>
      <c r="G15" s="31"/>
      <c r="H15" s="30"/>
      <c r="I15" s="20"/>
      <c r="J15" s="20"/>
      <c r="K15" s="20"/>
      <c r="L15" s="20"/>
      <c r="N15" s="12">
        <f>L27</f>
        <v>9.9004461639782857</v>
      </c>
      <c r="O15" s="12">
        <f t="shared" si="6"/>
        <v>4.5095194092575612</v>
      </c>
      <c r="P15" s="6">
        <f t="shared" si="7"/>
        <v>5</v>
      </c>
      <c r="Q15" s="12">
        <f t="shared" si="8"/>
        <v>1.9800892327956572</v>
      </c>
    </row>
    <row r="16" spans="1:18" x14ac:dyDescent="0.25">
      <c r="A16" s="30"/>
      <c r="B16" s="1">
        <v>5</v>
      </c>
      <c r="C16" s="11">
        <v>13.8</v>
      </c>
      <c r="D16" s="11">
        <v>6.4</v>
      </c>
      <c r="E16" s="30"/>
      <c r="F16" s="30"/>
      <c r="G16" s="31"/>
      <c r="H16" s="30"/>
      <c r="I16" s="20"/>
      <c r="J16" s="20"/>
      <c r="K16" s="20"/>
      <c r="L16" s="20"/>
      <c r="N16" s="12">
        <f>L32</f>
        <v>9.3315545324902534</v>
      </c>
      <c r="O16" s="12">
        <f>N16/MIN($N$10:$N$17)</f>
        <v>4.2503969604841396</v>
      </c>
      <c r="P16" s="6">
        <f t="shared" si="7"/>
        <v>4</v>
      </c>
      <c r="Q16" s="12">
        <f t="shared" si="8"/>
        <v>2.3328886331225633</v>
      </c>
    </row>
    <row r="17" spans="1:18" ht="15.6" x14ac:dyDescent="0.3">
      <c r="A17" s="30">
        <v>4</v>
      </c>
      <c r="B17" s="1">
        <v>1</v>
      </c>
      <c r="C17" s="11">
        <v>16.3</v>
      </c>
      <c r="D17" s="11">
        <v>3.91</v>
      </c>
      <c r="E17" s="30">
        <f t="shared" ref="E17:F17" si="9">AVERAGE(C17:C21)</f>
        <v>16.998000000000001</v>
      </c>
      <c r="F17" s="30">
        <f t="shared" si="9"/>
        <v>3.8160000000000003</v>
      </c>
      <c r="G17" s="31">
        <f t="shared" ref="G17" si="10">$Q$2*1000/E17</f>
        <v>5.8830450641251905E-2</v>
      </c>
      <c r="H17" s="30">
        <v>419</v>
      </c>
      <c r="I17" s="20">
        <f t="shared" ref="I17" si="11">G17*0.001*$Q$4*1000000000000</f>
        <v>0.53182727379691719</v>
      </c>
      <c r="J17" s="20">
        <f t="shared" ref="J17" si="12">((-$Q$5)+(SQRT(($Q$5)^2+(I17*10^(-12)))))*10000000</f>
        <v>6.897941633097278</v>
      </c>
      <c r="K17" s="20">
        <f>1+(E17/F17)</f>
        <v>5.4544025157232703</v>
      </c>
      <c r="L17" s="20">
        <f t="shared" ref="L17" si="13">($Q$3*((J17*0.0000001)^3)*K17)*10000000000000000000/H17</f>
        <v>8.1234844826496513</v>
      </c>
      <c r="N17" s="12">
        <f>L37</f>
        <v>2.1954548291007967</v>
      </c>
      <c r="O17" s="12">
        <f>N17/MIN($N$10:$N$17)</f>
        <v>1</v>
      </c>
      <c r="P17" s="6">
        <f>ROUND(O17,0)</f>
        <v>1</v>
      </c>
      <c r="Q17" s="12">
        <f>N17/P17</f>
        <v>2.1954548291007967</v>
      </c>
      <c r="R17" s="7" t="s">
        <v>32</v>
      </c>
    </row>
    <row r="18" spans="1:18" x14ac:dyDescent="0.25">
      <c r="A18" s="30"/>
      <c r="B18" s="1">
        <v>2</v>
      </c>
      <c r="C18" s="11">
        <v>15.79</v>
      </c>
      <c r="D18" s="11">
        <v>3.98</v>
      </c>
      <c r="E18" s="30"/>
      <c r="F18" s="30"/>
      <c r="G18" s="31"/>
      <c r="H18" s="30"/>
      <c r="I18" s="20"/>
      <c r="J18" s="20"/>
      <c r="K18" s="20"/>
      <c r="L18" s="20"/>
      <c r="N18" s="21" t="s">
        <v>19</v>
      </c>
      <c r="O18" s="22"/>
      <c r="P18" s="23"/>
      <c r="Q18" s="12">
        <f>AVERAGE(Q10:Q17)</f>
        <v>2.1260386547984282</v>
      </c>
      <c r="R18" s="4">
        <f>_xlfn.STDEV.S(Q10:Q17)</f>
        <v>0.12713534186573147</v>
      </c>
    </row>
    <row r="19" spans="1:18" x14ac:dyDescent="0.25">
      <c r="A19" s="30"/>
      <c r="B19" s="1">
        <v>3</v>
      </c>
      <c r="C19" s="11">
        <v>17.829999999999998</v>
      </c>
      <c r="D19" s="11">
        <v>3.66</v>
      </c>
      <c r="E19" s="30"/>
      <c r="F19" s="30"/>
      <c r="G19" s="31"/>
      <c r="H19" s="30"/>
      <c r="I19" s="20"/>
      <c r="J19" s="20"/>
      <c r="K19" s="20"/>
      <c r="L19" s="20"/>
    </row>
    <row r="20" spans="1:18" x14ac:dyDescent="0.25">
      <c r="A20" s="30"/>
      <c r="B20" s="1">
        <v>4</v>
      </c>
      <c r="C20" s="11">
        <v>17.47</v>
      </c>
      <c r="D20" s="11">
        <v>3.6</v>
      </c>
      <c r="E20" s="30"/>
      <c r="F20" s="30"/>
      <c r="G20" s="31"/>
      <c r="H20" s="30"/>
      <c r="I20" s="20"/>
      <c r="J20" s="20"/>
      <c r="K20" s="20"/>
      <c r="L20" s="20"/>
    </row>
    <row r="21" spans="1:18" x14ac:dyDescent="0.25">
      <c r="A21" s="30"/>
      <c r="B21" s="1">
        <v>5</v>
      </c>
      <c r="C21" s="11">
        <v>17.600000000000001</v>
      </c>
      <c r="D21" s="11">
        <v>3.93</v>
      </c>
      <c r="E21" s="30"/>
      <c r="F21" s="30"/>
      <c r="G21" s="31"/>
      <c r="H21" s="30"/>
      <c r="I21" s="20"/>
      <c r="J21" s="20"/>
      <c r="K21" s="20"/>
      <c r="L21" s="20"/>
    </row>
    <row r="22" spans="1:18" x14ac:dyDescent="0.25">
      <c r="A22" s="30">
        <v>5</v>
      </c>
      <c r="B22" s="1">
        <v>1</v>
      </c>
      <c r="C22" s="11">
        <v>17.57</v>
      </c>
      <c r="D22" s="11">
        <v>2.77</v>
      </c>
      <c r="E22" s="30">
        <f t="shared" ref="E22:F22" si="14">AVERAGE(C22:C26)</f>
        <v>17.16</v>
      </c>
      <c r="F22" s="30">
        <f t="shared" si="14"/>
        <v>2.1439999999999997</v>
      </c>
      <c r="G22" s="31">
        <f t="shared" ref="G22" si="15">$Q$2*1000/E22</f>
        <v>5.8275058275058272E-2</v>
      </c>
      <c r="H22" s="30">
        <v>557</v>
      </c>
      <c r="I22" s="20">
        <f t="shared" ref="I22" si="16">G22*0.001*$Q$4*1000000000000</f>
        <v>0.52680652680652673</v>
      </c>
      <c r="J22" s="20">
        <f t="shared" ref="J22" si="17">((-$Q$5)+(SQRT(($Q$5)^2+(I22*10^(-12)))))*10000000</f>
        <v>6.8634902627799619</v>
      </c>
      <c r="K22" s="20">
        <f>1+(E22/F22)</f>
        <v>9.003731343283583</v>
      </c>
      <c r="L22" s="20">
        <f t="shared" ref="L22" si="18">($Q$3*((J22*0.0000001)^3)*K22)*10000000000000000000/H22</f>
        <v>9.9369486726335321</v>
      </c>
    </row>
    <row r="23" spans="1:18" x14ac:dyDescent="0.25">
      <c r="A23" s="30"/>
      <c r="B23" s="1">
        <v>2</v>
      </c>
      <c r="C23" s="11">
        <v>16.87</v>
      </c>
      <c r="D23" s="11">
        <v>2.09</v>
      </c>
      <c r="E23" s="30"/>
      <c r="F23" s="30"/>
      <c r="G23" s="31"/>
      <c r="H23" s="30"/>
      <c r="I23" s="20"/>
      <c r="J23" s="20"/>
      <c r="K23" s="20"/>
      <c r="L23" s="20"/>
    </row>
    <row r="24" spans="1:18" x14ac:dyDescent="0.25">
      <c r="A24" s="30"/>
      <c r="B24" s="1">
        <v>3</v>
      </c>
      <c r="C24" s="11">
        <v>17.079999999999998</v>
      </c>
      <c r="D24" s="11">
        <v>2.08</v>
      </c>
      <c r="E24" s="30"/>
      <c r="F24" s="30"/>
      <c r="G24" s="31"/>
      <c r="H24" s="30"/>
      <c r="I24" s="20"/>
      <c r="J24" s="20"/>
      <c r="K24" s="20"/>
      <c r="L24" s="20"/>
    </row>
    <row r="25" spans="1:18" x14ac:dyDescent="0.25">
      <c r="A25" s="30"/>
      <c r="B25" s="1">
        <v>4</v>
      </c>
      <c r="C25" s="11">
        <v>16.329999999999998</v>
      </c>
      <c r="D25" s="11">
        <v>2.08</v>
      </c>
      <c r="E25" s="30"/>
      <c r="F25" s="30"/>
      <c r="G25" s="31"/>
      <c r="H25" s="30"/>
      <c r="I25" s="20"/>
      <c r="J25" s="20"/>
      <c r="K25" s="20"/>
      <c r="L25" s="20"/>
    </row>
    <row r="26" spans="1:18" x14ac:dyDescent="0.25">
      <c r="A26" s="30"/>
      <c r="B26" s="1">
        <v>5</v>
      </c>
      <c r="C26" s="11">
        <v>17.95</v>
      </c>
      <c r="D26" s="11">
        <v>1.7</v>
      </c>
      <c r="E26" s="30"/>
      <c r="F26" s="30"/>
      <c r="G26" s="31"/>
      <c r="H26" s="30"/>
      <c r="I26" s="20"/>
      <c r="J26" s="20"/>
      <c r="K26" s="20"/>
      <c r="L26" s="20"/>
    </row>
    <row r="27" spans="1:18" x14ac:dyDescent="0.25">
      <c r="A27" s="30">
        <v>6</v>
      </c>
      <c r="B27" s="1">
        <v>1</v>
      </c>
      <c r="C27" s="11">
        <v>13.59</v>
      </c>
      <c r="D27" s="11">
        <v>2.19</v>
      </c>
      <c r="E27" s="30">
        <f t="shared" ref="E27:F27" si="19">AVERAGE(C27:C31)</f>
        <v>13.709999999999999</v>
      </c>
      <c r="F27" s="30">
        <f t="shared" si="19"/>
        <v>2.1420000000000003</v>
      </c>
      <c r="G27" s="31">
        <f t="shared" ref="G27" si="20">$Q$2*1000/E27</f>
        <v>7.2939460247994164E-2</v>
      </c>
      <c r="H27" s="30">
        <v>655</v>
      </c>
      <c r="I27" s="20">
        <f t="shared" ref="I27" si="21">G27*0.001*$Q$4*1000000000000</f>
        <v>0.65937272064186725</v>
      </c>
      <c r="J27" s="20">
        <f t="shared" ref="J27" si="22">((-$Q$5)+(SQRT(($Q$5)^2+(I27*10^(-12)))))*10000000</f>
        <v>7.7243202928412815</v>
      </c>
      <c r="K27" s="20">
        <f>1+(E27/F27)</f>
        <v>7.4005602240896344</v>
      </c>
      <c r="L27" s="20">
        <f t="shared" ref="L27" si="23">($Q$3*((J27*0.0000001)^3)*K27)*10000000000000000000/H27</f>
        <v>9.9004461639782857</v>
      </c>
    </row>
    <row r="28" spans="1:18" x14ac:dyDescent="0.25">
      <c r="A28" s="30"/>
      <c r="B28" s="1">
        <v>2</v>
      </c>
      <c r="C28" s="11">
        <v>13.89</v>
      </c>
      <c r="D28" s="11">
        <v>2.04</v>
      </c>
      <c r="E28" s="30"/>
      <c r="F28" s="30"/>
      <c r="G28" s="31"/>
      <c r="H28" s="30"/>
      <c r="I28" s="20"/>
      <c r="J28" s="20"/>
      <c r="K28" s="20"/>
      <c r="L28" s="20"/>
    </row>
    <row r="29" spans="1:18" x14ac:dyDescent="0.25">
      <c r="A29" s="30"/>
      <c r="B29" s="1">
        <v>3</v>
      </c>
      <c r="C29" s="11">
        <v>14.2</v>
      </c>
      <c r="D29" s="11">
        <v>2.15</v>
      </c>
      <c r="E29" s="30"/>
      <c r="F29" s="30"/>
      <c r="G29" s="31"/>
      <c r="H29" s="30"/>
      <c r="I29" s="20"/>
      <c r="J29" s="20"/>
      <c r="K29" s="20"/>
      <c r="L29" s="20"/>
    </row>
    <row r="30" spans="1:18" x14ac:dyDescent="0.25">
      <c r="A30" s="30"/>
      <c r="B30" s="1">
        <v>4</v>
      </c>
      <c r="C30" s="11">
        <v>13.28</v>
      </c>
      <c r="D30" s="11">
        <v>2.2000000000000002</v>
      </c>
      <c r="E30" s="30"/>
      <c r="F30" s="30"/>
      <c r="G30" s="31"/>
      <c r="H30" s="30"/>
      <c r="I30" s="20"/>
      <c r="J30" s="20"/>
      <c r="K30" s="20"/>
      <c r="L30" s="20"/>
    </row>
    <row r="31" spans="1:18" x14ac:dyDescent="0.25">
      <c r="A31" s="30"/>
      <c r="B31" s="1">
        <v>5</v>
      </c>
      <c r="C31" s="11">
        <v>13.59</v>
      </c>
      <c r="D31" s="11">
        <v>2.13</v>
      </c>
      <c r="E31" s="30"/>
      <c r="F31" s="30"/>
      <c r="G31" s="31"/>
      <c r="H31" s="30"/>
      <c r="I31" s="20"/>
      <c r="J31" s="20"/>
      <c r="K31" s="20"/>
      <c r="L31" s="20"/>
    </row>
    <row r="32" spans="1:18" x14ac:dyDescent="0.25">
      <c r="A32" s="30">
        <v>7</v>
      </c>
      <c r="B32" s="1">
        <v>1</v>
      </c>
      <c r="C32" s="11">
        <v>8.31</v>
      </c>
      <c r="D32" s="11">
        <v>6.43</v>
      </c>
      <c r="E32" s="30">
        <f t="shared" ref="E32:F32" si="24">AVERAGE(C32:C36)</f>
        <v>8.09</v>
      </c>
      <c r="F32" s="30">
        <f t="shared" si="24"/>
        <v>6.298</v>
      </c>
      <c r="G32" s="31">
        <f t="shared" ref="G32" si="25">$Q$2*1000/E32</f>
        <v>0.12360939431396786</v>
      </c>
      <c r="H32" s="30">
        <v>490</v>
      </c>
      <c r="I32" s="20">
        <f t="shared" ref="I32" si="26">G32*0.001*$Q$4*1000000000000</f>
        <v>1.1174289245982696</v>
      </c>
      <c r="J32" s="20">
        <f t="shared" ref="J32" si="27">((-$Q$5)+(SQRT(($Q$5)^2+(I32*10^(-12)))))*10000000</f>
        <v>10.172644925500947</v>
      </c>
      <c r="K32" s="20">
        <f>1+(E32/F32)</f>
        <v>2.2845347729437915</v>
      </c>
      <c r="L32" s="20">
        <f t="shared" ref="L32" si="28">($Q$3*((J32*0.0000001)^3)*K32)*10000000000000000000/H32</f>
        <v>9.3315545324902534</v>
      </c>
    </row>
    <row r="33" spans="1:12" x14ac:dyDescent="0.25">
      <c r="A33" s="30"/>
      <c r="B33" s="1">
        <v>2</v>
      </c>
      <c r="C33" s="11">
        <v>8.15</v>
      </c>
      <c r="D33" s="11">
        <v>6.18</v>
      </c>
      <c r="E33" s="30"/>
      <c r="F33" s="30"/>
      <c r="G33" s="31"/>
      <c r="H33" s="30"/>
      <c r="I33" s="20"/>
      <c r="J33" s="20"/>
      <c r="K33" s="20"/>
      <c r="L33" s="20"/>
    </row>
    <row r="34" spans="1:12" x14ac:dyDescent="0.25">
      <c r="A34" s="30"/>
      <c r="B34" s="1">
        <v>3</v>
      </c>
      <c r="C34" s="11">
        <v>7.97</v>
      </c>
      <c r="D34" s="11">
        <v>6.21</v>
      </c>
      <c r="E34" s="30"/>
      <c r="F34" s="30"/>
      <c r="G34" s="31"/>
      <c r="H34" s="30"/>
      <c r="I34" s="20"/>
      <c r="J34" s="20"/>
      <c r="K34" s="20"/>
      <c r="L34" s="20"/>
    </row>
    <row r="35" spans="1:12" x14ac:dyDescent="0.25">
      <c r="A35" s="30"/>
      <c r="B35" s="1">
        <v>4</v>
      </c>
      <c r="C35" s="11">
        <v>7.86</v>
      </c>
      <c r="D35" s="11">
        <v>6.42</v>
      </c>
      <c r="E35" s="30"/>
      <c r="F35" s="30"/>
      <c r="G35" s="31"/>
      <c r="H35" s="30"/>
      <c r="I35" s="20"/>
      <c r="J35" s="20"/>
      <c r="K35" s="20"/>
      <c r="L35" s="20"/>
    </row>
    <row r="36" spans="1:12" x14ac:dyDescent="0.25">
      <c r="A36" s="30"/>
      <c r="B36" s="1">
        <v>5</v>
      </c>
      <c r="C36" s="11">
        <v>8.16</v>
      </c>
      <c r="D36" s="11">
        <v>6.25</v>
      </c>
      <c r="E36" s="30"/>
      <c r="F36" s="30"/>
      <c r="G36" s="31"/>
      <c r="H36" s="30"/>
      <c r="I36" s="20"/>
      <c r="J36" s="20"/>
      <c r="K36" s="20"/>
      <c r="L36" s="20"/>
    </row>
    <row r="37" spans="1:12" x14ac:dyDescent="0.25">
      <c r="A37" s="30">
        <v>8</v>
      </c>
      <c r="B37" s="1">
        <v>1</v>
      </c>
      <c r="C37" s="12">
        <v>15.85</v>
      </c>
      <c r="D37" s="11">
        <v>13.84</v>
      </c>
      <c r="E37" s="30">
        <f t="shared" ref="E37:F37" si="29">AVERAGE(C37:C41)</f>
        <v>15.553999999999998</v>
      </c>
      <c r="F37" s="30">
        <f t="shared" si="29"/>
        <v>13.98</v>
      </c>
      <c r="G37" s="31">
        <f t="shared" ref="G37" si="30">$Q$2*1000/E37</f>
        <v>6.4292143500064292E-2</v>
      </c>
      <c r="H37" s="30">
        <v>691</v>
      </c>
      <c r="I37" s="20">
        <f t="shared" ref="I37" si="31">G37*0.001*$Q$4*1000000000000</f>
        <v>0.58120097724058117</v>
      </c>
      <c r="J37" s="20">
        <f t="shared" ref="J37" si="32">((-$Q$5)+(SQRT(($Q$5)^2+(I37*10^(-12)))))*10000000</f>
        <v>7.2284570025679056</v>
      </c>
      <c r="K37" s="20">
        <f>1+(E37/F37)</f>
        <v>2.1125894134477825</v>
      </c>
      <c r="L37" s="20">
        <f t="shared" ref="L37" si="33">($Q$3*((J37*0.0000001)^3)*K37)*10000000000000000000/H37</f>
        <v>2.1954548291007967</v>
      </c>
    </row>
    <row r="38" spans="1:12" x14ac:dyDescent="0.25">
      <c r="A38" s="30"/>
      <c r="B38" s="1">
        <v>2</v>
      </c>
      <c r="C38" s="12">
        <v>15.6</v>
      </c>
      <c r="D38" s="11">
        <v>14.83</v>
      </c>
      <c r="E38" s="30"/>
      <c r="F38" s="30"/>
      <c r="G38" s="31"/>
      <c r="H38" s="30"/>
      <c r="I38" s="20"/>
      <c r="J38" s="20"/>
      <c r="K38" s="20"/>
      <c r="L38" s="20"/>
    </row>
    <row r="39" spans="1:12" x14ac:dyDescent="0.25">
      <c r="A39" s="30"/>
      <c r="B39" s="1">
        <v>3</v>
      </c>
      <c r="C39" s="12">
        <v>15.37</v>
      </c>
      <c r="D39" s="11">
        <v>13.59</v>
      </c>
      <c r="E39" s="30"/>
      <c r="F39" s="30"/>
      <c r="G39" s="31"/>
      <c r="H39" s="30"/>
      <c r="I39" s="20"/>
      <c r="J39" s="20"/>
      <c r="K39" s="20"/>
      <c r="L39" s="20"/>
    </row>
    <row r="40" spans="1:12" x14ac:dyDescent="0.25">
      <c r="A40" s="30"/>
      <c r="B40" s="1">
        <v>4</v>
      </c>
      <c r="C40" s="12">
        <v>15.4</v>
      </c>
      <c r="D40" s="11">
        <v>13.68</v>
      </c>
      <c r="E40" s="30"/>
      <c r="F40" s="30"/>
      <c r="G40" s="31"/>
      <c r="H40" s="30"/>
      <c r="I40" s="20"/>
      <c r="J40" s="20"/>
      <c r="K40" s="20"/>
      <c r="L40" s="20"/>
    </row>
    <row r="41" spans="1:12" x14ac:dyDescent="0.25">
      <c r="A41" s="30"/>
      <c r="B41" s="1">
        <v>5</v>
      </c>
      <c r="C41" s="12">
        <v>15.55</v>
      </c>
      <c r="D41" s="11">
        <v>13.96</v>
      </c>
      <c r="E41" s="30"/>
      <c r="F41" s="30"/>
      <c r="G41" s="31"/>
      <c r="H41" s="30"/>
      <c r="I41" s="20"/>
      <c r="J41" s="20"/>
      <c r="K41" s="20"/>
      <c r="L41" s="20"/>
    </row>
  </sheetData>
  <mergeCells count="73">
    <mergeCell ref="I37:I41"/>
    <mergeCell ref="J37:J41"/>
    <mergeCell ref="K37:K41"/>
    <mergeCell ref="L37:L41"/>
    <mergeCell ref="N18:P18"/>
    <mergeCell ref="L32:L36"/>
    <mergeCell ref="K27:K31"/>
    <mergeCell ref="L27:L31"/>
    <mergeCell ref="I32:I36"/>
    <mergeCell ref="J32:J36"/>
    <mergeCell ref="K32:K36"/>
    <mergeCell ref="I27:I31"/>
    <mergeCell ref="J27:J31"/>
    <mergeCell ref="I22:I26"/>
    <mergeCell ref="I17:I21"/>
    <mergeCell ref="J17:J21"/>
    <mergeCell ref="A37:A41"/>
    <mergeCell ref="E37:E41"/>
    <mergeCell ref="F37:F41"/>
    <mergeCell ref="G37:G41"/>
    <mergeCell ref="H37:H41"/>
    <mergeCell ref="A32:A36"/>
    <mergeCell ref="E32:E36"/>
    <mergeCell ref="F32:F36"/>
    <mergeCell ref="G32:G36"/>
    <mergeCell ref="H32:H36"/>
    <mergeCell ref="A22:A26"/>
    <mergeCell ref="E22:E26"/>
    <mergeCell ref="F22:F26"/>
    <mergeCell ref="G22:G26"/>
    <mergeCell ref="H22:H26"/>
    <mergeCell ref="A27:A31"/>
    <mergeCell ref="E27:E31"/>
    <mergeCell ref="F27:F31"/>
    <mergeCell ref="G27:G31"/>
    <mergeCell ref="H27:H31"/>
    <mergeCell ref="K17:K21"/>
    <mergeCell ref="L17:L21"/>
    <mergeCell ref="J22:J26"/>
    <mergeCell ref="K22:K26"/>
    <mergeCell ref="L22:L26"/>
    <mergeCell ref="A17:A21"/>
    <mergeCell ref="E17:E21"/>
    <mergeCell ref="F17:F21"/>
    <mergeCell ref="G17:G21"/>
    <mergeCell ref="H17:H21"/>
    <mergeCell ref="K7:K11"/>
    <mergeCell ref="L7:L11"/>
    <mergeCell ref="A12:A16"/>
    <mergeCell ref="E12:E16"/>
    <mergeCell ref="F12:F16"/>
    <mergeCell ref="G12:G16"/>
    <mergeCell ref="H12:H16"/>
    <mergeCell ref="I12:I16"/>
    <mergeCell ref="J12:J16"/>
    <mergeCell ref="K12:K16"/>
    <mergeCell ref="L12:L16"/>
    <mergeCell ref="J2:J6"/>
    <mergeCell ref="K2:K6"/>
    <mergeCell ref="L2:L6"/>
    <mergeCell ref="A7:A11"/>
    <mergeCell ref="E7:E11"/>
    <mergeCell ref="F7:F11"/>
    <mergeCell ref="G7:G11"/>
    <mergeCell ref="H7:H11"/>
    <mergeCell ref="I7:I11"/>
    <mergeCell ref="J7:J11"/>
    <mergeCell ref="A2:A6"/>
    <mergeCell ref="E2:E6"/>
    <mergeCell ref="F2:F6"/>
    <mergeCell ref="G2:G6"/>
    <mergeCell ref="H2:H6"/>
    <mergeCell ref="I2:I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Balancing</vt:lpstr>
      <vt:lpstr>Dynamic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</dc:creator>
  <cp:lastModifiedBy>gayatri padinjaroot</cp:lastModifiedBy>
  <dcterms:created xsi:type="dcterms:W3CDTF">2024-10-30T05:23:48Z</dcterms:created>
  <dcterms:modified xsi:type="dcterms:W3CDTF">2024-11-02T11:35:26Z</dcterms:modified>
</cp:coreProperties>
</file>