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optics\1. diffraction\"/>
    </mc:Choice>
  </mc:AlternateContent>
  <xr:revisionPtr revIDLastSave="0" documentId="13_ncr:1_{0F3190FE-F5D5-4340-83CA-3C9993BD993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ingle" sheetId="1" r:id="rId1"/>
    <sheet name="double" sheetId="2" r:id="rId2"/>
  </sheets>
  <calcPr calcId="181029"/>
</workbook>
</file>

<file path=xl/calcChain.xml><?xml version="1.0" encoding="utf-8"?>
<calcChain xmlns="http://schemas.openxmlformats.org/spreadsheetml/2006/main">
  <c r="P18" i="2" l="1"/>
  <c r="B49" i="1"/>
  <c r="T8" i="1"/>
  <c r="T9" i="2"/>
  <c r="P21" i="2"/>
  <c r="M20" i="2"/>
  <c r="L20" i="2"/>
  <c r="K21" i="2"/>
  <c r="P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S32" i="2"/>
  <c r="R32" i="2"/>
  <c r="I20" i="2"/>
  <c r="E21" i="2"/>
  <c r="X3" i="2"/>
  <c r="Y3" i="2"/>
  <c r="X4" i="2"/>
  <c r="Y4" i="2"/>
  <c r="X5" i="2"/>
  <c r="Y5" i="2"/>
  <c r="X6" i="2"/>
  <c r="Y6" i="2"/>
  <c r="X7" i="2"/>
  <c r="Y7" i="2"/>
  <c r="X8" i="2"/>
  <c r="Y8" i="2"/>
  <c r="Y2" i="2"/>
  <c r="X2" i="2"/>
  <c r="H5" i="2"/>
  <c r="Q49" i="1"/>
  <c r="B48" i="1"/>
  <c r="Q12" i="1"/>
  <c r="T4" i="1"/>
  <c r="T5" i="1"/>
  <c r="T3" i="1"/>
  <c r="B17" i="1"/>
  <c r="B16" i="1"/>
  <c r="K14" i="1"/>
  <c r="I4" i="1"/>
  <c r="I5" i="1"/>
  <c r="I6" i="1"/>
  <c r="I7" i="1"/>
  <c r="I8" i="1"/>
  <c r="I9" i="1"/>
  <c r="I10" i="1"/>
  <c r="I11" i="1"/>
  <c r="I12" i="1"/>
  <c r="I13" i="1"/>
  <c r="I14" i="1"/>
  <c r="E14" i="1"/>
  <c r="E5" i="1"/>
  <c r="E6" i="1"/>
  <c r="E7" i="1"/>
  <c r="E8" i="1"/>
  <c r="E9" i="1"/>
  <c r="E10" i="1"/>
  <c r="E11" i="1"/>
  <c r="E12" i="1"/>
  <c r="E13" i="1"/>
  <c r="J4" i="1"/>
  <c r="I43" i="2"/>
  <c r="I42" i="2"/>
  <c r="I41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J21" i="2"/>
  <c r="D46" i="2"/>
  <c r="D43" i="2"/>
  <c r="D44" i="2"/>
  <c r="E46" i="2" s="1"/>
  <c r="F46" i="2" s="1"/>
  <c r="D45" i="2"/>
  <c r="D47" i="2"/>
  <c r="D48" i="2"/>
  <c r="D49" i="2"/>
  <c r="D50" i="2"/>
  <c r="E52" i="2" s="1"/>
  <c r="F52" i="2" s="1"/>
  <c r="D51" i="2"/>
  <c r="D52" i="2"/>
  <c r="D42" i="2"/>
  <c r="D41" i="2"/>
  <c r="E43" i="2" s="1"/>
  <c r="F43" i="2" s="1"/>
  <c r="D40" i="2"/>
  <c r="D39" i="2"/>
  <c r="E36" i="2"/>
  <c r="F36" i="2" s="1"/>
  <c r="D31" i="2"/>
  <c r="D32" i="2"/>
  <c r="D33" i="2"/>
  <c r="E33" i="2" s="1"/>
  <c r="F33" i="2" s="1"/>
  <c r="D34" i="2"/>
  <c r="E34" i="2" s="1"/>
  <c r="F34" i="2" s="1"/>
  <c r="D35" i="2"/>
  <c r="D36" i="2"/>
  <c r="D37" i="2"/>
  <c r="D38" i="2"/>
  <c r="E39" i="2" s="1"/>
  <c r="F39" i="2" s="1"/>
  <c r="D30" i="2"/>
  <c r="D29" i="2"/>
  <c r="D28" i="2"/>
  <c r="D27" i="2"/>
  <c r="F21" i="2"/>
  <c r="D20" i="2"/>
  <c r="D22" i="2"/>
  <c r="P9" i="2"/>
  <c r="P5" i="2"/>
  <c r="R5" i="2" s="1"/>
  <c r="L12" i="2"/>
  <c r="L13" i="2"/>
  <c r="L14" i="2"/>
  <c r="D26" i="2"/>
  <c r="D25" i="2"/>
  <c r="D24" i="2"/>
  <c r="D23" i="2"/>
  <c r="D21" i="2"/>
  <c r="R8" i="2"/>
  <c r="H6" i="2"/>
  <c r="H7" i="2"/>
  <c r="H8" i="2"/>
  <c r="H9" i="2"/>
  <c r="H10" i="2"/>
  <c r="H11" i="2"/>
  <c r="E11" i="2"/>
  <c r="D14" i="2"/>
  <c r="D13" i="2"/>
  <c r="D12" i="2"/>
  <c r="P15" i="2"/>
  <c r="L11" i="2"/>
  <c r="D11" i="2"/>
  <c r="L10" i="2"/>
  <c r="D10" i="2"/>
  <c r="L9" i="2"/>
  <c r="D9" i="2"/>
  <c r="L8" i="2"/>
  <c r="D8" i="2"/>
  <c r="L7" i="2"/>
  <c r="D7" i="2"/>
  <c r="L6" i="2"/>
  <c r="D6" i="2"/>
  <c r="L5" i="2"/>
  <c r="D5" i="2"/>
  <c r="Q47" i="1"/>
  <c r="P45" i="1"/>
  <c r="R44" i="1" s="1"/>
  <c r="L46" i="1"/>
  <c r="H46" i="1"/>
  <c r="D46" i="1"/>
  <c r="L45" i="1"/>
  <c r="H45" i="1"/>
  <c r="D45" i="1"/>
  <c r="L44" i="1"/>
  <c r="H44" i="1"/>
  <c r="D44" i="1"/>
  <c r="L43" i="1"/>
  <c r="H43" i="1"/>
  <c r="D43" i="1"/>
  <c r="L42" i="1"/>
  <c r="H42" i="1"/>
  <c r="D42" i="1"/>
  <c r="P41" i="1"/>
  <c r="R41" i="1" s="1"/>
  <c r="L41" i="1"/>
  <c r="H41" i="1"/>
  <c r="D41" i="1"/>
  <c r="H5" i="1"/>
  <c r="H6" i="1"/>
  <c r="H7" i="1"/>
  <c r="H8" i="1"/>
  <c r="H9" i="1"/>
  <c r="H10" i="1"/>
  <c r="H11" i="1"/>
  <c r="H12" i="1"/>
  <c r="H13" i="1"/>
  <c r="H14" i="1"/>
  <c r="H4" i="1"/>
  <c r="Q10" i="1"/>
  <c r="P8" i="1"/>
  <c r="R7" i="1" s="1"/>
  <c r="L5" i="1"/>
  <c r="L6" i="1"/>
  <c r="L7" i="1"/>
  <c r="L8" i="1"/>
  <c r="L9" i="1"/>
  <c r="L10" i="1"/>
  <c r="L11" i="1"/>
  <c r="L12" i="1"/>
  <c r="L13" i="1"/>
  <c r="L14" i="1"/>
  <c r="L4" i="1"/>
  <c r="P4" i="1"/>
  <c r="R4" i="1" s="1"/>
  <c r="D5" i="1"/>
  <c r="D6" i="1"/>
  <c r="D7" i="1"/>
  <c r="D8" i="1"/>
  <c r="D9" i="1"/>
  <c r="D10" i="1"/>
  <c r="D11" i="1"/>
  <c r="D12" i="1"/>
  <c r="D13" i="1"/>
  <c r="D14" i="1"/>
  <c r="D4" i="1"/>
  <c r="J12" i="1"/>
  <c r="E45" i="2" l="1"/>
  <c r="F45" i="2" s="1"/>
  <c r="E42" i="2"/>
  <c r="F42" i="2" s="1"/>
  <c r="E40" i="2"/>
  <c r="F40" i="2" s="1"/>
  <c r="E37" i="2"/>
  <c r="F37" i="2" s="1"/>
  <c r="E31" i="2"/>
  <c r="F31" i="2" s="1"/>
  <c r="E30" i="2"/>
  <c r="F30" i="2" s="1"/>
  <c r="E28" i="2"/>
  <c r="F28" i="2" s="1"/>
  <c r="E27" i="2"/>
  <c r="F27" i="2" s="1"/>
  <c r="E4" i="1"/>
  <c r="P43" i="1"/>
  <c r="R42" i="1" s="1"/>
  <c r="T40" i="1" s="1"/>
  <c r="T45" i="1" s="1"/>
  <c r="J41" i="1"/>
  <c r="K41" i="1" s="1"/>
  <c r="J43" i="2"/>
  <c r="K43" i="2" s="1"/>
  <c r="J42" i="2"/>
  <c r="K42" i="2" s="1"/>
  <c r="J40" i="2"/>
  <c r="K40" i="2" s="1"/>
  <c r="J39" i="2"/>
  <c r="K39" i="2" s="1"/>
  <c r="J37" i="2"/>
  <c r="K37" i="2" s="1"/>
  <c r="J36" i="2"/>
  <c r="K36" i="2" s="1"/>
  <c r="J34" i="2"/>
  <c r="K34" i="2" s="1"/>
  <c r="J33" i="2"/>
  <c r="K33" i="2" s="1"/>
  <c r="J31" i="2"/>
  <c r="K31" i="2" s="1"/>
  <c r="J30" i="2"/>
  <c r="K30" i="2" s="1"/>
  <c r="J28" i="2"/>
  <c r="K28" i="2" s="1"/>
  <c r="J27" i="2"/>
  <c r="K27" i="2" s="1"/>
  <c r="J25" i="2"/>
  <c r="K25" i="2" s="1"/>
  <c r="J24" i="2"/>
  <c r="K24" i="2" s="1"/>
  <c r="J22" i="2"/>
  <c r="K22" i="2" s="1"/>
  <c r="E49" i="2"/>
  <c r="F49" i="2" s="1"/>
  <c r="E48" i="2"/>
  <c r="F48" i="2" s="1"/>
  <c r="E51" i="2"/>
  <c r="F51" i="2" s="1"/>
  <c r="E22" i="2"/>
  <c r="F22" i="2" s="1"/>
  <c r="E25" i="2"/>
  <c r="F25" i="2" s="1"/>
  <c r="I11" i="2"/>
  <c r="I10" i="2"/>
  <c r="I5" i="2"/>
  <c r="J5" i="2" s="1"/>
  <c r="K5" i="2" s="1"/>
  <c r="I9" i="2"/>
  <c r="J11" i="2"/>
  <c r="I6" i="2"/>
  <c r="E5" i="2"/>
  <c r="E8" i="2"/>
  <c r="I8" i="2"/>
  <c r="E7" i="2"/>
  <c r="J7" i="2" s="1"/>
  <c r="E10" i="2"/>
  <c r="J10" i="2" s="1"/>
  <c r="E14" i="2"/>
  <c r="J14" i="2" s="1"/>
  <c r="K14" i="2" s="1"/>
  <c r="E6" i="2"/>
  <c r="E9" i="2"/>
  <c r="J9" i="2" s="1"/>
  <c r="E13" i="2"/>
  <c r="J13" i="2" s="1"/>
  <c r="K13" i="2" s="1"/>
  <c r="I7" i="2"/>
  <c r="E12" i="2"/>
  <c r="J12" i="2" s="1"/>
  <c r="K12" i="2" s="1"/>
  <c r="E24" i="2"/>
  <c r="F24" i="2" s="1"/>
  <c r="P7" i="2"/>
  <c r="R6" i="2" s="1"/>
  <c r="T4" i="2" s="1"/>
  <c r="K11" i="2"/>
  <c r="K7" i="2"/>
  <c r="J10" i="1"/>
  <c r="K10" i="1" s="1"/>
  <c r="J14" i="1"/>
  <c r="J6" i="1"/>
  <c r="K6" i="1" s="1"/>
  <c r="J7" i="1"/>
  <c r="K7" i="1" s="1"/>
  <c r="J13" i="1"/>
  <c r="K13" i="1" s="1"/>
  <c r="J5" i="1"/>
  <c r="K5" i="1" s="1"/>
  <c r="J11" i="1"/>
  <c r="K11" i="1" s="1"/>
  <c r="J9" i="1"/>
  <c r="J8" i="1"/>
  <c r="J46" i="1"/>
  <c r="K46" i="1" s="1"/>
  <c r="J45" i="1"/>
  <c r="J44" i="1"/>
  <c r="K44" i="1" s="1"/>
  <c r="J43" i="1"/>
  <c r="J42" i="1"/>
  <c r="K42" i="1" s="1"/>
  <c r="K12" i="1"/>
  <c r="P6" i="1"/>
  <c r="R5" i="1" s="1"/>
  <c r="K9" i="1"/>
  <c r="P19" i="2" l="1"/>
  <c r="P20" i="2"/>
  <c r="J6" i="2"/>
  <c r="K6" i="2" s="1"/>
  <c r="J8" i="2"/>
  <c r="K8" i="2" s="1"/>
  <c r="T8" i="2"/>
  <c r="K10" i="2"/>
  <c r="K9" i="2"/>
  <c r="K45" i="1"/>
  <c r="K43" i="1"/>
  <c r="P42" i="1"/>
  <c r="R43" i="1" s="1"/>
  <c r="T44" i="1"/>
  <c r="K4" i="1"/>
  <c r="P5" i="1"/>
  <c r="R6" i="1" s="1"/>
  <c r="K8" i="1"/>
  <c r="P6" i="2" l="1"/>
  <c r="R7" i="2" s="1"/>
  <c r="P8" i="2"/>
  <c r="R9" i="2" s="1"/>
  <c r="P44" i="1"/>
  <c r="R45" i="1" s="1"/>
  <c r="T41" i="1" s="1"/>
  <c r="P7" i="1"/>
  <c r="R8" i="1" s="1"/>
  <c r="T6" i="2" l="1"/>
  <c r="P17" i="2" s="1"/>
  <c r="T5" i="2"/>
  <c r="T42" i="1"/>
  <c r="Q50" i="1" s="1"/>
  <c r="T7" i="1"/>
  <c r="P22" i="2" l="1"/>
  <c r="M12" i="2"/>
  <c r="M14" i="2"/>
  <c r="M13" i="2"/>
  <c r="M7" i="2"/>
  <c r="M10" i="2"/>
  <c r="M5" i="2"/>
  <c r="M11" i="2"/>
  <c r="M9" i="2"/>
  <c r="M6" i="2"/>
  <c r="M8" i="2"/>
  <c r="Q13" i="1"/>
  <c r="M41" i="1"/>
  <c r="M43" i="1"/>
  <c r="M45" i="1"/>
  <c r="M44" i="1"/>
  <c r="M42" i="1"/>
  <c r="M46" i="1"/>
  <c r="M9" i="1"/>
  <c r="M11" i="1"/>
  <c r="M10" i="1"/>
  <c r="M12" i="1"/>
  <c r="M5" i="1"/>
  <c r="M13" i="1"/>
  <c r="M8" i="1"/>
  <c r="M6" i="1"/>
  <c r="M14" i="1"/>
  <c r="M7" i="1"/>
  <c r="M4" i="1"/>
  <c r="M15" i="2" l="1"/>
  <c r="M15" i="1"/>
</calcChain>
</file>

<file path=xl/sharedStrings.xml><?xml version="1.0" encoding="utf-8"?>
<sst xmlns="http://schemas.openxmlformats.org/spreadsheetml/2006/main" count="138" uniqueCount="49">
  <si>
    <t>N</t>
  </si>
  <si>
    <t>sums</t>
  </si>
  <si>
    <t>xi</t>
  </si>
  <si>
    <t>yi</t>
  </si>
  <si>
    <t>xiyi</t>
  </si>
  <si>
    <t>b</t>
  </si>
  <si>
    <t>xi^2</t>
  </si>
  <si>
    <t>(y-(ax+b))^2</t>
  </si>
  <si>
    <t>Delta</t>
  </si>
  <si>
    <t>sigma b</t>
  </si>
  <si>
    <t>sigma i</t>
  </si>
  <si>
    <t>Sx</t>
  </si>
  <si>
    <t>Sxx</t>
  </si>
  <si>
    <t>Sy</t>
  </si>
  <si>
    <t>S</t>
  </si>
  <si>
    <t>Sxy</t>
  </si>
  <si>
    <t>mm</t>
  </si>
  <si>
    <t>m</t>
  </si>
  <si>
    <t>sigma m</t>
  </si>
  <si>
    <t>order</t>
  </si>
  <si>
    <t>left</t>
  </si>
  <si>
    <t>right</t>
  </si>
  <si>
    <t>a^l_1</t>
  </si>
  <si>
    <t>a^l_2</t>
  </si>
  <si>
    <t>a^l</t>
  </si>
  <si>
    <t>a^r_1</t>
  </si>
  <si>
    <t>a^r_2</t>
  </si>
  <si>
    <t>a^r</t>
  </si>
  <si>
    <t>center</t>
  </si>
  <si>
    <t>wire width</t>
  </si>
  <si>
    <t>x_m (mm)</t>
  </si>
  <si>
    <t>order^2</t>
  </si>
  <si>
    <t>order*xm</t>
  </si>
  <si>
    <t>wavelength</t>
  </si>
  <si>
    <t>D</t>
  </si>
  <si>
    <t>nm</t>
  </si>
  <si>
    <t>Single Slit Diffraction</t>
  </si>
  <si>
    <t>Diffraction of thin wire</t>
  </si>
  <si>
    <t>Double-slit diffraction and interference</t>
  </si>
  <si>
    <t xml:space="preserve">center </t>
  </si>
  <si>
    <t>d</t>
  </si>
  <si>
    <t>diffraction</t>
  </si>
  <si>
    <t>interference</t>
  </si>
  <si>
    <t>xm</t>
  </si>
  <si>
    <t>delta xm</t>
  </si>
  <si>
    <t>avg d</t>
  </si>
  <si>
    <t>delta d</t>
  </si>
  <si>
    <t>c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</si>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</sst>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0" fontId="3" fillId="0" borderId="1" xfId="0" applyFont="1" applyBorder="1"/>
    <xf numFmtId="0" fontId="0" fillId="0" borderId="2" xfId="0" applyBorder="1"/>
    <xf numFmtId="0" fontId="4" fillId="0" borderId="3" xfId="0" applyFont="1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4" fillId="0" borderId="5" xfId="0" applyFont="1" applyBorder="1"/>
    <xf numFmtId="1" fontId="0" fillId="0" borderId="6" xfId="0" applyNumberForma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center" vertical="center"/>
    </xf>
    <xf numFmtId="2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/>
    </xf>
    <xf numFmtId="11" fontId="4" fillId="0" borderId="0" xfId="0" applyNumberFormat="1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4" borderId="0" xfId="0" applyNumberFormat="1" applyFill="1"/>
    <xf numFmtId="2" fontId="0" fillId="4" borderId="0" xfId="0" applyNumberForma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single!$J$2</c:f>
              <c:strCache>
                <c:ptCount val="1"/>
                <c:pt idx="0">
                  <c:v>x_m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single!$A$3:$A$14</c:f>
              <c:numCache>
                <c:formatCode>0</c:formatCode>
                <c:ptCount val="1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single!$J$3:$J$14</c:f>
              <c:numCache>
                <c:formatCode>0</c:formatCode>
                <c:ptCount val="12"/>
                <c:pt idx="1">
                  <c:v>9.0000000000000036</c:v>
                </c:pt>
                <c:pt idx="2">
                  <c:v>17.750000000000004</c:v>
                </c:pt>
                <c:pt idx="3">
                  <c:v>25.75</c:v>
                </c:pt>
                <c:pt idx="4">
                  <c:v>34.499999999999993</c:v>
                </c:pt>
                <c:pt idx="5">
                  <c:v>43.499999999999986</c:v>
                </c:pt>
                <c:pt idx="6">
                  <c:v>52.250000000000014</c:v>
                </c:pt>
                <c:pt idx="7">
                  <c:v>61.249999999999993</c:v>
                </c:pt>
                <c:pt idx="8">
                  <c:v>69.999999999999986</c:v>
                </c:pt>
                <c:pt idx="9">
                  <c:v>78</c:v>
                </c:pt>
                <c:pt idx="10">
                  <c:v>86.749999999999986</c:v>
                </c:pt>
                <c:pt idx="11">
                  <c:v>95.499999999999986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1-4C75-94FC-9CD54561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64368"/>
        <c:axId val="281962608"/>
      </c:scatterChart>
      <c:valAx>
        <c:axId val="2819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62608"/>
        <c:crosses val="autoZero"/>
        <c:crossBetween val="midCat"/>
      </c:valAx>
      <c:valAx>
        <c:axId val="281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xm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single!$J$39</c:f>
              <c:strCache>
                <c:ptCount val="1"/>
                <c:pt idx="0">
                  <c:v>x_m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single!$A$40:$A$46</c:f>
              <c:numCache>
                <c:formatCode>0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single!$J$40:$J$46</c:f>
              <c:numCache>
                <c:formatCode>0.0</c:formatCode>
                <c:ptCount val="7"/>
                <c:pt idx="1">
                  <c:v>22.000000000000011</c:v>
                </c:pt>
                <c:pt idx="2">
                  <c:v>38.75</c:v>
                </c:pt>
                <c:pt idx="3">
                  <c:v>58.000000000000014</c:v>
                </c:pt>
                <c:pt idx="4">
                  <c:v>77.250000000000014</c:v>
                </c:pt>
                <c:pt idx="5">
                  <c:v>97</c:v>
                </c:pt>
                <c:pt idx="6">
                  <c:v>116.25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BB3-8808-D9A4499A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09680"/>
        <c:axId val="438312496"/>
      </c:scatterChart>
      <c:valAx>
        <c:axId val="4383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2496"/>
        <c:crosses val="autoZero"/>
        <c:crossBetween val="midCat"/>
      </c:valAx>
      <c:valAx>
        <c:axId val="4383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double!$J$3</c:f>
              <c:strCache>
                <c:ptCount val="1"/>
                <c:pt idx="0">
                  <c:v>x_m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double!$A$4:$A$14</c:f>
              <c:numCache>
                <c:formatCode>0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double!$J$4:$J$14</c:f>
              <c:numCache>
                <c:formatCode>0</c:formatCode>
                <c:ptCount val="11"/>
                <c:pt idx="1">
                  <c:v>23.250000000000011</c:v>
                </c:pt>
                <c:pt idx="2">
                  <c:v>45.999999999999979</c:v>
                </c:pt>
                <c:pt idx="3">
                  <c:v>71.75</c:v>
                </c:pt>
                <c:pt idx="4">
                  <c:v>92.249999999999972</c:v>
                </c:pt>
                <c:pt idx="5">
                  <c:v>115.74999999999997</c:v>
                </c:pt>
                <c:pt idx="6">
                  <c:v>138.75</c:v>
                </c:pt>
                <c:pt idx="7">
                  <c:v>162.5</c:v>
                </c:pt>
                <c:pt idx="8">
                  <c:v>187</c:v>
                </c:pt>
                <c:pt idx="9">
                  <c:v>210.49999999999997</c:v>
                </c:pt>
                <c:pt idx="10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ECD-806A-C2EE7AAC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51120"/>
        <c:axId val="368351472"/>
      </c:scatterChart>
      <c:valAx>
        <c:axId val="3683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51472"/>
        <c:crosses val="autoZero"/>
        <c:crossBetween val="midCat"/>
      </c:valAx>
      <c:valAx>
        <c:axId val="3683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310402</xdr:colOff>
      <xdr:row>13</xdr:row>
      <xdr:rowOff>105334</xdr:rowOff>
    </xdr:from>
    <xdr:to>
      <xdr:col>20</xdr:col>
      <xdr:colOff>3362</xdr:colOff>
      <xdr:row>33</xdr:row>
      <xdr:rowOff>118781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EC43E-AE56-8B7D-D98C-97F74C13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653143</xdr:colOff>
      <xdr:row>50</xdr:row>
      <xdr:rowOff>157842</xdr:rowOff>
    </xdr:from>
    <xdr:to>
      <xdr:col>19</xdr:col>
      <xdr:colOff>783771</xdr:colOff>
      <xdr:row>66</xdr:row>
      <xdr:rowOff>54427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B143D-A8E7-1708-2857-E2B34B4FA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10</xdr:row>
      <xdr:rowOff>57150</xdr:rowOff>
    </xdr:from>
    <xdr:to>
      <xdr:col>24</xdr:col>
      <xdr:colOff>449580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9973-4CA5-9C2D-8D6B-3438AC32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4"/>
  <sheetViews>
    <sheetView topLeftCell="F28" zoomScaleNormal="100" workbookViewId="0">
      <selection activeCell="T50" sqref="T50"/>
    </sheetView>
  </sheetViews>
  <sheetFormatPr defaultColWidth="12.6640625" defaultRowHeight="15.75" customHeight="1" x14ac:dyDescent="0.25"/>
  <cols>
    <col min="1" max="1" width="16.77734375" bestFit="1" customWidth="1"/>
    <col min="2" max="2" width="17.44140625" customWidth="1"/>
    <col min="3" max="3" width="6.6640625" customWidth="1"/>
    <col min="4" max="4" width="6" bestFit="1" customWidth="1"/>
    <col min="5" max="5" width="10.77734375" customWidth="1"/>
    <col min="7" max="7" width="8.44140625" customWidth="1"/>
    <col min="8" max="8" width="15.77734375" bestFit="1" customWidth="1"/>
    <col min="9" max="9" width="11.88671875" customWidth="1"/>
    <col min="10" max="10" width="15.44140625" bestFit="1" customWidth="1"/>
    <col min="11" max="11" width="15.44140625" customWidth="1"/>
    <col min="12" max="12" width="16.109375" bestFit="1" customWidth="1"/>
    <col min="13" max="13" width="16.109375" customWidth="1"/>
  </cols>
  <sheetData>
    <row r="1" spans="1:22" ht="15.75" customHeight="1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1"/>
    </row>
    <row r="2" spans="1:22" ht="15.75" customHeight="1" x14ac:dyDescent="0.25">
      <c r="A2" s="37" t="s">
        <v>19</v>
      </c>
      <c r="B2" s="37" t="s">
        <v>20</v>
      </c>
      <c r="C2" s="37"/>
      <c r="D2" s="37"/>
      <c r="E2" s="38" t="s">
        <v>30</v>
      </c>
      <c r="F2" s="37" t="s">
        <v>21</v>
      </c>
      <c r="G2" s="37"/>
      <c r="H2" s="37"/>
      <c r="I2" s="38" t="s">
        <v>30</v>
      </c>
      <c r="J2" s="37" t="s">
        <v>30</v>
      </c>
      <c r="K2" s="37" t="s">
        <v>32</v>
      </c>
      <c r="L2" s="37" t="s">
        <v>31</v>
      </c>
      <c r="M2" s="10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37"/>
      <c r="B3" s="9" t="s">
        <v>22</v>
      </c>
      <c r="C3" t="s">
        <v>23</v>
      </c>
      <c r="D3" s="8" t="s">
        <v>24</v>
      </c>
      <c r="E3" s="38"/>
      <c r="F3" t="s">
        <v>25</v>
      </c>
      <c r="G3" t="s">
        <v>26</v>
      </c>
      <c r="H3" t="s">
        <v>27</v>
      </c>
      <c r="I3" s="38"/>
      <c r="J3" s="37"/>
      <c r="K3" s="37"/>
      <c r="L3" s="37"/>
      <c r="M3" s="4" t="s">
        <v>7</v>
      </c>
      <c r="O3" s="14" t="s">
        <v>1</v>
      </c>
      <c r="P3" s="15"/>
      <c r="Q3" s="22" t="s">
        <v>10</v>
      </c>
      <c r="R3" s="15">
        <v>1</v>
      </c>
      <c r="S3" s="22" t="s">
        <v>8</v>
      </c>
      <c r="T3" s="15">
        <f>(R5*R7)-R4^2</f>
        <v>1210</v>
      </c>
    </row>
    <row r="4" spans="1:22" ht="15.75" customHeight="1" x14ac:dyDescent="0.25">
      <c r="A4" s="12">
        <v>1</v>
      </c>
      <c r="B4" s="9">
        <v>13.5</v>
      </c>
      <c r="C4" s="9">
        <v>13.6</v>
      </c>
      <c r="D4" s="9">
        <f>AVERAGE(B4:C4)</f>
        <v>13.55</v>
      </c>
      <c r="E4" s="35">
        <f>($B$16-D4)*10</f>
        <v>8.9999999999999858</v>
      </c>
      <c r="F4" s="9">
        <v>15.3</v>
      </c>
      <c r="G4" s="9">
        <v>15.4</v>
      </c>
      <c r="H4" s="9">
        <f>AVERAGE(F4:G4)</f>
        <v>15.350000000000001</v>
      </c>
      <c r="I4" s="34">
        <f xml:space="preserve"> (H4-$B$16)*10</f>
        <v>9.0000000000000213</v>
      </c>
      <c r="J4" s="12">
        <f>AVERAGE(E4,I4)</f>
        <v>9.0000000000000036</v>
      </c>
      <c r="K4" s="12">
        <f t="shared" ref="K4:K14" si="0">A4*J4</f>
        <v>9.0000000000000036</v>
      </c>
      <c r="L4">
        <f t="shared" ref="L4:L14" si="1">A4^2</f>
        <v>1</v>
      </c>
      <c r="M4" s="5">
        <f t="shared" ref="M4:M14" si="2">(J4-$T$5*A4-$T$4)^2</f>
        <v>2.5309917355373277E-2</v>
      </c>
      <c r="O4" s="16" t="s">
        <v>2</v>
      </c>
      <c r="P4" s="17">
        <f>SUM(A4:A14)</f>
        <v>66</v>
      </c>
      <c r="Q4" s="23" t="s">
        <v>11</v>
      </c>
      <c r="R4" s="19">
        <f>P4/R3^2</f>
        <v>66</v>
      </c>
      <c r="S4" s="23" t="s">
        <v>5</v>
      </c>
      <c r="T4" s="19">
        <f>(R5*R6-R4*R8)/T3</f>
        <v>0.16818181818181818</v>
      </c>
    </row>
    <row r="5" spans="1:22" ht="15.75" customHeight="1" x14ac:dyDescent="0.25">
      <c r="A5" s="12">
        <v>2</v>
      </c>
      <c r="B5" s="9">
        <v>12.6</v>
      </c>
      <c r="C5" s="9">
        <v>12.8</v>
      </c>
      <c r="D5" s="9">
        <f t="shared" ref="D5:D14" si="3">AVERAGE(B5:C5)</f>
        <v>12.7</v>
      </c>
      <c r="E5" s="35">
        <f t="shared" ref="E5:E14" si="4">($B$16-D5)*10</f>
        <v>17.5</v>
      </c>
      <c r="F5" s="9">
        <v>16.2</v>
      </c>
      <c r="G5" s="9">
        <v>16.3</v>
      </c>
      <c r="H5" s="9">
        <f>AVERAGE(F5:G5)</f>
        <v>16.25</v>
      </c>
      <c r="I5" s="34">
        <f t="shared" ref="I5:I14" si="5" xml:space="preserve"> (H5-$B$16)*10</f>
        <v>18.000000000000007</v>
      </c>
      <c r="J5" s="12">
        <f t="shared" ref="J5:J14" si="6">AVERAGE(($B$16-D5), (H5-$B$16))*10</f>
        <v>17.750000000000004</v>
      </c>
      <c r="K5" s="12">
        <f t="shared" si="0"/>
        <v>35.500000000000007</v>
      </c>
      <c r="L5">
        <f t="shared" si="1"/>
        <v>4</v>
      </c>
      <c r="M5" s="5">
        <f t="shared" si="2"/>
        <v>5.5867768595043735E-2</v>
      </c>
      <c r="O5" s="16" t="s">
        <v>3</v>
      </c>
      <c r="P5" s="18">
        <f>SUM(J4:J14)</f>
        <v>574.25</v>
      </c>
      <c r="Q5" s="23" t="s">
        <v>12</v>
      </c>
      <c r="R5" s="19">
        <f>P6/R3^2</f>
        <v>506</v>
      </c>
      <c r="S5" s="23" t="s">
        <v>17</v>
      </c>
      <c r="T5" s="19">
        <f>(R7*R8-R4*R6)/T3</f>
        <v>8.672727272727272</v>
      </c>
    </row>
    <row r="6" spans="1:22" ht="15.75" customHeight="1" x14ac:dyDescent="0.25">
      <c r="A6" s="12">
        <v>3</v>
      </c>
      <c r="B6" s="9">
        <v>11.8</v>
      </c>
      <c r="C6" s="9">
        <v>12</v>
      </c>
      <c r="D6" s="9">
        <f t="shared" si="3"/>
        <v>11.9</v>
      </c>
      <c r="E6" s="35">
        <f t="shared" si="4"/>
        <v>25.499999999999989</v>
      </c>
      <c r="F6" s="9">
        <v>17</v>
      </c>
      <c r="G6" s="9">
        <v>17.100000000000001</v>
      </c>
      <c r="H6" s="9">
        <f t="shared" ref="H6:H14" si="7">AVERAGE(F6:G6)</f>
        <v>17.05</v>
      </c>
      <c r="I6" s="34">
        <f t="shared" si="5"/>
        <v>26.000000000000014</v>
      </c>
      <c r="J6" s="12">
        <f t="shared" si="6"/>
        <v>25.75</v>
      </c>
      <c r="K6" s="12">
        <f t="shared" si="0"/>
        <v>77.25</v>
      </c>
      <c r="L6">
        <f t="shared" si="1"/>
        <v>9</v>
      </c>
      <c r="M6" s="5">
        <f t="shared" si="2"/>
        <v>0.19041322314049386</v>
      </c>
      <c r="O6" s="16" t="s">
        <v>6</v>
      </c>
      <c r="P6" s="19">
        <f>SUM(L4:L14)</f>
        <v>506</v>
      </c>
      <c r="Q6" s="23" t="s">
        <v>13</v>
      </c>
      <c r="R6" s="19">
        <f>P5/R3^2</f>
        <v>574.25</v>
      </c>
      <c r="S6" s="23"/>
      <c r="T6" s="19"/>
    </row>
    <row r="7" spans="1:22" ht="15.75" customHeight="1" x14ac:dyDescent="0.25">
      <c r="A7" s="12">
        <v>4</v>
      </c>
      <c r="B7" s="9">
        <v>10.9</v>
      </c>
      <c r="C7" s="9">
        <v>11.1</v>
      </c>
      <c r="D7" s="9">
        <f t="shared" si="3"/>
        <v>11</v>
      </c>
      <c r="E7" s="35">
        <f t="shared" si="4"/>
        <v>34.499999999999993</v>
      </c>
      <c r="F7" s="9">
        <v>17.8</v>
      </c>
      <c r="G7" s="9">
        <v>18</v>
      </c>
      <c r="H7" s="9">
        <f t="shared" si="7"/>
        <v>17.899999999999999</v>
      </c>
      <c r="I7" s="34">
        <f t="shared" si="5"/>
        <v>34.499999999999993</v>
      </c>
      <c r="J7" s="12">
        <f t="shared" si="6"/>
        <v>34.499999999999993</v>
      </c>
      <c r="K7" s="12">
        <f t="shared" si="0"/>
        <v>137.99999999999997</v>
      </c>
      <c r="L7">
        <f t="shared" si="1"/>
        <v>16</v>
      </c>
      <c r="M7" s="5">
        <f t="shared" si="2"/>
        <v>0.12894628099173844</v>
      </c>
      <c r="O7" s="16" t="s">
        <v>4</v>
      </c>
      <c r="P7" s="18">
        <f>SUM(K4:K14)</f>
        <v>4399.5</v>
      </c>
      <c r="Q7" s="23" t="s">
        <v>14</v>
      </c>
      <c r="R7" s="19">
        <f>P8/R3^2</f>
        <v>11</v>
      </c>
      <c r="S7" s="23" t="s">
        <v>9</v>
      </c>
      <c r="T7" s="19">
        <f>SQRT(R5/T3)</f>
        <v>0.64666979068286323</v>
      </c>
    </row>
    <row r="8" spans="1:22" ht="15.75" customHeight="1" x14ac:dyDescent="0.25">
      <c r="A8" s="12">
        <v>5</v>
      </c>
      <c r="B8" s="9">
        <v>10</v>
      </c>
      <c r="C8" s="9">
        <v>10.199999999999999</v>
      </c>
      <c r="D8" s="9">
        <f t="shared" si="3"/>
        <v>10.1</v>
      </c>
      <c r="E8" s="35">
        <f t="shared" si="4"/>
        <v>43.5</v>
      </c>
      <c r="F8" s="9">
        <v>18.7</v>
      </c>
      <c r="G8" s="9">
        <v>18.899999999999999</v>
      </c>
      <c r="H8" s="9">
        <f t="shared" si="7"/>
        <v>18.799999999999997</v>
      </c>
      <c r="I8" s="34">
        <f t="shared" si="5"/>
        <v>43.499999999999979</v>
      </c>
      <c r="J8" s="12">
        <f t="shared" si="6"/>
        <v>43.499999999999986</v>
      </c>
      <c r="K8" s="12">
        <f t="shared" si="0"/>
        <v>217.49999999999994</v>
      </c>
      <c r="L8">
        <f t="shared" si="1"/>
        <v>25</v>
      </c>
      <c r="M8" s="5">
        <f t="shared" si="2"/>
        <v>1.0123966942155338E-3</v>
      </c>
      <c r="O8" s="20" t="s">
        <v>0</v>
      </c>
      <c r="P8" s="21">
        <f>A14</f>
        <v>11</v>
      </c>
      <c r="Q8" s="24" t="s">
        <v>15</v>
      </c>
      <c r="R8" s="25">
        <f>P7/R3^2</f>
        <v>4399.5</v>
      </c>
      <c r="S8" s="24" t="s">
        <v>18</v>
      </c>
      <c r="T8" s="25">
        <f>SQRT(R7/T3)</f>
        <v>9.5346258924559224E-2</v>
      </c>
    </row>
    <row r="9" spans="1:22" ht="15.75" customHeight="1" x14ac:dyDescent="0.25">
      <c r="A9" s="12">
        <v>6</v>
      </c>
      <c r="B9" s="9">
        <v>9.1</v>
      </c>
      <c r="C9" s="9">
        <v>9.4</v>
      </c>
      <c r="D9" s="9">
        <f t="shared" si="3"/>
        <v>9.25</v>
      </c>
      <c r="E9" s="35">
        <f t="shared" si="4"/>
        <v>51.999999999999993</v>
      </c>
      <c r="F9" s="9">
        <v>19.600000000000001</v>
      </c>
      <c r="G9" s="9">
        <v>19.8</v>
      </c>
      <c r="H9" s="9">
        <f t="shared" si="7"/>
        <v>19.700000000000003</v>
      </c>
      <c r="I9" s="34">
        <f t="shared" si="5"/>
        <v>52.500000000000036</v>
      </c>
      <c r="J9" s="12">
        <f t="shared" si="6"/>
        <v>52.250000000000014</v>
      </c>
      <c r="K9" s="12">
        <f t="shared" si="0"/>
        <v>313.50000000000011</v>
      </c>
      <c r="L9">
        <f t="shared" si="1"/>
        <v>36</v>
      </c>
      <c r="M9" s="5">
        <f t="shared" si="2"/>
        <v>2.0661157024810537E-3</v>
      </c>
      <c r="P9" s="6"/>
      <c r="Q9" s="2"/>
      <c r="R9" s="2"/>
      <c r="S9" s="2"/>
      <c r="T9" s="2"/>
      <c r="U9" s="2"/>
      <c r="V9" s="2"/>
    </row>
    <row r="10" spans="1:22" ht="15.75" customHeight="1" x14ac:dyDescent="0.25">
      <c r="A10" s="12">
        <v>7</v>
      </c>
      <c r="B10" s="9">
        <v>8.3000000000000007</v>
      </c>
      <c r="C10" s="9">
        <v>8.5</v>
      </c>
      <c r="D10" s="9">
        <f t="shared" si="3"/>
        <v>8.4</v>
      </c>
      <c r="E10" s="35">
        <f t="shared" si="4"/>
        <v>60.499999999999986</v>
      </c>
      <c r="F10" s="9">
        <v>20.5</v>
      </c>
      <c r="G10" s="9">
        <v>20.8</v>
      </c>
      <c r="H10" s="9">
        <f t="shared" si="7"/>
        <v>20.65</v>
      </c>
      <c r="I10" s="34">
        <f t="shared" si="5"/>
        <v>61.999999999999993</v>
      </c>
      <c r="J10" s="12">
        <f t="shared" si="6"/>
        <v>61.249999999999993</v>
      </c>
      <c r="K10" s="12">
        <f t="shared" si="0"/>
        <v>428.74999999999994</v>
      </c>
      <c r="L10">
        <f t="shared" si="1"/>
        <v>49</v>
      </c>
      <c r="M10" s="5">
        <f t="shared" si="2"/>
        <v>0.13892561983470947</v>
      </c>
      <c r="P10" s="1" t="s">
        <v>33</v>
      </c>
      <c r="Q10" s="1">
        <f>632.8*0.000000001</f>
        <v>6.328E-7</v>
      </c>
      <c r="R10" s="1"/>
      <c r="S10" s="1"/>
      <c r="T10" s="1"/>
      <c r="U10" s="1"/>
      <c r="V10" s="1"/>
    </row>
    <row r="11" spans="1:22" ht="15.75" customHeight="1" x14ac:dyDescent="0.25">
      <c r="A11" s="12">
        <v>8</v>
      </c>
      <c r="B11" s="9">
        <v>7.3</v>
      </c>
      <c r="C11" s="9">
        <v>7.5</v>
      </c>
      <c r="D11" s="9">
        <f t="shared" si="3"/>
        <v>7.4</v>
      </c>
      <c r="E11" s="35">
        <f t="shared" si="4"/>
        <v>70.499999999999986</v>
      </c>
      <c r="F11" s="9">
        <v>21.3</v>
      </c>
      <c r="G11" s="9">
        <v>21.5</v>
      </c>
      <c r="H11" s="9">
        <f t="shared" si="7"/>
        <v>21.4</v>
      </c>
      <c r="I11" s="34">
        <f t="shared" si="5"/>
        <v>69.5</v>
      </c>
      <c r="J11" s="12">
        <f t="shared" si="6"/>
        <v>69.999999999999986</v>
      </c>
      <c r="K11" s="12">
        <f t="shared" si="0"/>
        <v>559.99999999999989</v>
      </c>
      <c r="L11">
        <f t="shared" si="1"/>
        <v>64</v>
      </c>
      <c r="M11" s="5">
        <f t="shared" si="2"/>
        <v>0.20249999999999277</v>
      </c>
      <c r="N11" s="5"/>
      <c r="P11" s="26" t="s">
        <v>34</v>
      </c>
      <c r="Q11" s="2">
        <v>1.6</v>
      </c>
      <c r="R11" s="2"/>
      <c r="S11" s="2"/>
      <c r="T11" s="2"/>
      <c r="U11" s="2"/>
      <c r="V11" s="2"/>
    </row>
    <row r="12" spans="1:22" ht="15.75" customHeight="1" x14ac:dyDescent="0.25">
      <c r="A12" s="12">
        <v>9</v>
      </c>
      <c r="B12" s="9">
        <v>6.5</v>
      </c>
      <c r="C12" s="9">
        <v>6.8</v>
      </c>
      <c r="D12" s="9">
        <f t="shared" si="3"/>
        <v>6.65</v>
      </c>
      <c r="E12" s="35">
        <f t="shared" si="4"/>
        <v>77.999999999999986</v>
      </c>
      <c r="F12" s="9">
        <v>22.1</v>
      </c>
      <c r="G12" s="9">
        <v>22.4</v>
      </c>
      <c r="H12" s="9">
        <f t="shared" si="7"/>
        <v>22.25</v>
      </c>
      <c r="I12" s="34">
        <f t="shared" si="5"/>
        <v>78</v>
      </c>
      <c r="J12" s="12">
        <f t="shared" si="6"/>
        <v>78</v>
      </c>
      <c r="K12" s="12">
        <f t="shared" si="0"/>
        <v>702</v>
      </c>
      <c r="L12">
        <f t="shared" si="1"/>
        <v>81</v>
      </c>
      <c r="M12" s="5">
        <f t="shared" si="2"/>
        <v>4.9607438016525819E-2</v>
      </c>
      <c r="P12" s="1" t="s">
        <v>5</v>
      </c>
      <c r="Q12" s="1">
        <f>(2*Q10*Q11*1000)/(T5*0.001)</f>
        <v>0.2334859538784067</v>
      </c>
      <c r="R12" s="1" t="s">
        <v>16</v>
      </c>
      <c r="S12" s="1"/>
      <c r="T12" s="1"/>
      <c r="U12" s="1"/>
      <c r="V12" s="1"/>
    </row>
    <row r="13" spans="1:22" ht="15.75" customHeight="1" x14ac:dyDescent="0.25">
      <c r="A13" s="12">
        <v>10</v>
      </c>
      <c r="B13" s="9">
        <v>5.6</v>
      </c>
      <c r="C13" s="9">
        <v>6</v>
      </c>
      <c r="D13" s="9">
        <f t="shared" si="3"/>
        <v>5.8</v>
      </c>
      <c r="E13" s="35">
        <f t="shared" si="4"/>
        <v>86.499999999999986</v>
      </c>
      <c r="F13" s="9">
        <v>23</v>
      </c>
      <c r="G13" s="9">
        <v>23.3</v>
      </c>
      <c r="H13" s="9">
        <f t="shared" si="7"/>
        <v>23.15</v>
      </c>
      <c r="I13" s="34">
        <f t="shared" si="5"/>
        <v>87</v>
      </c>
      <c r="J13" s="12">
        <f t="shared" si="6"/>
        <v>86.749999999999986</v>
      </c>
      <c r="K13" s="12">
        <f t="shared" si="0"/>
        <v>867.49999999999989</v>
      </c>
      <c r="L13">
        <f t="shared" si="1"/>
        <v>100</v>
      </c>
      <c r="M13" s="5">
        <f t="shared" si="2"/>
        <v>2.1157024793390308E-2</v>
      </c>
      <c r="Q13">
        <f>Q12*SQRT((0.01/Q11)^2+(T8/T5)^2)</f>
        <v>2.9527085895418473E-3</v>
      </c>
    </row>
    <row r="14" spans="1:22" ht="15.75" customHeight="1" x14ac:dyDescent="0.25">
      <c r="A14" s="13">
        <v>11</v>
      </c>
      <c r="B14" s="28">
        <v>4.8</v>
      </c>
      <c r="C14" s="9">
        <v>5.0999999999999996</v>
      </c>
      <c r="D14" s="9">
        <f t="shared" si="3"/>
        <v>4.9499999999999993</v>
      </c>
      <c r="E14" s="35">
        <f t="shared" si="4"/>
        <v>95</v>
      </c>
      <c r="F14" s="9">
        <v>23.9</v>
      </c>
      <c r="G14" s="9">
        <v>24.2</v>
      </c>
      <c r="H14" s="9">
        <f t="shared" si="7"/>
        <v>24.049999999999997</v>
      </c>
      <c r="I14" s="34">
        <f t="shared" si="5"/>
        <v>95.999999999999972</v>
      </c>
      <c r="J14" s="12">
        <f t="shared" si="6"/>
        <v>95.499999999999986</v>
      </c>
      <c r="K14" s="12">
        <f t="shared" si="0"/>
        <v>1050.4999999999998</v>
      </c>
      <c r="L14">
        <f t="shared" si="1"/>
        <v>121</v>
      </c>
      <c r="M14" s="5">
        <f t="shared" si="2"/>
        <v>4.6487603305792879E-3</v>
      </c>
      <c r="P14" s="2"/>
      <c r="Q14" s="7"/>
    </row>
    <row r="15" spans="1:22" ht="15.75" customHeight="1" x14ac:dyDescent="0.25">
      <c r="A15" s="3"/>
      <c r="C15" s="3"/>
      <c r="M15" s="5">
        <f>SUM(M4:M14)</f>
        <v>0.82045454545454355</v>
      </c>
      <c r="P15" s="2"/>
      <c r="Q15" s="7"/>
    </row>
    <row r="16" spans="1:22" ht="15.75" customHeight="1" x14ac:dyDescent="0.25">
      <c r="A16" s="3" t="s">
        <v>28</v>
      </c>
      <c r="B16">
        <f>(13.6+15.3)/2</f>
        <v>14.45</v>
      </c>
      <c r="C16" s="3"/>
    </row>
    <row r="17" spans="1:21" ht="15.75" customHeight="1" x14ac:dyDescent="0.25">
      <c r="A17" t="s">
        <v>29</v>
      </c>
      <c r="B17">
        <f>(0.22+0.21+0.21)/3</f>
        <v>0.21333333333333335</v>
      </c>
      <c r="C17" s="3" t="s">
        <v>16</v>
      </c>
      <c r="P17" s="3"/>
      <c r="S17" s="3"/>
    </row>
    <row r="18" spans="1:21" ht="15.75" customHeight="1" x14ac:dyDescent="0.25">
      <c r="U18" s="5"/>
    </row>
    <row r="19" spans="1:21" ht="15.75" customHeight="1" x14ac:dyDescent="0.25">
      <c r="U19" s="5"/>
    </row>
    <row r="20" spans="1:21" ht="15.75" customHeight="1" x14ac:dyDescent="0.25">
      <c r="U20" s="5"/>
    </row>
    <row r="21" spans="1:21" ht="15.75" customHeight="1" x14ac:dyDescent="0.25">
      <c r="U21" s="5"/>
    </row>
    <row r="22" spans="1:21" ht="15.75" customHeight="1" x14ac:dyDescent="0.25">
      <c r="U22" s="5"/>
    </row>
    <row r="23" spans="1:21" ht="15.75" customHeight="1" x14ac:dyDescent="0.25">
      <c r="U23" s="5"/>
    </row>
    <row r="24" spans="1:21" ht="15.75" customHeight="1" x14ac:dyDescent="0.25">
      <c r="U24" s="5"/>
    </row>
    <row r="25" spans="1:21" ht="15.75" customHeight="1" x14ac:dyDescent="0.25">
      <c r="U25" s="5"/>
    </row>
    <row r="26" spans="1:21" ht="15.75" customHeight="1" x14ac:dyDescent="0.25">
      <c r="D26" s="3"/>
      <c r="E26" s="3"/>
      <c r="U26" s="5"/>
    </row>
    <row r="27" spans="1:21" ht="15.75" customHeight="1" x14ac:dyDescent="0.25">
      <c r="U27" s="5"/>
    </row>
    <row r="28" spans="1:21" ht="15.75" customHeight="1" x14ac:dyDescent="0.25">
      <c r="U28" s="5"/>
    </row>
    <row r="29" spans="1:21" ht="15.75" customHeight="1" x14ac:dyDescent="0.25">
      <c r="U29" s="5"/>
    </row>
    <row r="30" spans="1:21" ht="15.75" customHeight="1" x14ac:dyDescent="0.25">
      <c r="U30" s="5"/>
    </row>
    <row r="38" spans="1:20" ht="15.75" customHeight="1" x14ac:dyDescent="0.25">
      <c r="A38" s="36" t="s">
        <v>36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11"/>
    </row>
    <row r="39" spans="1:20" ht="15.75" customHeight="1" x14ac:dyDescent="0.25">
      <c r="A39" s="37" t="s">
        <v>19</v>
      </c>
      <c r="B39" s="37" t="s">
        <v>20</v>
      </c>
      <c r="C39" s="37"/>
      <c r="D39" s="37"/>
      <c r="E39" s="10"/>
      <c r="F39" s="37" t="s">
        <v>21</v>
      </c>
      <c r="G39" s="37"/>
      <c r="H39" s="37"/>
      <c r="I39" s="10"/>
      <c r="J39" s="37" t="s">
        <v>30</v>
      </c>
      <c r="K39" s="37" t="s">
        <v>32</v>
      </c>
      <c r="L39" s="37" t="s">
        <v>31</v>
      </c>
      <c r="M39" s="10"/>
      <c r="N39" s="4"/>
      <c r="O39" s="4"/>
      <c r="P39" s="4"/>
      <c r="Q39" s="4"/>
      <c r="R39" s="4"/>
      <c r="S39" s="4"/>
      <c r="T39" s="4"/>
    </row>
    <row r="40" spans="1:20" ht="15.75" customHeight="1" x14ac:dyDescent="0.25">
      <c r="A40" s="37"/>
      <c r="B40" s="9" t="s">
        <v>22</v>
      </c>
      <c r="C40" t="s">
        <v>23</v>
      </c>
      <c r="D40" s="8" t="s">
        <v>24</v>
      </c>
      <c r="E40" s="8"/>
      <c r="F40" t="s">
        <v>25</v>
      </c>
      <c r="G40" t="s">
        <v>26</v>
      </c>
      <c r="H40" t="s">
        <v>27</v>
      </c>
      <c r="J40" s="37"/>
      <c r="K40" s="37"/>
      <c r="L40" s="37"/>
      <c r="M40" s="4" t="s">
        <v>7</v>
      </c>
      <c r="O40" s="14" t="s">
        <v>1</v>
      </c>
      <c r="P40" s="15"/>
      <c r="Q40" s="22" t="s">
        <v>10</v>
      </c>
      <c r="R40" s="15">
        <v>1</v>
      </c>
      <c r="S40" s="22" t="s">
        <v>8</v>
      </c>
      <c r="T40" s="15">
        <f>(R42*R44)-R41^2</f>
        <v>105</v>
      </c>
    </row>
    <row r="41" spans="1:20" ht="15.75" customHeight="1" x14ac:dyDescent="0.25">
      <c r="A41" s="12">
        <v>1</v>
      </c>
      <c r="B41" s="9">
        <v>10.9</v>
      </c>
      <c r="C41" s="9">
        <v>11</v>
      </c>
      <c r="D41" s="9">
        <f>AVERAGE(B41:C41)</f>
        <v>10.95</v>
      </c>
      <c r="E41" s="8"/>
      <c r="F41" s="9">
        <v>15.3</v>
      </c>
      <c r="G41" s="9">
        <v>15.4</v>
      </c>
      <c r="H41" s="9">
        <f>AVERAGE(F41:G41)</f>
        <v>15.350000000000001</v>
      </c>
      <c r="I41" s="8"/>
      <c r="J41" s="9">
        <f t="shared" ref="J41:J46" si="8">AVERAGE(($B$48-D41), (H41-$B$48))*10</f>
        <v>22.000000000000011</v>
      </c>
      <c r="K41" s="9">
        <f t="shared" ref="K41:K46" si="9">A41*J41</f>
        <v>22.000000000000011</v>
      </c>
      <c r="L41">
        <f t="shared" ref="L41:L46" si="10">A41^2</f>
        <v>1</v>
      </c>
      <c r="M41" s="5">
        <f t="shared" ref="M41:M46" si="11">(J41-$T$5*A41-$T$4)^2</f>
        <v>173.16167355371931</v>
      </c>
      <c r="O41" s="16" t="s">
        <v>2</v>
      </c>
      <c r="P41" s="17">
        <f>SUM(A41:A51)</f>
        <v>21</v>
      </c>
      <c r="Q41" s="23" t="s">
        <v>11</v>
      </c>
      <c r="R41" s="19">
        <f>P41/R40^2</f>
        <v>21</v>
      </c>
      <c r="S41" s="23" t="s">
        <v>5</v>
      </c>
      <c r="T41" s="19">
        <f>(R42*R43-R41*R45)/T40</f>
        <v>1.6833333333334026</v>
      </c>
    </row>
    <row r="42" spans="1:20" ht="15.75" customHeight="1" x14ac:dyDescent="0.25">
      <c r="A42" s="12">
        <v>2</v>
      </c>
      <c r="B42" s="9">
        <v>8.9</v>
      </c>
      <c r="C42" s="9">
        <v>9.1</v>
      </c>
      <c r="D42" s="9">
        <f t="shared" ref="D42:D46" si="12">AVERAGE(B42:C42)</f>
        <v>9</v>
      </c>
      <c r="E42" s="8"/>
      <c r="F42" s="9">
        <v>16.7</v>
      </c>
      <c r="G42" s="9">
        <v>16.8</v>
      </c>
      <c r="H42" s="9">
        <f>AVERAGE(F42:G42)</f>
        <v>16.75</v>
      </c>
      <c r="I42" s="8"/>
      <c r="J42" s="9">
        <f t="shared" si="8"/>
        <v>38.75</v>
      </c>
      <c r="K42" s="9">
        <f t="shared" si="9"/>
        <v>77.5</v>
      </c>
      <c r="L42">
        <f t="shared" si="10"/>
        <v>4</v>
      </c>
      <c r="M42" s="5">
        <f t="shared" si="11"/>
        <v>450.98314049586781</v>
      </c>
      <c r="O42" s="16" t="s">
        <v>3</v>
      </c>
      <c r="P42" s="18">
        <f>SUM(J41:J51)</f>
        <v>409.25000000000006</v>
      </c>
      <c r="Q42" s="23" t="s">
        <v>12</v>
      </c>
      <c r="R42" s="19">
        <f>P43/R40^2</f>
        <v>91</v>
      </c>
      <c r="S42" s="23" t="s">
        <v>17</v>
      </c>
      <c r="T42" s="19">
        <f>(R44*R45-R41*R43)/T40</f>
        <v>19.007142857142838</v>
      </c>
    </row>
    <row r="43" spans="1:20" ht="15.75" customHeight="1" x14ac:dyDescent="0.25">
      <c r="A43" s="12">
        <v>3</v>
      </c>
      <c r="B43" s="9">
        <v>7</v>
      </c>
      <c r="C43" s="9">
        <v>7.2</v>
      </c>
      <c r="D43" s="9">
        <f t="shared" si="12"/>
        <v>7.1</v>
      </c>
      <c r="E43" s="8"/>
      <c r="F43" s="9">
        <v>18.600000000000001</v>
      </c>
      <c r="G43" s="9">
        <v>18.8</v>
      </c>
      <c r="H43" s="9">
        <f t="shared" ref="H43:H46" si="13">AVERAGE(F43:G43)</f>
        <v>18.700000000000003</v>
      </c>
      <c r="I43" s="8"/>
      <c r="J43" s="9">
        <f t="shared" si="8"/>
        <v>58.000000000000014</v>
      </c>
      <c r="K43" s="9">
        <f t="shared" si="9"/>
        <v>174.00000000000006</v>
      </c>
      <c r="L43">
        <f t="shared" si="10"/>
        <v>9</v>
      </c>
      <c r="M43" s="5">
        <f t="shared" si="11"/>
        <v>1012.107458677687</v>
      </c>
      <c r="O43" s="16" t="s">
        <v>6</v>
      </c>
      <c r="P43" s="19">
        <f>SUM(L41:L51)</f>
        <v>91</v>
      </c>
      <c r="Q43" s="23" t="s">
        <v>13</v>
      </c>
      <c r="R43" s="19">
        <f>P42/R40^2</f>
        <v>409.25000000000006</v>
      </c>
      <c r="S43" s="23"/>
      <c r="T43" s="19"/>
    </row>
    <row r="44" spans="1:20" ht="15.75" customHeight="1" x14ac:dyDescent="0.25">
      <c r="A44" s="12">
        <v>4</v>
      </c>
      <c r="B44" s="9">
        <v>5.0999999999999996</v>
      </c>
      <c r="C44" s="9">
        <v>5.4</v>
      </c>
      <c r="D44" s="9">
        <f t="shared" si="12"/>
        <v>5.25</v>
      </c>
      <c r="E44" s="8"/>
      <c r="F44" s="9">
        <v>20.6</v>
      </c>
      <c r="G44" s="9">
        <v>20.8</v>
      </c>
      <c r="H44" s="9">
        <f t="shared" si="13"/>
        <v>20.700000000000003</v>
      </c>
      <c r="I44" s="8"/>
      <c r="J44" s="9">
        <f t="shared" si="8"/>
        <v>77.250000000000014</v>
      </c>
      <c r="K44" s="9">
        <f t="shared" si="9"/>
        <v>309.00000000000006</v>
      </c>
      <c r="L44">
        <f t="shared" si="10"/>
        <v>16</v>
      </c>
      <c r="M44" s="5">
        <f t="shared" si="11"/>
        <v>1796.9891735537201</v>
      </c>
      <c r="O44" s="16" t="s">
        <v>4</v>
      </c>
      <c r="P44" s="18">
        <f>SUM(K41:K51)</f>
        <v>1765</v>
      </c>
      <c r="Q44" s="23" t="s">
        <v>14</v>
      </c>
      <c r="R44" s="19">
        <f>P45/R40^2</f>
        <v>6</v>
      </c>
      <c r="S44" s="23" t="s">
        <v>9</v>
      </c>
      <c r="T44" s="19">
        <f>SQRT(R42/T40)</f>
        <v>0.93094933625126275</v>
      </c>
    </row>
    <row r="45" spans="1:20" ht="15.75" customHeight="1" x14ac:dyDescent="0.25">
      <c r="A45" s="12">
        <v>5</v>
      </c>
      <c r="B45" s="9">
        <v>3.2</v>
      </c>
      <c r="C45" s="9">
        <v>3.6</v>
      </c>
      <c r="D45" s="9">
        <f t="shared" si="12"/>
        <v>3.4000000000000004</v>
      </c>
      <c r="E45" s="8"/>
      <c r="F45" s="9">
        <v>22.7</v>
      </c>
      <c r="G45" s="9">
        <v>22.9</v>
      </c>
      <c r="H45" s="9">
        <f t="shared" si="13"/>
        <v>22.799999999999997</v>
      </c>
      <c r="I45" s="8"/>
      <c r="J45" s="9">
        <f t="shared" si="8"/>
        <v>97</v>
      </c>
      <c r="K45" s="9">
        <f t="shared" si="9"/>
        <v>485</v>
      </c>
      <c r="L45">
        <f t="shared" si="10"/>
        <v>25</v>
      </c>
      <c r="M45" s="5">
        <f t="shared" si="11"/>
        <v>2858.8464669421487</v>
      </c>
      <c r="O45" s="20" t="s">
        <v>0</v>
      </c>
      <c r="P45" s="21">
        <f>A46</f>
        <v>6</v>
      </c>
      <c r="Q45" s="24" t="s">
        <v>15</v>
      </c>
      <c r="R45" s="25">
        <f>P44/R40^2</f>
        <v>1765</v>
      </c>
      <c r="S45" s="24" t="s">
        <v>18</v>
      </c>
      <c r="T45" s="25">
        <f>SQRT(R44/T40)</f>
        <v>0.23904572186687872</v>
      </c>
    </row>
    <row r="46" spans="1:20" ht="15.75" customHeight="1" x14ac:dyDescent="0.25">
      <c r="A46" s="12">
        <v>6</v>
      </c>
      <c r="B46" s="9">
        <v>1.5</v>
      </c>
      <c r="C46" s="9">
        <v>1.8</v>
      </c>
      <c r="D46" s="9">
        <f t="shared" si="12"/>
        <v>1.65</v>
      </c>
      <c r="E46" s="8"/>
      <c r="F46" s="9">
        <v>24.7</v>
      </c>
      <c r="G46" s="9">
        <v>25.1</v>
      </c>
      <c r="H46" s="9">
        <f t="shared" si="13"/>
        <v>24.9</v>
      </c>
      <c r="I46" s="8"/>
      <c r="J46" s="9">
        <f t="shared" si="8"/>
        <v>116.25</v>
      </c>
      <c r="K46" s="9">
        <f t="shared" si="9"/>
        <v>697.5</v>
      </c>
      <c r="L46">
        <f t="shared" si="10"/>
        <v>36</v>
      </c>
      <c r="M46" s="5">
        <f t="shared" si="11"/>
        <v>4101.8202479338843</v>
      </c>
      <c r="P46" s="6"/>
      <c r="Q46" s="2"/>
      <c r="R46" s="2"/>
      <c r="S46" s="2"/>
      <c r="T46" s="2"/>
    </row>
    <row r="47" spans="1:20" ht="15.75" customHeight="1" x14ac:dyDescent="0.25">
      <c r="A47" s="12"/>
      <c r="B47" s="9"/>
      <c r="C47" s="9"/>
      <c r="D47" s="8"/>
      <c r="E47" s="8"/>
      <c r="F47" s="9"/>
      <c r="G47" s="9"/>
      <c r="H47" s="8"/>
      <c r="I47" s="8"/>
      <c r="J47" s="9"/>
      <c r="K47" s="9"/>
      <c r="M47" s="5"/>
      <c r="P47" s="1" t="s">
        <v>5</v>
      </c>
      <c r="Q47" s="1">
        <f>B49</f>
        <v>0.24666666666666667</v>
      </c>
      <c r="R47" s="1" t="s">
        <v>16</v>
      </c>
      <c r="S47" s="1"/>
      <c r="T47" s="1"/>
    </row>
    <row r="48" spans="1:20" ht="15.75" customHeight="1" x14ac:dyDescent="0.25">
      <c r="A48" s="3" t="s">
        <v>28</v>
      </c>
      <c r="B48">
        <f>(11+14.7)/2</f>
        <v>12.85</v>
      </c>
      <c r="C48" s="3"/>
      <c r="D48" s="8"/>
      <c r="E48" s="8"/>
      <c r="F48" s="9"/>
      <c r="G48" s="9"/>
      <c r="H48" s="8"/>
      <c r="I48" s="8"/>
      <c r="J48" s="9"/>
      <c r="K48" s="9"/>
      <c r="M48" s="5"/>
      <c r="N48" s="5"/>
      <c r="P48" s="26" t="s">
        <v>34</v>
      </c>
      <c r="Q48" s="2">
        <v>3.5</v>
      </c>
      <c r="R48" s="2"/>
      <c r="S48" s="2"/>
      <c r="T48" s="2"/>
    </row>
    <row r="49" spans="1:20" ht="15.75" customHeight="1" x14ac:dyDescent="0.25">
      <c r="A49" t="s">
        <v>29</v>
      </c>
      <c r="B49">
        <f>(0.25+0.25+0.24)/3</f>
        <v>0.24666666666666667</v>
      </c>
      <c r="C49" s="3" t="s">
        <v>16</v>
      </c>
      <c r="D49" s="8"/>
      <c r="E49" s="8"/>
      <c r="F49" s="9"/>
      <c r="G49" s="9"/>
      <c r="H49" s="8"/>
      <c r="I49" s="8"/>
      <c r="J49" s="9"/>
      <c r="K49" s="9"/>
      <c r="M49" s="5"/>
      <c r="P49" s="1" t="s">
        <v>48</v>
      </c>
      <c r="Q49" s="1">
        <f>(Q47*T42*1000)/(2*Q48)</f>
        <v>669.775510204081</v>
      </c>
      <c r="R49" s="1" t="s">
        <v>35</v>
      </c>
      <c r="S49" s="1"/>
      <c r="T49" s="1"/>
    </row>
    <row r="50" spans="1:20" ht="15.75" customHeight="1" x14ac:dyDescent="0.25">
      <c r="A50" s="12"/>
      <c r="B50" s="9"/>
      <c r="C50" s="9"/>
      <c r="D50" s="8"/>
      <c r="E50" s="8"/>
      <c r="F50" s="9"/>
      <c r="G50" s="9"/>
      <c r="H50" s="8"/>
      <c r="I50" s="8"/>
      <c r="J50" s="9"/>
      <c r="K50" s="9"/>
      <c r="M50" s="5"/>
      <c r="Q50">
        <f>Q49*SQRT((0.01/Q48)^2+(T45/T42)^2+(0.01/Q47)^2)</f>
        <v>28.49397109509475</v>
      </c>
    </row>
    <row r="51" spans="1:20" ht="15.75" customHeight="1" x14ac:dyDescent="0.25">
      <c r="A51" s="13"/>
      <c r="B51" s="28"/>
      <c r="C51" s="9"/>
      <c r="D51" s="8"/>
      <c r="E51" s="8"/>
      <c r="F51" s="9"/>
      <c r="G51" s="9"/>
      <c r="H51" s="8"/>
      <c r="I51" s="8"/>
      <c r="J51" s="9"/>
      <c r="K51" s="9"/>
      <c r="M51" s="5"/>
      <c r="P51" s="2"/>
      <c r="Q51" s="7"/>
    </row>
    <row r="52" spans="1:20" ht="15.75" customHeight="1" x14ac:dyDescent="0.25">
      <c r="A52" s="3"/>
      <c r="C52" s="3"/>
      <c r="M52" s="5"/>
      <c r="P52" s="2"/>
      <c r="Q52" s="7"/>
    </row>
    <row r="54" spans="1:20" ht="15.75" customHeight="1" x14ac:dyDescent="0.25">
      <c r="P54" s="3"/>
      <c r="S54" s="3"/>
    </row>
  </sheetData>
  <mergeCells count="16">
    <mergeCell ref="A38:L38"/>
    <mergeCell ref="A39:A40"/>
    <mergeCell ref="B39:D39"/>
    <mergeCell ref="F39:H39"/>
    <mergeCell ref="J39:J40"/>
    <mergeCell ref="K39:K40"/>
    <mergeCell ref="L39:L40"/>
    <mergeCell ref="A1:L1"/>
    <mergeCell ref="A2:A3"/>
    <mergeCell ref="B2:D2"/>
    <mergeCell ref="F2:H2"/>
    <mergeCell ref="J2:J3"/>
    <mergeCell ref="L2:L3"/>
    <mergeCell ref="K2:K3"/>
    <mergeCell ref="I2:I3"/>
    <mergeCell ref="E2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4E92-522D-47E8-BAF9-0C174786770C}">
  <dimension ref="A1:AG63"/>
  <sheetViews>
    <sheetView tabSelected="1" topLeftCell="A10" zoomScaleNormal="100" workbookViewId="0">
      <selection activeCell="P22" sqref="P22"/>
    </sheetView>
  </sheetViews>
  <sheetFormatPr defaultRowHeight="13.2" x14ac:dyDescent="0.25"/>
  <cols>
    <col min="6" max="6" width="10.33203125" bestFit="1" customWidth="1"/>
    <col min="13" max="13" width="11.6640625" bestFit="1" customWidth="1"/>
    <col min="16" max="16" width="10.88671875" bestFit="1" customWidth="1"/>
    <col min="17" max="17" width="13.6640625" customWidth="1"/>
  </cols>
  <sheetData>
    <row r="1" spans="1:33" x14ac:dyDescent="0.2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33" x14ac:dyDescent="0.25">
      <c r="A2" s="39" t="s">
        <v>41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O2" t="s">
        <v>39</v>
      </c>
      <c r="P2">
        <f>(27.9+23.9)/2</f>
        <v>25.9</v>
      </c>
      <c r="V2" s="9">
        <v>3.2</v>
      </c>
      <c r="W2" s="9">
        <v>3.8</v>
      </c>
      <c r="X2" s="9">
        <f>V2+24.7</f>
        <v>27.9</v>
      </c>
      <c r="Y2" s="9">
        <f>W2+24.7</f>
        <v>28.5</v>
      </c>
    </row>
    <row r="3" spans="1:33" x14ac:dyDescent="0.25">
      <c r="A3" s="37" t="s">
        <v>19</v>
      </c>
      <c r="B3" s="37" t="s">
        <v>20</v>
      </c>
      <c r="C3" s="37"/>
      <c r="D3" s="37"/>
      <c r="E3" s="37"/>
      <c r="F3" s="37" t="s">
        <v>21</v>
      </c>
      <c r="G3" s="37"/>
      <c r="H3" s="37"/>
      <c r="I3" s="37"/>
      <c r="J3" s="37" t="s">
        <v>30</v>
      </c>
      <c r="K3" s="37" t="s">
        <v>32</v>
      </c>
      <c r="L3" s="37" t="s">
        <v>31</v>
      </c>
      <c r="M3" s="10"/>
      <c r="N3" s="4"/>
      <c r="O3" s="4"/>
      <c r="P3" s="4"/>
      <c r="Q3" s="4"/>
      <c r="R3" s="4"/>
      <c r="S3" s="4"/>
      <c r="T3" s="4"/>
      <c r="V3" s="9">
        <v>5.4</v>
      </c>
      <c r="W3" s="9">
        <v>6</v>
      </c>
      <c r="X3" s="9">
        <f t="shared" ref="X3:X8" si="0">V3+24.7</f>
        <v>30.1</v>
      </c>
      <c r="Y3" s="9">
        <f t="shared" ref="Y3:Y8" si="1">W3+24.7</f>
        <v>30.7</v>
      </c>
    </row>
    <row r="4" spans="1:33" x14ac:dyDescent="0.25">
      <c r="A4" s="37"/>
      <c r="B4" s="9" t="s">
        <v>22</v>
      </c>
      <c r="C4" t="s">
        <v>23</v>
      </c>
      <c r="D4" s="8" t="s">
        <v>24</v>
      </c>
      <c r="E4" s="27" t="s">
        <v>43</v>
      </c>
      <c r="F4" t="s">
        <v>25</v>
      </c>
      <c r="G4" t="s">
        <v>26</v>
      </c>
      <c r="H4" t="s">
        <v>27</v>
      </c>
      <c r="I4" s="3" t="s">
        <v>43</v>
      </c>
      <c r="J4" s="37"/>
      <c r="K4" s="37"/>
      <c r="L4" s="37"/>
      <c r="M4" s="4" t="s">
        <v>7</v>
      </c>
      <c r="O4" s="14" t="s">
        <v>1</v>
      </c>
      <c r="P4" s="15"/>
      <c r="Q4" s="22" t="s">
        <v>10</v>
      </c>
      <c r="R4" s="15">
        <v>1</v>
      </c>
      <c r="S4" s="22" t="s">
        <v>8</v>
      </c>
      <c r="T4" s="15">
        <f>(R6*R8)-R5^2</f>
        <v>825</v>
      </c>
      <c r="V4" s="9">
        <v>7.6</v>
      </c>
      <c r="W4" s="9">
        <v>8.4</v>
      </c>
      <c r="X4" s="9">
        <f t="shared" si="0"/>
        <v>32.299999999999997</v>
      </c>
      <c r="Y4" s="9">
        <f t="shared" si="1"/>
        <v>33.1</v>
      </c>
    </row>
    <row r="5" spans="1:33" x14ac:dyDescent="0.25">
      <c r="A5" s="12">
        <v>1</v>
      </c>
      <c r="B5" s="9">
        <v>23.9</v>
      </c>
      <c r="C5" s="9">
        <v>23.2</v>
      </c>
      <c r="D5" s="9">
        <f>AVERAGE(B5:C5)</f>
        <v>23.549999999999997</v>
      </c>
      <c r="E5" s="8">
        <f>($P$2-D5)</f>
        <v>2.3500000000000014</v>
      </c>
      <c r="F5" s="9">
        <v>3.2</v>
      </c>
      <c r="G5" s="9">
        <v>3.8</v>
      </c>
      <c r="H5" s="9">
        <f>24.7+AVERAGE(F5:G5)</f>
        <v>28.2</v>
      </c>
      <c r="I5" s="27">
        <f>(H5-$P$2)</f>
        <v>2.3000000000000007</v>
      </c>
      <c r="J5" s="12">
        <f>AVERAGE(E5,I5)*10</f>
        <v>23.250000000000011</v>
      </c>
      <c r="K5" s="12">
        <f>A5*J5</f>
        <v>23.250000000000011</v>
      </c>
      <c r="L5">
        <f>A5^2</f>
        <v>1</v>
      </c>
      <c r="M5" s="5">
        <f t="shared" ref="M5:M11" si="2">(J5-$T$6*A5-$T$5)^2</f>
        <v>9.0000000000006686E-2</v>
      </c>
      <c r="O5" s="16" t="s">
        <v>2</v>
      </c>
      <c r="P5" s="17">
        <f>SUM(A5:A14)</f>
        <v>55</v>
      </c>
      <c r="Q5" s="23" t="s">
        <v>11</v>
      </c>
      <c r="R5" s="19">
        <f>P5/R4^2</f>
        <v>55</v>
      </c>
      <c r="S5" s="23" t="s">
        <v>5</v>
      </c>
      <c r="T5" s="19">
        <f>(R6*R7-R5*R9)/T4</f>
        <v>-0.43333333333333335</v>
      </c>
      <c r="V5" s="9">
        <v>9.9</v>
      </c>
      <c r="W5" s="9">
        <v>10.8</v>
      </c>
      <c r="X5" s="9">
        <f t="shared" si="0"/>
        <v>34.6</v>
      </c>
      <c r="Y5" s="9">
        <f t="shared" si="1"/>
        <v>35.5</v>
      </c>
    </row>
    <row r="6" spans="1:33" x14ac:dyDescent="0.25">
      <c r="A6" s="12">
        <v>2</v>
      </c>
      <c r="B6" s="9">
        <v>20.8</v>
      </c>
      <c r="C6" s="9">
        <v>21.6</v>
      </c>
      <c r="D6" s="9">
        <f t="shared" ref="D6:D11" si="3">AVERAGE(B6:C6)</f>
        <v>21.200000000000003</v>
      </c>
      <c r="E6" s="8">
        <f t="shared" ref="E6:E14" si="4">($P$2-D6)</f>
        <v>4.6999999999999957</v>
      </c>
      <c r="F6" s="9">
        <v>5.4</v>
      </c>
      <c r="G6" s="9">
        <v>6</v>
      </c>
      <c r="H6" s="9">
        <f t="shared" ref="H6:H11" si="5">24.7+AVERAGE(F6:G6)</f>
        <v>30.4</v>
      </c>
      <c r="I6" s="27">
        <f t="shared" ref="I6:I11" si="6">(H6-$P$2)</f>
        <v>4.5</v>
      </c>
      <c r="J6" s="12">
        <f t="shared" ref="J6:J13" si="7">AVERAGE(E6,I6)*10</f>
        <v>45.999999999999979</v>
      </c>
      <c r="K6" s="12">
        <f t="shared" ref="K6:K14" si="8">A6*J6</f>
        <v>91.999999999999957</v>
      </c>
      <c r="L6">
        <f t="shared" ref="L6:L14" si="9">A6^2</f>
        <v>4</v>
      </c>
      <c r="M6" s="5">
        <f t="shared" si="2"/>
        <v>0.11111111111112468</v>
      </c>
      <c r="O6" s="16" t="s">
        <v>3</v>
      </c>
      <c r="P6" s="18">
        <f>SUM(J5:J14)</f>
        <v>1281.75</v>
      </c>
      <c r="Q6" s="23" t="s">
        <v>12</v>
      </c>
      <c r="R6" s="19">
        <f>P7/R4^2</f>
        <v>385</v>
      </c>
      <c r="S6" s="23" t="s">
        <v>17</v>
      </c>
      <c r="T6" s="19">
        <f>(R8*R9-R5*R7)/T4</f>
        <v>23.383333333333333</v>
      </c>
      <c r="V6" s="9">
        <v>12.2</v>
      </c>
      <c r="W6" s="9">
        <v>13.1</v>
      </c>
      <c r="X6" s="9">
        <f t="shared" si="0"/>
        <v>36.9</v>
      </c>
      <c r="Y6" s="9">
        <f t="shared" si="1"/>
        <v>37.799999999999997</v>
      </c>
    </row>
    <row r="7" spans="1:33" x14ac:dyDescent="0.25">
      <c r="A7" s="12">
        <v>3</v>
      </c>
      <c r="B7" s="9">
        <v>18.5</v>
      </c>
      <c r="C7" s="9">
        <v>18.2</v>
      </c>
      <c r="D7" s="9">
        <f t="shared" si="3"/>
        <v>18.350000000000001</v>
      </c>
      <c r="E7" s="8">
        <f t="shared" si="4"/>
        <v>7.5499999999999972</v>
      </c>
      <c r="F7" s="9">
        <v>7.6</v>
      </c>
      <c r="G7" s="9">
        <v>8.4</v>
      </c>
      <c r="H7" s="9">
        <f t="shared" si="5"/>
        <v>32.700000000000003</v>
      </c>
      <c r="I7" s="27">
        <f t="shared" si="6"/>
        <v>6.8000000000000043</v>
      </c>
      <c r="J7" s="12">
        <f t="shared" si="7"/>
        <v>71.75</v>
      </c>
      <c r="K7" s="12">
        <f t="shared" si="8"/>
        <v>215.25</v>
      </c>
      <c r="L7">
        <f t="shared" si="9"/>
        <v>9</v>
      </c>
      <c r="M7" s="5">
        <f t="shared" si="2"/>
        <v>4.1344444444444219</v>
      </c>
      <c r="O7" s="16" t="s">
        <v>6</v>
      </c>
      <c r="P7" s="19">
        <f>SUM(L5:L14)</f>
        <v>385</v>
      </c>
      <c r="Q7" s="23" t="s">
        <v>13</v>
      </c>
      <c r="R7" s="19">
        <f>P6/R4^2</f>
        <v>1281.75</v>
      </c>
      <c r="S7" s="23"/>
      <c r="T7" s="19"/>
      <c r="V7" s="9">
        <v>14.6</v>
      </c>
      <c r="W7" s="9">
        <v>15.3</v>
      </c>
      <c r="X7" s="9">
        <f t="shared" si="0"/>
        <v>39.299999999999997</v>
      </c>
      <c r="Y7" s="9">
        <f t="shared" si="1"/>
        <v>40</v>
      </c>
    </row>
    <row r="8" spans="1:33" x14ac:dyDescent="0.25">
      <c r="A8" s="12">
        <v>4</v>
      </c>
      <c r="B8" s="9">
        <v>16.100000000000001</v>
      </c>
      <c r="C8" s="9">
        <v>17.100000000000001</v>
      </c>
      <c r="D8" s="9">
        <f t="shared" si="3"/>
        <v>16.600000000000001</v>
      </c>
      <c r="E8" s="8">
        <f t="shared" si="4"/>
        <v>9.2999999999999972</v>
      </c>
      <c r="F8" s="9">
        <v>9.9</v>
      </c>
      <c r="G8" s="9">
        <v>10.8</v>
      </c>
      <c r="H8" s="9">
        <f t="shared" si="5"/>
        <v>35.049999999999997</v>
      </c>
      <c r="I8" s="27">
        <f t="shared" si="6"/>
        <v>9.1499999999999986</v>
      </c>
      <c r="J8" s="12">
        <f t="shared" si="7"/>
        <v>92.249999999999972</v>
      </c>
      <c r="K8" s="12">
        <f t="shared" si="8"/>
        <v>368.99999999999989</v>
      </c>
      <c r="L8">
        <f t="shared" si="9"/>
        <v>16</v>
      </c>
      <c r="M8" s="5">
        <f t="shared" si="2"/>
        <v>0.72250000000004511</v>
      </c>
      <c r="O8" s="16" t="s">
        <v>4</v>
      </c>
      <c r="P8" s="18">
        <f>SUM(K5:K14)</f>
        <v>8978.75</v>
      </c>
      <c r="Q8" s="23" t="s">
        <v>14</v>
      </c>
      <c r="R8" s="19">
        <f>P9/R4^2</f>
        <v>10</v>
      </c>
      <c r="S8" s="23" t="s">
        <v>9</v>
      </c>
      <c r="T8" s="19">
        <f>SQRT(R6/T4)</f>
        <v>0.68313005106397318</v>
      </c>
      <c r="V8" s="28">
        <v>16.8</v>
      </c>
      <c r="W8" s="28">
        <v>17.899999999999999</v>
      </c>
      <c r="X8" s="9">
        <f t="shared" si="0"/>
        <v>41.5</v>
      </c>
      <c r="Y8" s="9">
        <f t="shared" si="1"/>
        <v>42.599999999999994</v>
      </c>
    </row>
    <row r="9" spans="1:33" x14ac:dyDescent="0.25">
      <c r="A9" s="12">
        <v>5</v>
      </c>
      <c r="B9" s="9">
        <v>14.6</v>
      </c>
      <c r="C9" s="9">
        <v>13.8</v>
      </c>
      <c r="D9" s="9">
        <f t="shared" si="3"/>
        <v>14.2</v>
      </c>
      <c r="E9" s="8">
        <f t="shared" si="4"/>
        <v>11.7</v>
      </c>
      <c r="F9" s="9">
        <v>12.2</v>
      </c>
      <c r="G9" s="9">
        <v>13.1</v>
      </c>
      <c r="H9" s="9">
        <f t="shared" si="5"/>
        <v>37.349999999999994</v>
      </c>
      <c r="I9" s="27">
        <f t="shared" si="6"/>
        <v>11.449999999999996</v>
      </c>
      <c r="J9" s="12">
        <f t="shared" si="7"/>
        <v>115.74999999999997</v>
      </c>
      <c r="K9" s="12">
        <f t="shared" si="8"/>
        <v>578.74999999999989</v>
      </c>
      <c r="L9">
        <f t="shared" si="9"/>
        <v>25</v>
      </c>
      <c r="M9" s="5">
        <f t="shared" si="2"/>
        <v>0.53777777777780555</v>
      </c>
      <c r="O9" s="20" t="s">
        <v>0</v>
      </c>
      <c r="P9" s="21">
        <f>A14</f>
        <v>10</v>
      </c>
      <c r="Q9" s="24" t="s">
        <v>15</v>
      </c>
      <c r="R9" s="25">
        <f>P8/R4^2</f>
        <v>8978.75</v>
      </c>
      <c r="S9" s="24" t="s">
        <v>18</v>
      </c>
      <c r="T9" s="25">
        <f>SQRT(R8/T4)</f>
        <v>0.11009637651263605</v>
      </c>
    </row>
    <row r="10" spans="1:33" x14ac:dyDescent="0.25">
      <c r="A10" s="12">
        <v>6</v>
      </c>
      <c r="B10" s="9">
        <v>11.4</v>
      </c>
      <c r="C10" s="9">
        <v>12.4</v>
      </c>
      <c r="D10" s="9">
        <f t="shared" si="3"/>
        <v>11.9</v>
      </c>
      <c r="E10" s="8">
        <f t="shared" si="4"/>
        <v>13.999999999999998</v>
      </c>
      <c r="F10" s="9">
        <v>14.6</v>
      </c>
      <c r="G10" s="9">
        <v>15.3</v>
      </c>
      <c r="H10" s="9">
        <f t="shared" si="5"/>
        <v>39.65</v>
      </c>
      <c r="I10" s="27">
        <f t="shared" si="6"/>
        <v>13.75</v>
      </c>
      <c r="J10" s="12">
        <f t="shared" si="7"/>
        <v>138.75</v>
      </c>
      <c r="K10" s="12">
        <f t="shared" si="8"/>
        <v>832.5</v>
      </c>
      <c r="L10">
        <f t="shared" si="9"/>
        <v>36</v>
      </c>
      <c r="M10" s="5">
        <f t="shared" si="2"/>
        <v>1.2469444444444697</v>
      </c>
      <c r="P10" s="6"/>
      <c r="Q10" s="2"/>
      <c r="R10" s="2"/>
      <c r="S10" s="2"/>
      <c r="T10" s="2"/>
    </row>
    <row r="11" spans="1:33" s="3" customFormat="1" x14ac:dyDescent="0.25">
      <c r="A11" s="13">
        <v>7</v>
      </c>
      <c r="B11" s="28">
        <v>9</v>
      </c>
      <c r="C11" s="28">
        <v>10.1</v>
      </c>
      <c r="D11" s="28">
        <f t="shared" si="3"/>
        <v>9.5500000000000007</v>
      </c>
      <c r="E11" s="8">
        <f t="shared" si="4"/>
        <v>16.349999999999998</v>
      </c>
      <c r="F11" s="28">
        <v>16.8</v>
      </c>
      <c r="G11" s="28">
        <v>17.899999999999999</v>
      </c>
      <c r="H11" s="28">
        <f t="shared" si="5"/>
        <v>42.05</v>
      </c>
      <c r="I11" s="27">
        <f t="shared" si="6"/>
        <v>16.149999999999999</v>
      </c>
      <c r="J11" s="12">
        <f t="shared" si="7"/>
        <v>162.5</v>
      </c>
      <c r="K11" s="13">
        <f t="shared" si="8"/>
        <v>1137.5</v>
      </c>
      <c r="L11" s="3">
        <f t="shared" si="9"/>
        <v>49</v>
      </c>
      <c r="M11" s="30">
        <f t="shared" si="2"/>
        <v>0.56250000000000566</v>
      </c>
      <c r="R11" s="29"/>
      <c r="S11" s="29"/>
      <c r="T11" s="29"/>
      <c r="AA11" s="28"/>
      <c r="AB11" s="28"/>
      <c r="AC11" s="27"/>
      <c r="AD11" s="28"/>
      <c r="AE11" s="28"/>
      <c r="AG11" s="30"/>
    </row>
    <row r="12" spans="1:33" s="3" customFormat="1" x14ac:dyDescent="0.25">
      <c r="A12" s="13">
        <v>8</v>
      </c>
      <c r="B12" s="28">
        <v>6.7</v>
      </c>
      <c r="C12" s="28">
        <v>7.7</v>
      </c>
      <c r="D12" s="28">
        <f>AVERAGE(B12:C12)</f>
        <v>7.2</v>
      </c>
      <c r="E12" s="8">
        <f t="shared" si="4"/>
        <v>18.7</v>
      </c>
      <c r="F12" s="28"/>
      <c r="G12" s="28"/>
      <c r="H12" s="27"/>
      <c r="I12" s="27"/>
      <c r="J12" s="12">
        <f t="shared" si="7"/>
        <v>187</v>
      </c>
      <c r="K12" s="13">
        <f t="shared" si="8"/>
        <v>1496</v>
      </c>
      <c r="L12" s="3">
        <f t="shared" si="9"/>
        <v>64</v>
      </c>
      <c r="M12" s="30">
        <f t="shared" ref="M12:M14" si="10">(J12-$T$6*A12-$T$5)^2</f>
        <v>0.13444444444444723</v>
      </c>
      <c r="P12" s="29"/>
      <c r="Q12" s="29"/>
      <c r="R12" s="29"/>
      <c r="S12" s="29"/>
      <c r="T12" s="29"/>
      <c r="W12" s="13"/>
      <c r="X12" s="28"/>
      <c r="Y12" s="28"/>
      <c r="Z12" s="27"/>
      <c r="AA12" s="28"/>
      <c r="AB12" s="28"/>
      <c r="AC12" s="27"/>
      <c r="AD12" s="28"/>
      <c r="AE12" s="28"/>
      <c r="AG12" s="30"/>
    </row>
    <row r="13" spans="1:33" x14ac:dyDescent="0.25">
      <c r="A13" s="12">
        <v>9</v>
      </c>
      <c r="B13" s="9">
        <v>4.3</v>
      </c>
      <c r="C13" s="9">
        <v>5.4</v>
      </c>
      <c r="D13" s="9">
        <f>AVERAGE(B13:C13)</f>
        <v>4.8499999999999996</v>
      </c>
      <c r="E13" s="8">
        <f t="shared" si="4"/>
        <v>21.049999999999997</v>
      </c>
      <c r="F13" s="9"/>
      <c r="G13" s="9"/>
      <c r="H13" s="8"/>
      <c r="I13" s="8"/>
      <c r="J13" s="12">
        <f t="shared" si="7"/>
        <v>210.49999999999997</v>
      </c>
      <c r="K13" s="13">
        <f t="shared" si="8"/>
        <v>1894.4999999999998</v>
      </c>
      <c r="L13" s="3">
        <f t="shared" si="9"/>
        <v>81</v>
      </c>
      <c r="M13" s="30">
        <f t="shared" si="10"/>
        <v>0.23361111111109464</v>
      </c>
      <c r="P13" s="1"/>
      <c r="Q13" s="1"/>
      <c r="R13" s="1"/>
      <c r="S13" s="1"/>
      <c r="T13" s="1"/>
      <c r="W13" s="12"/>
      <c r="X13" s="9"/>
      <c r="Y13" s="9"/>
      <c r="Z13" s="8"/>
      <c r="AA13" s="9"/>
      <c r="AB13" s="9"/>
      <c r="AC13" s="8"/>
      <c r="AD13" s="9"/>
      <c r="AE13" s="9"/>
      <c r="AG13" s="5"/>
    </row>
    <row r="14" spans="1:33" x14ac:dyDescent="0.25">
      <c r="A14" s="12">
        <v>10</v>
      </c>
      <c r="B14" s="9">
        <v>1.9</v>
      </c>
      <c r="C14" s="9">
        <v>3.1</v>
      </c>
      <c r="D14" s="9">
        <f>AVERAGE(B14:C14)</f>
        <v>2.5</v>
      </c>
      <c r="E14" s="8">
        <f t="shared" si="4"/>
        <v>23.4</v>
      </c>
      <c r="F14" s="9"/>
      <c r="G14" s="9"/>
      <c r="H14" s="8"/>
      <c r="I14" s="8"/>
      <c r="J14" s="12">
        <f>AVERAGE(E14,I14)*10</f>
        <v>234</v>
      </c>
      <c r="K14" s="13">
        <f t="shared" si="8"/>
        <v>2340</v>
      </c>
      <c r="L14" s="3">
        <f t="shared" si="9"/>
        <v>100</v>
      </c>
      <c r="M14" s="30">
        <f t="shared" si="10"/>
        <v>0.36000000000002275</v>
      </c>
      <c r="S14" s="1"/>
      <c r="T14" s="1"/>
      <c r="AA14" s="9"/>
      <c r="AB14" s="9"/>
      <c r="AC14" s="8"/>
      <c r="AD14" s="9"/>
      <c r="AE14" s="9"/>
      <c r="AG14" s="5"/>
    </row>
    <row r="15" spans="1:33" x14ac:dyDescent="0.25">
      <c r="M15" s="5">
        <f>SUM(M5:M14)</f>
        <v>8.133333333333443</v>
      </c>
      <c r="N15" s="5"/>
      <c r="O15" s="31" t="s">
        <v>33</v>
      </c>
      <c r="P15" s="31">
        <f>632.8*0.000000001</f>
        <v>6.328E-7</v>
      </c>
      <c r="Q15" s="31"/>
      <c r="S15" s="2"/>
      <c r="T15" s="2"/>
      <c r="AA15" s="9"/>
      <c r="AB15" s="9"/>
      <c r="AC15" s="8"/>
      <c r="AD15" s="9"/>
      <c r="AE15" s="9"/>
      <c r="AG15" s="5"/>
    </row>
    <row r="16" spans="1:33" x14ac:dyDescent="0.25">
      <c r="O16" s="31" t="s">
        <v>34</v>
      </c>
      <c r="P16" s="31">
        <v>3.8</v>
      </c>
      <c r="Q16" s="31"/>
      <c r="S16" s="1"/>
      <c r="T16" s="1"/>
      <c r="AA16" s="9"/>
      <c r="AB16" s="9"/>
      <c r="AC16" s="8"/>
      <c r="AD16" s="9"/>
      <c r="AE16" s="9"/>
      <c r="AG16" s="5"/>
    </row>
    <row r="17" spans="1:20" x14ac:dyDescent="0.25">
      <c r="A17" s="39" t="s">
        <v>42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O17" s="31" t="s">
        <v>5</v>
      </c>
      <c r="P17" s="31">
        <f>(P15*P16*1000)/(T6*0.001)</f>
        <v>0.10283563791874555</v>
      </c>
      <c r="Q17" s="31" t="s">
        <v>16</v>
      </c>
    </row>
    <row r="18" spans="1:20" x14ac:dyDescent="0.25">
      <c r="A18" s="37" t="s">
        <v>19</v>
      </c>
      <c r="B18" s="37" t="s">
        <v>20</v>
      </c>
      <c r="C18" s="37"/>
      <c r="D18" s="37"/>
      <c r="E18" s="37"/>
      <c r="F18" s="37"/>
      <c r="G18" s="37" t="s">
        <v>21</v>
      </c>
      <c r="H18" s="37"/>
      <c r="I18" s="37"/>
      <c r="J18" s="37"/>
      <c r="K18" s="37"/>
      <c r="L18" s="10" t="s">
        <v>45</v>
      </c>
      <c r="M18" s="10" t="s">
        <v>46</v>
      </c>
      <c r="N18" s="10"/>
      <c r="O18" s="32"/>
      <c r="P18" s="32">
        <f>P17*SQRT((0.01/P16)^2+(T9/T6)^2)</f>
        <v>5.5467935541914245E-4</v>
      </c>
      <c r="Q18" s="32"/>
    </row>
    <row r="19" spans="1:20" x14ac:dyDescent="0.25">
      <c r="A19" s="37"/>
      <c r="B19" s="9" t="s">
        <v>22</v>
      </c>
      <c r="C19" t="s">
        <v>23</v>
      </c>
      <c r="D19" s="8" t="s">
        <v>24</v>
      </c>
      <c r="E19" s="27" t="s">
        <v>44</v>
      </c>
      <c r="F19" s="3" t="s">
        <v>40</v>
      </c>
      <c r="G19" t="s">
        <v>25</v>
      </c>
      <c r="H19" t="s">
        <v>26</v>
      </c>
      <c r="I19" t="s">
        <v>27</v>
      </c>
      <c r="J19" s="27" t="s">
        <v>44</v>
      </c>
      <c r="K19" s="3" t="s">
        <v>40</v>
      </c>
      <c r="L19" s="10"/>
      <c r="M19" s="10"/>
      <c r="N19" s="10"/>
      <c r="O19" s="31" t="s">
        <v>40</v>
      </c>
      <c r="P19" s="31">
        <f>L20</f>
        <v>0.34072705872622006</v>
      </c>
      <c r="Q19" s="31" t="s">
        <v>16</v>
      </c>
    </row>
    <row r="20" spans="1:20" x14ac:dyDescent="0.25">
      <c r="A20" s="12">
        <v>0</v>
      </c>
      <c r="B20" s="9">
        <v>25.4</v>
      </c>
      <c r="C20" s="9">
        <v>25.5</v>
      </c>
      <c r="D20" s="9">
        <f>AVERAGE(B20:C20)</f>
        <v>25.45</v>
      </c>
      <c r="E20" s="8"/>
      <c r="F20" s="8"/>
      <c r="G20" s="9">
        <v>1.6</v>
      </c>
      <c r="H20" s="9"/>
      <c r="I20" s="8">
        <f>$P$2+AVERAGE(G20:H20)</f>
        <v>27.5</v>
      </c>
      <c r="J20" s="8"/>
      <c r="K20" s="8"/>
      <c r="L20" s="42">
        <f>AVERAGE(F21:F52,K21:K43)</f>
        <v>0.34072705872622006</v>
      </c>
      <c r="M20" s="41">
        <f>_xlfn.STDEV.P(F21:F22,F24:F25,F30:F31,F33:F34,F36:F37,F39:F40,F42:F43,F45:F46,F48:F49,F51:F52,K21:K22,K24:K25,K27:K28,K30:K31,K33:K34,K36:K37,K39:K40,K42:K43,)</f>
        <v>5.9393683459736911E-2</v>
      </c>
      <c r="O20" s="32"/>
      <c r="P20" s="33">
        <f>M20</f>
        <v>5.9393683459736911E-2</v>
      </c>
      <c r="Q20" s="32"/>
    </row>
    <row r="21" spans="1:20" x14ac:dyDescent="0.25">
      <c r="A21" s="12">
        <v>1</v>
      </c>
      <c r="B21" s="9">
        <v>24.7</v>
      </c>
      <c r="C21" s="9">
        <v>24.8</v>
      </c>
      <c r="D21" s="9">
        <f t="shared" ref="D21:D52" si="11">AVERAGE(B21:C21)</f>
        <v>24.75</v>
      </c>
      <c r="E21" s="8">
        <f>-D21+D20</f>
        <v>0.69999999999999929</v>
      </c>
      <c r="F21" s="8">
        <f>($P$15*$P$16*A21*1000)/(E21*0.01)</f>
        <v>0.34352000000000033</v>
      </c>
      <c r="G21" s="9">
        <v>2.2999999999999998</v>
      </c>
      <c r="H21" s="9">
        <v>2.4</v>
      </c>
      <c r="I21" s="8">
        <f t="shared" ref="I21:I39" si="12">$P$2+AVERAGE(G21:H21)</f>
        <v>28.25</v>
      </c>
      <c r="J21" s="8">
        <f>I21-I20</f>
        <v>0.75</v>
      </c>
      <c r="K21" s="8">
        <f>($P$15*$P$16*A21*1000)/(J21*0.01)</f>
        <v>0.32061866666666666</v>
      </c>
      <c r="L21" s="40"/>
      <c r="M21" s="41"/>
      <c r="O21" s="31" t="s">
        <v>47</v>
      </c>
      <c r="P21" s="31">
        <f>P19-P17</f>
        <v>0.2378914208074745</v>
      </c>
      <c r="Q21" s="31" t="s">
        <v>16</v>
      </c>
      <c r="S21" s="3"/>
    </row>
    <row r="22" spans="1:20" x14ac:dyDescent="0.25">
      <c r="A22" s="12">
        <v>2</v>
      </c>
      <c r="B22" s="9">
        <v>23.9</v>
      </c>
      <c r="C22" s="9">
        <v>23.9</v>
      </c>
      <c r="D22" s="9">
        <f>AVERAGE(B22:C22)</f>
        <v>23.9</v>
      </c>
      <c r="E22" s="8">
        <f>D20-D22</f>
        <v>1.5500000000000007</v>
      </c>
      <c r="F22" s="8">
        <f>($P$15*$P$16*A22*1000)/(E22*0.01)</f>
        <v>0.31027612903225793</v>
      </c>
      <c r="G22" s="9">
        <v>3</v>
      </c>
      <c r="H22" s="9"/>
      <c r="I22" s="8">
        <f t="shared" si="12"/>
        <v>28.9</v>
      </c>
      <c r="J22" s="8">
        <f>I22-I20</f>
        <v>1.3999999999999986</v>
      </c>
      <c r="K22" s="8">
        <f>($P$15*$P$16*A22*1000)/(J22*0.01)</f>
        <v>0.34352000000000033</v>
      </c>
      <c r="L22" s="40"/>
      <c r="M22" s="41"/>
      <c r="O22" s="32"/>
      <c r="P22" s="33">
        <f>SQRT(P18^2+P20^2)</f>
        <v>5.9396273486665423E-2</v>
      </c>
      <c r="Q22" s="32"/>
    </row>
    <row r="23" spans="1:20" x14ac:dyDescent="0.25">
      <c r="A23" s="12">
        <v>0</v>
      </c>
      <c r="B23" s="9">
        <v>23.2</v>
      </c>
      <c r="C23" s="9">
        <v>23.2</v>
      </c>
      <c r="D23" s="9">
        <f t="shared" si="11"/>
        <v>23.2</v>
      </c>
      <c r="E23" s="8"/>
      <c r="F23" s="8"/>
      <c r="G23" s="9">
        <v>3.9</v>
      </c>
      <c r="H23" s="9"/>
      <c r="I23" s="8">
        <f t="shared" si="12"/>
        <v>29.799999999999997</v>
      </c>
      <c r="J23" s="8"/>
      <c r="K23" s="8"/>
      <c r="L23" s="40"/>
      <c r="M23" s="41"/>
      <c r="O23" s="5"/>
    </row>
    <row r="24" spans="1:20" x14ac:dyDescent="0.25">
      <c r="A24" s="12">
        <v>1</v>
      </c>
      <c r="B24" s="9">
        <v>22.4</v>
      </c>
      <c r="C24" s="9">
        <v>22.5</v>
      </c>
      <c r="D24" s="9">
        <f t="shared" si="11"/>
        <v>22.45</v>
      </c>
      <c r="E24" s="8">
        <f>-D24+D23</f>
        <v>0.75</v>
      </c>
      <c r="F24" s="8">
        <f>($P$15*$P$16*A24*1000)/(E24*0.01)</f>
        <v>0.32061866666666666</v>
      </c>
      <c r="G24" s="9">
        <v>4.5999999999999996</v>
      </c>
      <c r="H24" s="9">
        <v>4.7</v>
      </c>
      <c r="I24" s="8">
        <f t="shared" si="12"/>
        <v>30.549999999999997</v>
      </c>
      <c r="J24" s="8">
        <f>I24-I23</f>
        <v>0.75</v>
      </c>
      <c r="K24" s="8">
        <f>($P$15*$P$16*A24*1000)/(J24*0.01)</f>
        <v>0.32061866666666666</v>
      </c>
      <c r="L24" s="40"/>
      <c r="M24" s="41"/>
      <c r="O24" s="5"/>
    </row>
    <row r="25" spans="1:20" x14ac:dyDescent="0.25">
      <c r="A25" s="12">
        <v>2</v>
      </c>
      <c r="B25" s="9">
        <v>21.6</v>
      </c>
      <c r="C25" s="9">
        <v>21.6</v>
      </c>
      <c r="D25" s="9">
        <f t="shared" si="11"/>
        <v>21.6</v>
      </c>
      <c r="E25" s="8">
        <f>D23-D25</f>
        <v>1.5999999999999979</v>
      </c>
      <c r="F25" s="8">
        <f>($P$15*$P$16*A25*1000)/(E25*0.01)</f>
        <v>0.3005800000000004</v>
      </c>
      <c r="G25" s="9">
        <v>5.3</v>
      </c>
      <c r="H25" s="9"/>
      <c r="I25" s="8">
        <f t="shared" si="12"/>
        <v>31.2</v>
      </c>
      <c r="J25" s="8">
        <f>I25-I23</f>
        <v>1.4000000000000021</v>
      </c>
      <c r="K25" s="8">
        <f>($P$15*$P$16*A25*1000)/(J25*0.01)</f>
        <v>0.34351999999999949</v>
      </c>
      <c r="L25" s="40"/>
      <c r="M25" s="41"/>
      <c r="O25" s="5"/>
    </row>
    <row r="26" spans="1:20" x14ac:dyDescent="0.25">
      <c r="A26" s="12">
        <v>0</v>
      </c>
      <c r="B26" s="9">
        <v>20.8</v>
      </c>
      <c r="C26" s="9">
        <v>20.8</v>
      </c>
      <c r="D26" s="9">
        <f t="shared" si="11"/>
        <v>20.8</v>
      </c>
      <c r="E26" s="8"/>
      <c r="F26" s="8"/>
      <c r="G26" s="9">
        <v>6.1</v>
      </c>
      <c r="H26" s="9"/>
      <c r="I26" s="8">
        <f t="shared" si="12"/>
        <v>32</v>
      </c>
      <c r="J26" s="8"/>
      <c r="K26" s="8"/>
      <c r="L26" s="40"/>
      <c r="M26" s="41"/>
      <c r="O26" s="5"/>
    </row>
    <row r="27" spans="1:20" x14ac:dyDescent="0.25">
      <c r="A27" s="12">
        <v>1</v>
      </c>
      <c r="B27" s="9">
        <v>20.100000000000001</v>
      </c>
      <c r="C27" s="9">
        <v>20</v>
      </c>
      <c r="D27" s="9">
        <f t="shared" si="11"/>
        <v>20.05</v>
      </c>
      <c r="E27" s="8">
        <f>-D27+D26</f>
        <v>0.75</v>
      </c>
      <c r="F27" s="8">
        <f>($P$15*$P$16*A27*1000)/(E27*0.01)</f>
        <v>0.32061866666666666</v>
      </c>
      <c r="G27" s="9">
        <v>6.8</v>
      </c>
      <c r="H27" s="9">
        <v>6.9</v>
      </c>
      <c r="I27" s="8">
        <f t="shared" si="12"/>
        <v>32.75</v>
      </c>
      <c r="J27" s="8">
        <f>I27-I26</f>
        <v>0.75</v>
      </c>
      <c r="K27" s="8">
        <f>($P$15*$P$16*A27*1000)/(J27*0.01)</f>
        <v>0.32061866666666666</v>
      </c>
      <c r="L27" s="40"/>
      <c r="M27" s="41"/>
      <c r="O27" s="5"/>
    </row>
    <row r="28" spans="1:20" x14ac:dyDescent="0.25">
      <c r="A28" s="12">
        <v>2</v>
      </c>
      <c r="B28" s="9">
        <v>19.3</v>
      </c>
      <c r="C28" s="9">
        <v>19.3</v>
      </c>
      <c r="D28" s="9">
        <f t="shared" si="11"/>
        <v>19.3</v>
      </c>
      <c r="E28" s="8">
        <f>D26-D28</f>
        <v>1.5</v>
      </c>
      <c r="F28" s="8">
        <f>($P$15*$P$16*A28*1000)/(E28*0.01)</f>
        <v>0.32061866666666666</v>
      </c>
      <c r="G28" s="9">
        <v>7.6</v>
      </c>
      <c r="H28" s="9"/>
      <c r="I28" s="8">
        <f t="shared" si="12"/>
        <v>33.5</v>
      </c>
      <c r="J28" s="8">
        <f>I28-I26</f>
        <v>1.5</v>
      </c>
      <c r="K28" s="8">
        <f>($P$15*$P$16*A28*1000)/(J28*0.01)</f>
        <v>0.32061866666666666</v>
      </c>
      <c r="L28" s="40"/>
      <c r="M28" s="41"/>
    </row>
    <row r="29" spans="1:20" x14ac:dyDescent="0.25">
      <c r="A29" s="12">
        <v>0</v>
      </c>
      <c r="B29" s="9">
        <v>18.5</v>
      </c>
      <c r="C29" s="9">
        <v>18.5</v>
      </c>
      <c r="D29" s="9">
        <f t="shared" si="11"/>
        <v>18.5</v>
      </c>
      <c r="E29" s="8"/>
      <c r="F29" s="8"/>
      <c r="G29" s="9">
        <v>8.5</v>
      </c>
      <c r="H29" s="9"/>
      <c r="I29" s="8">
        <f t="shared" si="12"/>
        <v>34.4</v>
      </c>
      <c r="J29" s="8"/>
      <c r="K29" s="8"/>
      <c r="L29" s="40"/>
      <c r="M29" s="41"/>
    </row>
    <row r="30" spans="1:20" x14ac:dyDescent="0.25">
      <c r="A30" s="12">
        <v>1</v>
      </c>
      <c r="B30" s="9">
        <v>17.7</v>
      </c>
      <c r="C30" s="9">
        <v>17.8</v>
      </c>
      <c r="D30" s="9">
        <f t="shared" si="11"/>
        <v>17.75</v>
      </c>
      <c r="E30" s="8">
        <f>-D30+D29</f>
        <v>0.75</v>
      </c>
      <c r="F30" s="8">
        <f>($P$15*$P$16*A30*1000)/(E30*0.01)</f>
        <v>0.32061866666666666</v>
      </c>
      <c r="G30" s="9">
        <v>9.1</v>
      </c>
      <c r="H30" s="9">
        <v>9.3000000000000007</v>
      </c>
      <c r="I30" s="8">
        <f t="shared" si="12"/>
        <v>35.099999999999994</v>
      </c>
      <c r="J30" s="8">
        <f>I30-I29</f>
        <v>0.69999999999999574</v>
      </c>
      <c r="K30" s="8">
        <f>($P$15*$P$16*A30*1000)/(J30*0.01)</f>
        <v>0.3435200000000021</v>
      </c>
      <c r="L30" s="40"/>
      <c r="M30" s="41"/>
    </row>
    <row r="31" spans="1:20" x14ac:dyDescent="0.25">
      <c r="A31" s="12">
        <v>2</v>
      </c>
      <c r="B31" s="9">
        <v>17.100000000000001</v>
      </c>
      <c r="C31" s="9">
        <v>17.100000000000001</v>
      </c>
      <c r="D31" s="9">
        <f t="shared" si="11"/>
        <v>17.100000000000001</v>
      </c>
      <c r="E31" s="8">
        <f>D29-D31</f>
        <v>1.3999999999999986</v>
      </c>
      <c r="F31" s="8">
        <f>($P$15*$P$16*A31*1000)/(E31*0.01)</f>
        <v>0.34352000000000033</v>
      </c>
      <c r="G31" s="9">
        <v>9.8000000000000007</v>
      </c>
      <c r="H31" s="9"/>
      <c r="I31" s="8">
        <f t="shared" si="12"/>
        <v>35.700000000000003</v>
      </c>
      <c r="J31" s="8">
        <f>I31-I29</f>
        <v>1.3000000000000043</v>
      </c>
      <c r="K31" s="8">
        <f>($P$15*$P$16*A31*1000)/(J31*0.01)</f>
        <v>0.36994461538461415</v>
      </c>
      <c r="L31" s="40"/>
      <c r="M31" s="41"/>
    </row>
    <row r="32" spans="1:20" x14ac:dyDescent="0.25">
      <c r="A32" s="12">
        <v>0</v>
      </c>
      <c r="B32" s="9">
        <v>16.100000000000001</v>
      </c>
      <c r="C32" s="9">
        <v>16.100000000000001</v>
      </c>
      <c r="D32" s="9">
        <f t="shared" si="11"/>
        <v>16.100000000000001</v>
      </c>
      <c r="E32" s="8"/>
      <c r="F32" s="8"/>
      <c r="G32" s="9">
        <v>10.9</v>
      </c>
      <c r="H32" s="9"/>
      <c r="I32" s="8">
        <f t="shared" si="12"/>
        <v>36.799999999999997</v>
      </c>
      <c r="J32" s="8"/>
      <c r="K32" s="8"/>
      <c r="L32" s="40"/>
      <c r="M32" s="41"/>
      <c r="P32" s="9">
        <v>1.6</v>
      </c>
      <c r="Q32" s="9">
        <v>1.6</v>
      </c>
      <c r="R32" s="9">
        <f>P32+$P$2</f>
        <v>27.5</v>
      </c>
      <c r="S32" s="9">
        <f>Q32+$P$2</f>
        <v>27.5</v>
      </c>
      <c r="T32">
        <v>27.5</v>
      </c>
    </row>
    <row r="33" spans="1:20" x14ac:dyDescent="0.25">
      <c r="A33" s="12">
        <v>1</v>
      </c>
      <c r="B33" s="9">
        <v>15.4</v>
      </c>
      <c r="C33" s="9">
        <v>15.4</v>
      </c>
      <c r="D33" s="9">
        <f t="shared" si="11"/>
        <v>15.4</v>
      </c>
      <c r="E33" s="8">
        <f>-D33+D32</f>
        <v>0.70000000000000107</v>
      </c>
      <c r="F33" s="8">
        <f>($P$15*$P$16*A33*1000)/(E33*0.01)</f>
        <v>0.34351999999999949</v>
      </c>
      <c r="G33" s="9">
        <v>11.6</v>
      </c>
      <c r="H33" s="9">
        <v>11.7</v>
      </c>
      <c r="I33" s="8">
        <f t="shared" si="12"/>
        <v>37.549999999999997</v>
      </c>
      <c r="J33" s="8">
        <f>I33-I32</f>
        <v>0.75</v>
      </c>
      <c r="K33" s="8">
        <f>($P$15*$P$16*A33*1000)/(J33*0.01)</f>
        <v>0.32061866666666666</v>
      </c>
      <c r="L33" s="40"/>
      <c r="M33" s="41"/>
      <c r="P33" s="9">
        <v>2.2999999999999998</v>
      </c>
      <c r="Q33" s="9">
        <v>2.4</v>
      </c>
      <c r="R33" s="9">
        <f t="shared" ref="R33:R55" si="13">P33+$P$2</f>
        <v>28.2</v>
      </c>
      <c r="S33" s="9">
        <f t="shared" ref="S33:S55" si="14">Q33+$P$2</f>
        <v>28.299999999999997</v>
      </c>
      <c r="T33">
        <v>28.25</v>
      </c>
    </row>
    <row r="34" spans="1:20" x14ac:dyDescent="0.25">
      <c r="A34" s="12">
        <v>2</v>
      </c>
      <c r="B34" s="9">
        <v>14.6</v>
      </c>
      <c r="C34" s="9">
        <v>14.6</v>
      </c>
      <c r="D34" s="9">
        <f t="shared" si="11"/>
        <v>14.6</v>
      </c>
      <c r="E34" s="8">
        <f>D32-D34</f>
        <v>1.5000000000000018</v>
      </c>
      <c r="F34" s="8">
        <f>($P$15*$P$16*A34*1000)/(E34*0.01)</f>
        <v>0.32061866666666627</v>
      </c>
      <c r="G34" s="9">
        <v>12.2</v>
      </c>
      <c r="H34" s="9"/>
      <c r="I34" s="8">
        <f t="shared" si="12"/>
        <v>38.099999999999994</v>
      </c>
      <c r="J34" s="8">
        <f>I34-I32</f>
        <v>1.2999999999999972</v>
      </c>
      <c r="K34" s="8">
        <f>($P$15*$P$16*A34*1000)/(J34*0.01)</f>
        <v>0.3699446153846162</v>
      </c>
      <c r="L34" s="40"/>
      <c r="M34" s="41"/>
      <c r="P34" s="9">
        <v>3</v>
      </c>
      <c r="Q34" s="9">
        <v>3</v>
      </c>
      <c r="R34" s="9">
        <f t="shared" si="13"/>
        <v>28.9</v>
      </c>
      <c r="S34" s="9">
        <f t="shared" si="14"/>
        <v>28.9</v>
      </c>
      <c r="T34">
        <v>28.9</v>
      </c>
    </row>
    <row r="35" spans="1:20" x14ac:dyDescent="0.25">
      <c r="A35" s="12">
        <v>0</v>
      </c>
      <c r="B35" s="9">
        <v>13.9</v>
      </c>
      <c r="C35" s="9">
        <v>13.9</v>
      </c>
      <c r="D35" s="9">
        <f t="shared" si="11"/>
        <v>13.9</v>
      </c>
      <c r="E35" s="8"/>
      <c r="F35" s="8"/>
      <c r="G35" s="9">
        <v>13.1</v>
      </c>
      <c r="H35" s="9"/>
      <c r="I35" s="8">
        <f t="shared" si="12"/>
        <v>39</v>
      </c>
      <c r="J35" s="8"/>
      <c r="K35" s="8"/>
      <c r="L35" s="40"/>
      <c r="M35" s="41"/>
      <c r="P35" s="9">
        <v>3.9</v>
      </c>
      <c r="Q35" s="9">
        <v>3.9</v>
      </c>
      <c r="R35" s="9">
        <f t="shared" si="13"/>
        <v>29.799999999999997</v>
      </c>
      <c r="S35" s="9">
        <f t="shared" si="14"/>
        <v>29.799999999999997</v>
      </c>
      <c r="T35">
        <v>29.799999999999997</v>
      </c>
    </row>
    <row r="36" spans="1:20" x14ac:dyDescent="0.25">
      <c r="A36" s="12">
        <v>1</v>
      </c>
      <c r="B36" s="9">
        <v>13.2</v>
      </c>
      <c r="C36" s="9">
        <v>13.1</v>
      </c>
      <c r="D36" s="9">
        <f t="shared" si="11"/>
        <v>13.149999999999999</v>
      </c>
      <c r="E36" s="8">
        <f>-D36+D35</f>
        <v>0.75000000000000178</v>
      </c>
      <c r="F36" s="8">
        <f>($P$15*$P$16*A36*1000)/(E36*0.01)</f>
        <v>0.32061866666666589</v>
      </c>
      <c r="G36" s="9">
        <v>13.8</v>
      </c>
      <c r="H36" s="9">
        <v>13.9</v>
      </c>
      <c r="I36" s="8">
        <f t="shared" si="12"/>
        <v>39.75</v>
      </c>
      <c r="J36" s="8">
        <f>I36-I35</f>
        <v>0.75</v>
      </c>
      <c r="K36" s="8">
        <f>($P$15*$P$16*A36*1000)/(J36*0.01)</f>
        <v>0.32061866666666666</v>
      </c>
      <c r="L36" s="40"/>
      <c r="M36" s="41"/>
      <c r="P36" s="9">
        <v>4.5999999999999996</v>
      </c>
      <c r="Q36" s="9">
        <v>4.7</v>
      </c>
      <c r="R36" s="9">
        <f t="shared" si="13"/>
        <v>30.5</v>
      </c>
      <c r="S36" s="9">
        <f t="shared" si="14"/>
        <v>30.599999999999998</v>
      </c>
      <c r="T36">
        <v>30.549999999999997</v>
      </c>
    </row>
    <row r="37" spans="1:20" x14ac:dyDescent="0.25">
      <c r="A37" s="12">
        <v>2</v>
      </c>
      <c r="B37" s="9">
        <v>12.5</v>
      </c>
      <c r="C37" s="9">
        <v>12.5</v>
      </c>
      <c r="D37" s="9">
        <f t="shared" si="11"/>
        <v>12.5</v>
      </c>
      <c r="E37" s="8">
        <f>D35-D37</f>
        <v>1.4000000000000004</v>
      </c>
      <c r="F37" s="8">
        <f>($P$15*$P$16*A37*1000)/(E37*0.01)</f>
        <v>0.34351999999999988</v>
      </c>
      <c r="G37" s="9">
        <v>14.6</v>
      </c>
      <c r="H37" s="9"/>
      <c r="I37" s="8">
        <f t="shared" si="12"/>
        <v>40.5</v>
      </c>
      <c r="J37" s="8">
        <f>I37-I35</f>
        <v>1.5</v>
      </c>
      <c r="K37" s="8">
        <f>($P$15*$P$16*A37*1000)/(J37*0.01)</f>
        <v>0.32061866666666666</v>
      </c>
      <c r="L37" s="40"/>
      <c r="M37" s="41"/>
      <c r="P37" s="9">
        <v>5.3</v>
      </c>
      <c r="Q37" s="9">
        <v>5.3</v>
      </c>
      <c r="R37" s="9">
        <f t="shared" si="13"/>
        <v>31.2</v>
      </c>
      <c r="S37" s="9">
        <f t="shared" si="14"/>
        <v>31.2</v>
      </c>
      <c r="T37">
        <v>31.2</v>
      </c>
    </row>
    <row r="38" spans="1:20" x14ac:dyDescent="0.25">
      <c r="A38" s="12">
        <v>0</v>
      </c>
      <c r="B38" s="9">
        <v>11.4</v>
      </c>
      <c r="C38" s="9">
        <v>11.4</v>
      </c>
      <c r="D38" s="9">
        <f t="shared" si="11"/>
        <v>11.4</v>
      </c>
      <c r="E38" s="8"/>
      <c r="F38" s="8"/>
      <c r="G38" s="9">
        <v>15.4</v>
      </c>
      <c r="H38" s="9"/>
      <c r="I38" s="8">
        <f t="shared" si="12"/>
        <v>41.3</v>
      </c>
      <c r="J38" s="8"/>
      <c r="K38" s="8"/>
      <c r="L38" s="40"/>
      <c r="M38" s="41"/>
      <c r="P38" s="9">
        <v>6.1</v>
      </c>
      <c r="Q38" s="9">
        <v>6.1</v>
      </c>
      <c r="R38" s="9">
        <f t="shared" si="13"/>
        <v>32</v>
      </c>
      <c r="S38" s="9">
        <f t="shared" si="14"/>
        <v>32</v>
      </c>
      <c r="T38">
        <v>32</v>
      </c>
    </row>
    <row r="39" spans="1:20" x14ac:dyDescent="0.25">
      <c r="A39" s="12">
        <v>1</v>
      </c>
      <c r="B39" s="9">
        <v>10.7</v>
      </c>
      <c r="C39" s="9">
        <v>10.8</v>
      </c>
      <c r="D39" s="9">
        <f t="shared" si="11"/>
        <v>10.75</v>
      </c>
      <c r="E39" s="8">
        <f>-D39+D38</f>
        <v>0.65000000000000036</v>
      </c>
      <c r="F39" s="8">
        <f>($P$15*$P$16*A39*1000)/(E39*0.01)</f>
        <v>0.36994461538461515</v>
      </c>
      <c r="G39" s="9">
        <v>16.100000000000001</v>
      </c>
      <c r="H39" s="9">
        <v>16.2</v>
      </c>
      <c r="I39" s="8">
        <f t="shared" si="12"/>
        <v>42.05</v>
      </c>
      <c r="J39" s="8">
        <f>I39-I38</f>
        <v>0.75</v>
      </c>
      <c r="K39" s="8">
        <f>($P$15*$P$16*A39*1000)/(J39*0.01)</f>
        <v>0.32061866666666666</v>
      </c>
      <c r="L39" s="40"/>
      <c r="M39" s="41"/>
      <c r="P39" s="9">
        <v>6.8</v>
      </c>
      <c r="Q39" s="9">
        <v>6.9</v>
      </c>
      <c r="R39" s="9">
        <f t="shared" si="13"/>
        <v>32.699999999999996</v>
      </c>
      <c r="S39" s="9">
        <f t="shared" si="14"/>
        <v>32.799999999999997</v>
      </c>
      <c r="T39">
        <v>32.75</v>
      </c>
    </row>
    <row r="40" spans="1:20" x14ac:dyDescent="0.25">
      <c r="A40" s="12">
        <v>2</v>
      </c>
      <c r="B40" s="9">
        <v>10.1</v>
      </c>
      <c r="C40" s="9">
        <v>10.1</v>
      </c>
      <c r="D40" s="9">
        <f t="shared" si="11"/>
        <v>10.1</v>
      </c>
      <c r="E40" s="8">
        <f>D38-D40</f>
        <v>1.3000000000000007</v>
      </c>
      <c r="F40" s="8">
        <f>($P$15*$P$16*A40*1000)/(E40*0.01)</f>
        <v>0.36994461538461515</v>
      </c>
      <c r="G40" s="9">
        <v>16.8</v>
      </c>
      <c r="H40" s="9"/>
      <c r="I40" s="8">
        <f>$P$2+AVERAGE(G40:G40)</f>
        <v>42.7</v>
      </c>
      <c r="J40" s="8">
        <f>I40-I38</f>
        <v>1.4000000000000057</v>
      </c>
      <c r="K40" s="8">
        <f>($P$15*$P$16*A40*1000)/(J40*0.01)</f>
        <v>0.3435199999999986</v>
      </c>
      <c r="L40" s="40"/>
      <c r="M40" s="41"/>
      <c r="P40" s="9">
        <v>7.6</v>
      </c>
      <c r="Q40" s="9">
        <v>7.6</v>
      </c>
      <c r="R40" s="9">
        <f t="shared" si="13"/>
        <v>33.5</v>
      </c>
      <c r="S40" s="9">
        <f t="shared" si="14"/>
        <v>33.5</v>
      </c>
      <c r="T40">
        <v>33.5</v>
      </c>
    </row>
    <row r="41" spans="1:20" x14ac:dyDescent="0.25">
      <c r="A41" s="12">
        <v>0</v>
      </c>
      <c r="B41" s="9">
        <v>9.1</v>
      </c>
      <c r="C41" s="9">
        <v>9.1</v>
      </c>
      <c r="D41" s="9">
        <f t="shared" si="11"/>
        <v>9.1</v>
      </c>
      <c r="E41" s="8"/>
      <c r="F41" s="8"/>
      <c r="G41" s="9">
        <v>17.8</v>
      </c>
      <c r="H41" s="9"/>
      <c r="I41" s="8">
        <f t="shared" ref="I41:I42" si="15">$P$2+AVERAGE(G41:H41)</f>
        <v>43.7</v>
      </c>
      <c r="J41" s="8"/>
      <c r="K41" s="8"/>
      <c r="L41" s="40"/>
      <c r="M41" s="41"/>
      <c r="P41" s="9">
        <v>8.5</v>
      </c>
      <c r="Q41" s="9">
        <v>8.5</v>
      </c>
      <c r="R41" s="9">
        <f t="shared" si="13"/>
        <v>34.4</v>
      </c>
      <c r="S41" s="9">
        <f t="shared" si="14"/>
        <v>34.4</v>
      </c>
      <c r="T41">
        <v>34.4</v>
      </c>
    </row>
    <row r="42" spans="1:20" x14ac:dyDescent="0.25">
      <c r="A42" s="12">
        <v>1</v>
      </c>
      <c r="B42" s="9">
        <v>8.4</v>
      </c>
      <c r="C42" s="9">
        <v>8.5</v>
      </c>
      <c r="D42" s="9">
        <f t="shared" si="11"/>
        <v>8.4499999999999993</v>
      </c>
      <c r="E42" s="8">
        <f>-D42+D41</f>
        <v>0.65000000000000036</v>
      </c>
      <c r="F42" s="8">
        <f>($P$15*$P$16*A42*1000)/(E42*0.01)</f>
        <v>0.36994461538461515</v>
      </c>
      <c r="G42" s="9">
        <v>18.399999999999999</v>
      </c>
      <c r="H42" s="9">
        <v>18.600000000000001</v>
      </c>
      <c r="I42" s="8">
        <f t="shared" si="15"/>
        <v>44.4</v>
      </c>
      <c r="J42" s="8">
        <f>I42-I41</f>
        <v>0.69999999999999574</v>
      </c>
      <c r="K42" s="8">
        <f>($P$15*$P$16*A42*1000)/(J42*0.01)</f>
        <v>0.3435200000000021</v>
      </c>
      <c r="L42" s="40"/>
      <c r="M42" s="41"/>
      <c r="P42" s="9">
        <v>9.1</v>
      </c>
      <c r="Q42" s="9">
        <v>9.3000000000000007</v>
      </c>
      <c r="R42" s="9">
        <f t="shared" si="13"/>
        <v>35</v>
      </c>
      <c r="S42" s="9">
        <f t="shared" si="14"/>
        <v>35.200000000000003</v>
      </c>
      <c r="T42">
        <v>35.099999999999994</v>
      </c>
    </row>
    <row r="43" spans="1:20" x14ac:dyDescent="0.25">
      <c r="A43" s="12">
        <v>2</v>
      </c>
      <c r="B43" s="9">
        <v>7.8</v>
      </c>
      <c r="C43" s="9">
        <v>7.8</v>
      </c>
      <c r="D43" s="9">
        <f t="shared" si="11"/>
        <v>7.8</v>
      </c>
      <c r="E43" s="8">
        <f>D41-D43</f>
        <v>1.2999999999999998</v>
      </c>
      <c r="F43" s="8">
        <f>($P$15*$P$16*A43*1000)/(E43*0.01)</f>
        <v>0.36994461538461543</v>
      </c>
      <c r="G43" s="9">
        <v>19.100000000000001</v>
      </c>
      <c r="H43" s="9"/>
      <c r="I43" s="8">
        <f>$P$2+AVERAGE(G43:G43)</f>
        <v>45</v>
      </c>
      <c r="J43" s="8">
        <f>I43-I41</f>
        <v>1.2999999999999972</v>
      </c>
      <c r="K43" s="8">
        <f>($P$15*$P$16*A43*1000)/(J43*0.01)</f>
        <v>0.3699446153846162</v>
      </c>
      <c r="L43" s="40"/>
      <c r="M43" s="41"/>
      <c r="P43" s="9">
        <v>9.8000000000000007</v>
      </c>
      <c r="Q43" s="9">
        <v>9.8000000000000007</v>
      </c>
      <c r="R43" s="9">
        <f t="shared" si="13"/>
        <v>35.700000000000003</v>
      </c>
      <c r="S43" s="9">
        <f t="shared" si="14"/>
        <v>35.700000000000003</v>
      </c>
      <c r="T43">
        <v>35.700000000000003</v>
      </c>
    </row>
    <row r="44" spans="1:20" x14ac:dyDescent="0.25">
      <c r="A44" s="12">
        <v>0</v>
      </c>
      <c r="B44" s="9">
        <v>6.8</v>
      </c>
      <c r="C44" s="9">
        <v>6.8</v>
      </c>
      <c r="D44" s="9">
        <f t="shared" si="11"/>
        <v>6.8</v>
      </c>
      <c r="E44" s="8"/>
      <c r="F44" s="8"/>
      <c r="G44" s="8"/>
      <c r="H44" s="8"/>
      <c r="I44" s="8"/>
      <c r="J44" s="8"/>
      <c r="K44" s="8"/>
      <c r="L44" s="40"/>
      <c r="M44" s="41"/>
      <c r="P44" s="9">
        <v>10.9</v>
      </c>
      <c r="Q44" s="9">
        <v>10.9</v>
      </c>
      <c r="R44" s="9">
        <f t="shared" si="13"/>
        <v>36.799999999999997</v>
      </c>
      <c r="S44" s="9">
        <f t="shared" si="14"/>
        <v>36.799999999999997</v>
      </c>
      <c r="T44">
        <v>36.799999999999997</v>
      </c>
    </row>
    <row r="45" spans="1:20" x14ac:dyDescent="0.25">
      <c r="A45" s="12">
        <v>1</v>
      </c>
      <c r="B45" s="9">
        <v>6.1</v>
      </c>
      <c r="C45" s="9">
        <v>6.2</v>
      </c>
      <c r="D45" s="9">
        <f t="shared" si="11"/>
        <v>6.15</v>
      </c>
      <c r="E45" s="8">
        <f>-D45+D44</f>
        <v>0.64999999999999947</v>
      </c>
      <c r="F45" s="8">
        <f>($P$15*$P$16*A45*1000)/(E45*0.01)</f>
        <v>0.3699446153846157</v>
      </c>
      <c r="G45" s="8"/>
      <c r="H45" s="8"/>
      <c r="I45" s="8"/>
      <c r="J45" s="8"/>
      <c r="K45" s="8"/>
      <c r="L45" s="40"/>
      <c r="M45" s="41"/>
      <c r="P45" s="9">
        <v>11.6</v>
      </c>
      <c r="Q45" s="9">
        <v>11.7</v>
      </c>
      <c r="R45" s="9">
        <f t="shared" si="13"/>
        <v>37.5</v>
      </c>
      <c r="S45" s="9">
        <f t="shared" si="14"/>
        <v>37.599999999999994</v>
      </c>
      <c r="T45">
        <v>37.549999999999997</v>
      </c>
    </row>
    <row r="46" spans="1:20" x14ac:dyDescent="0.25">
      <c r="A46" s="12">
        <v>2</v>
      </c>
      <c r="B46" s="9">
        <v>5.5</v>
      </c>
      <c r="C46" s="9"/>
      <c r="D46" s="9">
        <f>AVERAGE(B46:C46)</f>
        <v>5.5</v>
      </c>
      <c r="E46" s="8">
        <f>D44-D46</f>
        <v>1.2999999999999998</v>
      </c>
      <c r="F46" s="8">
        <f>($P$15*$P$16*A46*1000)/(E46*0.01)</f>
        <v>0.36994461538461543</v>
      </c>
      <c r="G46" s="8"/>
      <c r="H46" s="8"/>
      <c r="I46" s="8"/>
      <c r="J46" s="8"/>
      <c r="K46" s="8"/>
      <c r="L46" s="40"/>
      <c r="M46" s="41"/>
      <c r="P46" s="9">
        <v>12.2</v>
      </c>
      <c r="Q46" s="9">
        <v>12.2</v>
      </c>
      <c r="R46" s="9">
        <f t="shared" si="13"/>
        <v>38.099999999999994</v>
      </c>
      <c r="S46" s="9">
        <f t="shared" si="14"/>
        <v>38.099999999999994</v>
      </c>
      <c r="T46">
        <v>38.099999999999994</v>
      </c>
    </row>
    <row r="47" spans="1:20" x14ac:dyDescent="0.25">
      <c r="A47" s="12">
        <v>0</v>
      </c>
      <c r="B47" s="9">
        <v>4.5</v>
      </c>
      <c r="C47" s="9"/>
      <c r="D47" s="9">
        <f t="shared" si="11"/>
        <v>4.5</v>
      </c>
      <c r="E47" s="8"/>
      <c r="F47" s="8"/>
      <c r="G47" s="8"/>
      <c r="H47" s="8"/>
      <c r="I47" s="8"/>
      <c r="J47" s="8"/>
      <c r="K47" s="8"/>
      <c r="L47" s="40"/>
      <c r="M47" s="41"/>
      <c r="P47" s="9">
        <v>13.1</v>
      </c>
      <c r="Q47" s="9">
        <v>13.1</v>
      </c>
      <c r="R47" s="9">
        <f t="shared" si="13"/>
        <v>39</v>
      </c>
      <c r="S47" s="9">
        <f t="shared" si="14"/>
        <v>39</v>
      </c>
      <c r="T47">
        <v>39</v>
      </c>
    </row>
    <row r="48" spans="1:20" x14ac:dyDescent="0.25">
      <c r="A48" s="12">
        <v>1</v>
      </c>
      <c r="B48" s="9">
        <v>3.7</v>
      </c>
      <c r="C48" s="9">
        <v>3.9</v>
      </c>
      <c r="D48" s="9">
        <f t="shared" si="11"/>
        <v>3.8</v>
      </c>
      <c r="E48" s="8">
        <f>-D48+D47</f>
        <v>0.70000000000000018</v>
      </c>
      <c r="F48" s="8">
        <f>($P$15*$P$16*A48*1000)/(E48*0.01)</f>
        <v>0.34351999999999988</v>
      </c>
      <c r="G48" s="8"/>
      <c r="H48" s="8"/>
      <c r="I48" s="8"/>
      <c r="J48" s="8"/>
      <c r="K48" s="8"/>
      <c r="L48" s="40"/>
      <c r="M48" s="41"/>
      <c r="P48" s="9">
        <v>13.8</v>
      </c>
      <c r="Q48" s="9">
        <v>13.9</v>
      </c>
      <c r="R48" s="9">
        <f t="shared" si="13"/>
        <v>39.700000000000003</v>
      </c>
      <c r="S48" s="9">
        <f t="shared" si="14"/>
        <v>39.799999999999997</v>
      </c>
      <c r="T48">
        <v>39.75</v>
      </c>
    </row>
    <row r="49" spans="1:20" x14ac:dyDescent="0.25">
      <c r="A49" s="12">
        <v>2</v>
      </c>
      <c r="B49" s="9">
        <v>3.2</v>
      </c>
      <c r="C49" s="9"/>
      <c r="D49" s="9">
        <f t="shared" si="11"/>
        <v>3.2</v>
      </c>
      <c r="E49" s="8">
        <f>D47-D49</f>
        <v>1.2999999999999998</v>
      </c>
      <c r="F49" s="8">
        <f>($P$15*$P$16*A49*1000)/(E49*0.01)</f>
        <v>0.36994461538461543</v>
      </c>
      <c r="G49" s="8"/>
      <c r="H49" s="8"/>
      <c r="I49" s="8"/>
      <c r="J49" s="8"/>
      <c r="K49" s="8"/>
      <c r="L49" s="40"/>
      <c r="M49" s="41"/>
      <c r="P49" s="9">
        <v>14.6</v>
      </c>
      <c r="Q49" s="9">
        <v>14.6</v>
      </c>
      <c r="R49" s="9">
        <f t="shared" si="13"/>
        <v>40.5</v>
      </c>
      <c r="S49" s="9">
        <f t="shared" si="14"/>
        <v>40.5</v>
      </c>
      <c r="T49">
        <v>40.5</v>
      </c>
    </row>
    <row r="50" spans="1:20" x14ac:dyDescent="0.25">
      <c r="A50" s="12">
        <v>0</v>
      </c>
      <c r="B50" s="9">
        <v>2.1</v>
      </c>
      <c r="C50" s="9"/>
      <c r="D50" s="9">
        <f t="shared" si="11"/>
        <v>2.1</v>
      </c>
      <c r="E50" s="8"/>
      <c r="F50" s="8"/>
      <c r="G50" s="8"/>
      <c r="H50" s="8"/>
      <c r="I50" s="8"/>
      <c r="J50" s="8"/>
      <c r="K50" s="8"/>
      <c r="L50" s="40"/>
      <c r="M50" s="41"/>
      <c r="P50" s="9">
        <v>15.4</v>
      </c>
      <c r="Q50" s="9">
        <v>15.4</v>
      </c>
      <c r="R50" s="9">
        <f t="shared" si="13"/>
        <v>41.3</v>
      </c>
      <c r="S50" s="9">
        <f t="shared" si="14"/>
        <v>41.3</v>
      </c>
      <c r="T50">
        <v>41.3</v>
      </c>
    </row>
    <row r="51" spans="1:20" x14ac:dyDescent="0.25">
      <c r="A51" s="12">
        <v>1</v>
      </c>
      <c r="B51" s="9">
        <v>1.5</v>
      </c>
      <c r="C51" s="9">
        <v>1.3</v>
      </c>
      <c r="D51" s="9">
        <f t="shared" si="11"/>
        <v>1.4</v>
      </c>
      <c r="E51" s="8">
        <f>-D51+D50</f>
        <v>0.70000000000000018</v>
      </c>
      <c r="F51" s="8">
        <f>($P$15*$P$16*A51*1000)/(E51*0.01)</f>
        <v>0.34351999999999988</v>
      </c>
      <c r="G51" s="8"/>
      <c r="H51" s="8"/>
      <c r="I51" s="8"/>
      <c r="J51" s="8"/>
      <c r="K51" s="8"/>
      <c r="L51" s="40"/>
      <c r="M51" s="41"/>
      <c r="P51" s="9">
        <v>16.100000000000001</v>
      </c>
      <c r="Q51" s="9">
        <v>16.2</v>
      </c>
      <c r="R51" s="9">
        <f t="shared" si="13"/>
        <v>42</v>
      </c>
      <c r="S51" s="9">
        <f t="shared" si="14"/>
        <v>42.099999999999994</v>
      </c>
      <c r="T51">
        <v>42.05</v>
      </c>
    </row>
    <row r="52" spans="1:20" x14ac:dyDescent="0.25">
      <c r="A52" s="12">
        <v>2</v>
      </c>
      <c r="B52" s="9">
        <v>0.8</v>
      </c>
      <c r="C52" s="9"/>
      <c r="D52" s="9">
        <f t="shared" si="11"/>
        <v>0.8</v>
      </c>
      <c r="E52" s="8">
        <f>D50-D52</f>
        <v>1.3</v>
      </c>
      <c r="F52" s="8">
        <f>($P$15*$P$16*A52*1000)/(E52*0.01)</f>
        <v>0.36994461538461537</v>
      </c>
      <c r="G52" s="8"/>
      <c r="H52" s="8"/>
      <c r="I52" s="8"/>
      <c r="J52" s="8"/>
      <c r="K52" s="8"/>
      <c r="L52" s="40"/>
      <c r="M52" s="41"/>
      <c r="P52" s="9">
        <v>16.8</v>
      </c>
      <c r="Q52" s="9">
        <v>16.8</v>
      </c>
      <c r="R52" s="9">
        <f t="shared" si="13"/>
        <v>42.7</v>
      </c>
      <c r="S52" s="9">
        <f t="shared" si="14"/>
        <v>42.7</v>
      </c>
      <c r="T52">
        <v>42.7</v>
      </c>
    </row>
    <row r="53" spans="1:20" x14ac:dyDescent="0.25">
      <c r="D53" s="9"/>
      <c r="P53" s="9">
        <v>17.8</v>
      </c>
      <c r="Q53" s="9">
        <v>17.8</v>
      </c>
      <c r="R53" s="9">
        <f t="shared" si="13"/>
        <v>43.7</v>
      </c>
      <c r="S53" s="9">
        <f t="shared" si="14"/>
        <v>43.7</v>
      </c>
      <c r="T53">
        <v>43.7</v>
      </c>
    </row>
    <row r="54" spans="1:20" x14ac:dyDescent="0.25">
      <c r="D54" s="9"/>
      <c r="P54" s="9">
        <v>18.399999999999999</v>
      </c>
      <c r="Q54" s="9">
        <v>18.600000000000001</v>
      </c>
      <c r="R54" s="9">
        <f t="shared" si="13"/>
        <v>44.3</v>
      </c>
      <c r="S54" s="9">
        <f t="shared" si="14"/>
        <v>44.5</v>
      </c>
      <c r="T54">
        <v>44.4</v>
      </c>
    </row>
    <row r="55" spans="1:20" x14ac:dyDescent="0.25">
      <c r="D55" s="9"/>
      <c r="P55" s="9">
        <v>19.100000000000001</v>
      </c>
      <c r="Q55" s="9">
        <v>19.100000000000001</v>
      </c>
      <c r="R55" s="9">
        <f t="shared" si="13"/>
        <v>45</v>
      </c>
      <c r="S55" s="9">
        <f t="shared" si="14"/>
        <v>45</v>
      </c>
      <c r="T55">
        <v>45</v>
      </c>
    </row>
    <row r="56" spans="1:20" x14ac:dyDescent="0.25">
      <c r="D56" s="9"/>
    </row>
    <row r="57" spans="1:20" x14ac:dyDescent="0.25">
      <c r="D57" s="9"/>
    </row>
    <row r="58" spans="1:20" x14ac:dyDescent="0.25">
      <c r="D58" s="9"/>
    </row>
    <row r="59" spans="1:20" x14ac:dyDescent="0.25">
      <c r="D59" s="9"/>
    </row>
    <row r="60" spans="1:20" x14ac:dyDescent="0.25">
      <c r="D60" s="9"/>
    </row>
    <row r="61" spans="1:20" x14ac:dyDescent="0.25">
      <c r="D61" s="9"/>
    </row>
    <row r="62" spans="1:20" x14ac:dyDescent="0.25">
      <c r="D62" s="9"/>
    </row>
    <row r="63" spans="1:20" x14ac:dyDescent="0.25">
      <c r="D63" s="9"/>
    </row>
  </sheetData>
  <mergeCells count="14">
    <mergeCell ref="L20:L52"/>
    <mergeCell ref="M20:M52"/>
    <mergeCell ref="B3:E3"/>
    <mergeCell ref="F3:I3"/>
    <mergeCell ref="L3:L4"/>
    <mergeCell ref="A1:M1"/>
    <mergeCell ref="A17:M17"/>
    <mergeCell ref="A2:M2"/>
    <mergeCell ref="A18:A19"/>
    <mergeCell ref="B18:F18"/>
    <mergeCell ref="A3:A4"/>
    <mergeCell ref="J3:J4"/>
    <mergeCell ref="K3:K4"/>
    <mergeCell ref="G18:K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</vt:lpstr>
      <vt:lpstr>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gayatri padinjaroot</cp:lastModifiedBy>
  <dcterms:modified xsi:type="dcterms:W3CDTF">2024-10-11T17:24:52Z</dcterms:modified>
</cp:coreProperties>
</file>