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all notes\labs\optics\2. diffraction by ultrasonic waves\"/>
    </mc:Choice>
  </mc:AlternateContent>
  <xr:revisionPtr revIDLastSave="0" documentId="13_ncr:1_{2413B406-1E64-4D72-B610-BBC1144D316F}" xr6:coauthVersionLast="47" xr6:coauthVersionMax="47" xr10:uidLastSave="{00000000-0000-0000-0000-000000000000}"/>
  <bookViews>
    <workbookView xWindow="-108" yWindow="-108" windowWidth="23256" windowHeight="13176" xr2:uid="{2AB23C3E-82B9-42B1-A743-568FD69A486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2" i="1" l="1"/>
  <c r="E24" i="1" s="1"/>
  <c r="E25" i="1" s="1"/>
  <c r="T26" i="1"/>
  <c r="S27" i="1"/>
  <c r="S26" i="1"/>
  <c r="R27" i="1"/>
  <c r="R26" i="1"/>
  <c r="S19" i="1"/>
  <c r="S20" i="1"/>
  <c r="S21" i="1"/>
  <c r="S18" i="1"/>
  <c r="Q23" i="1"/>
  <c r="S22" i="1"/>
  <c r="Q22" i="1"/>
  <c r="R8" i="1"/>
  <c r="Q18" i="1"/>
  <c r="M21" i="1"/>
  <c r="J21" i="1"/>
  <c r="G21" i="1"/>
  <c r="D21" i="1"/>
  <c r="M20" i="1"/>
  <c r="J20" i="1"/>
  <c r="N20" i="1" s="1"/>
  <c r="P20" i="1" s="1"/>
  <c r="Q20" i="1" s="1"/>
  <c r="R20" i="1" s="1"/>
  <c r="G20" i="1"/>
  <c r="O20" i="1" s="1"/>
  <c r="D20" i="1"/>
  <c r="M19" i="1"/>
  <c r="O19" i="1" s="1"/>
  <c r="J19" i="1"/>
  <c r="N19" i="1" s="1"/>
  <c r="G19" i="1"/>
  <c r="D19" i="1"/>
  <c r="N18" i="1"/>
  <c r="M18" i="1"/>
  <c r="O18" i="1" s="1"/>
  <c r="J18" i="1"/>
  <c r="G18" i="1"/>
  <c r="D18" i="1"/>
  <c r="Q13" i="1"/>
  <c r="Q14" i="1"/>
  <c r="Q15" i="1"/>
  <c r="P13" i="1"/>
  <c r="P14" i="1"/>
  <c r="P15" i="1"/>
  <c r="P12" i="1"/>
  <c r="Q12" i="1" s="1"/>
  <c r="Q4" i="1"/>
  <c r="O4" i="1"/>
  <c r="P4" i="1"/>
  <c r="R5" i="1"/>
  <c r="G7" i="1"/>
  <c r="D7" i="1"/>
  <c r="G6" i="1"/>
  <c r="D6" i="1"/>
  <c r="G5" i="1"/>
  <c r="D5" i="1"/>
  <c r="G4" i="1"/>
  <c r="D4" i="1"/>
  <c r="O15" i="1"/>
  <c r="O14" i="1"/>
  <c r="O13" i="1"/>
  <c r="O12" i="1"/>
  <c r="M15" i="1"/>
  <c r="J15" i="1"/>
  <c r="G15" i="1"/>
  <c r="D15" i="1"/>
  <c r="N15" i="1" s="1"/>
  <c r="M14" i="1"/>
  <c r="J14" i="1"/>
  <c r="G14" i="1"/>
  <c r="D14" i="1"/>
  <c r="N14" i="1" s="1"/>
  <c r="M13" i="1"/>
  <c r="J13" i="1"/>
  <c r="G13" i="1"/>
  <c r="D13" i="1"/>
  <c r="N13" i="1" s="1"/>
  <c r="M12" i="1"/>
  <c r="J12" i="1"/>
  <c r="G12" i="1"/>
  <c r="D12" i="1"/>
  <c r="N12" i="1" s="1"/>
  <c r="J5" i="1"/>
  <c r="J6" i="1"/>
  <c r="N6" i="1" s="1"/>
  <c r="J7" i="1"/>
  <c r="N7" i="1" s="1"/>
  <c r="M5" i="1"/>
  <c r="O5" i="1" s="1"/>
  <c r="M6" i="1"/>
  <c r="M7" i="1"/>
  <c r="M4" i="1"/>
  <c r="J4" i="1"/>
  <c r="N4" i="1" s="1"/>
  <c r="T21" i="1" l="1"/>
  <c r="N21" i="1"/>
  <c r="P19" i="1"/>
  <c r="Q19" i="1" s="1"/>
  <c r="R19" i="1" s="1"/>
  <c r="O21" i="1"/>
  <c r="P18" i="1"/>
  <c r="R18" i="1" s="1"/>
  <c r="R13" i="1"/>
  <c r="R15" i="1"/>
  <c r="R14" i="1"/>
  <c r="R12" i="1"/>
  <c r="N5" i="1"/>
  <c r="P5" i="1" s="1"/>
  <c r="Q5" i="1" s="1"/>
  <c r="O7" i="1"/>
  <c r="P7" i="1" s="1"/>
  <c r="Q7" i="1" s="1"/>
  <c r="R7" i="1" s="1"/>
  <c r="O6" i="1"/>
  <c r="P21" i="1" l="1"/>
  <c r="Q21" i="1" s="1"/>
  <c r="R21" i="1" s="1"/>
  <c r="S16" i="1"/>
  <c r="R16" i="1"/>
  <c r="R4" i="1"/>
  <c r="P6" i="1"/>
  <c r="Q6" i="1" s="1"/>
  <c r="R6" i="1" s="1"/>
  <c r="S8" i="1" l="1"/>
  <c r="F24" i="1" l="1"/>
  <c r="H24" i="1" l="1"/>
  <c r="H25" i="1" s="1"/>
  <c r="I24" i="1"/>
  <c r="I25" i="1" s="1"/>
</calcChain>
</file>

<file path=xl/sharedStrings.xml><?xml version="1.0" encoding="utf-8"?>
<sst xmlns="http://schemas.openxmlformats.org/spreadsheetml/2006/main" count="33" uniqueCount="21">
  <si>
    <t>order</t>
  </si>
  <si>
    <t>Left Side ($^\circ$)</t>
  </si>
  <si>
    <t>Right Side ($^\circ$)</t>
  </si>
  <si>
    <t>$2\theta$ from V1 (deg)</t>
  </si>
  <si>
    <t>$2\theta$ from V2 (deg)</t>
  </si>
  <si>
    <t>Average $\theta$ (deg)</t>
  </si>
  <si>
    <t>Vernier 1</t>
  </si>
  <si>
    <t>Vernier 2</t>
  </si>
  <si>
    <t>MSR</t>
  </si>
  <si>
    <t>VSR</t>
  </si>
  <si>
    <t>Total</t>
  </si>
  <si>
    <t>f</t>
  </si>
  <si>
    <t>MHz</t>
  </si>
  <si>
    <t>\lambda_u (m)</t>
  </si>
  <si>
    <t>V_u (m/s)</t>
  </si>
  <si>
    <t>bulk modulus E</t>
  </si>
  <si>
    <t>rho</t>
  </si>
  <si>
    <t>compressibility</t>
  </si>
  <si>
    <t>Gpa</t>
  </si>
  <si>
    <t>errors</t>
  </si>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</sst>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4" xfId="0" applyBorder="1"/>
    <xf numFmtId="0" fontId="0" fillId="0" borderId="5" xfId="0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 wrapText="1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C718D-0FF5-4943-B823-E53930793FD5}">
  <dimension ref="A1:T27"/>
  <sheetViews>
    <sheetView tabSelected="1" workbookViewId="0">
      <selection activeCell="R22" sqref="R22"/>
    </sheetView>
  </sheetViews>
  <sheetFormatPr defaultRowHeight="14.4" x14ac:dyDescent="0.3"/>
  <cols>
    <col min="4" max="4" width="11.5546875" bestFit="1" customWidth="1"/>
    <col min="5" max="5" width="12" bestFit="1" customWidth="1"/>
    <col min="8" max="9" width="12" bestFit="1" customWidth="1"/>
    <col min="15" max="15" width="12.21875" bestFit="1" customWidth="1"/>
    <col min="17" max="17" width="12.88671875" bestFit="1" customWidth="1"/>
  </cols>
  <sheetData>
    <row r="1" spans="1:19" x14ac:dyDescent="0.3">
      <c r="A1" s="15" t="s">
        <v>0</v>
      </c>
      <c r="B1" s="18" t="s">
        <v>1</v>
      </c>
      <c r="C1" s="18"/>
      <c r="D1" s="18"/>
      <c r="E1" s="18"/>
      <c r="F1" s="18"/>
      <c r="G1" s="18"/>
      <c r="H1" s="18" t="s">
        <v>2</v>
      </c>
      <c r="I1" s="18"/>
      <c r="J1" s="18"/>
      <c r="K1" s="18"/>
      <c r="L1" s="18"/>
      <c r="M1" s="18"/>
      <c r="N1" s="18" t="s">
        <v>3</v>
      </c>
      <c r="O1" s="18" t="s">
        <v>4</v>
      </c>
      <c r="P1" s="18" t="s">
        <v>5</v>
      </c>
      <c r="Q1" s="16" t="s">
        <v>13</v>
      </c>
      <c r="R1" s="17" t="s">
        <v>14</v>
      </c>
    </row>
    <row r="2" spans="1:19" x14ac:dyDescent="0.3">
      <c r="A2" s="15"/>
      <c r="B2" s="18" t="s">
        <v>6</v>
      </c>
      <c r="C2" s="18"/>
      <c r="D2" s="18"/>
      <c r="E2" s="18" t="s">
        <v>7</v>
      </c>
      <c r="F2" s="18"/>
      <c r="G2" s="18"/>
      <c r="H2" s="18" t="s">
        <v>6</v>
      </c>
      <c r="I2" s="18"/>
      <c r="J2" s="18"/>
      <c r="K2" s="18" t="s">
        <v>7</v>
      </c>
      <c r="L2" s="18"/>
      <c r="M2" s="18"/>
      <c r="N2" s="18"/>
      <c r="O2" s="18"/>
      <c r="P2" s="18"/>
      <c r="Q2" s="16"/>
      <c r="R2" s="17"/>
    </row>
    <row r="3" spans="1:19" x14ac:dyDescent="0.3">
      <c r="A3" s="15"/>
      <c r="B3" s="1" t="s">
        <v>8</v>
      </c>
      <c r="C3" s="1" t="s">
        <v>9</v>
      </c>
      <c r="D3" s="1" t="s">
        <v>10</v>
      </c>
      <c r="E3" s="1" t="s">
        <v>8</v>
      </c>
      <c r="F3" s="1" t="s">
        <v>9</v>
      </c>
      <c r="G3" s="1" t="s">
        <v>10</v>
      </c>
      <c r="H3" s="1" t="s">
        <v>8</v>
      </c>
      <c r="I3" s="1" t="s">
        <v>9</v>
      </c>
      <c r="J3" s="1" t="s">
        <v>10</v>
      </c>
      <c r="K3" s="1" t="s">
        <v>8</v>
      </c>
      <c r="L3" s="1" t="s">
        <v>9</v>
      </c>
      <c r="M3" s="1" t="s">
        <v>10</v>
      </c>
      <c r="N3" s="18"/>
      <c r="O3" s="18"/>
      <c r="P3" s="18"/>
      <c r="Q3" s="16"/>
      <c r="R3" s="17"/>
    </row>
    <row r="4" spans="1:19" x14ac:dyDescent="0.3">
      <c r="A4">
        <v>2</v>
      </c>
      <c r="B4" s="2">
        <v>92.5</v>
      </c>
      <c r="C4" s="2">
        <v>14</v>
      </c>
      <c r="D4" s="4">
        <f>B4+C4/60</f>
        <v>92.733333333333334</v>
      </c>
      <c r="E4" s="2">
        <v>272.5</v>
      </c>
      <c r="F4" s="2">
        <v>5</v>
      </c>
      <c r="G4" s="5">
        <f>E4+F4/60</f>
        <v>272.58333333333331</v>
      </c>
      <c r="H4" s="2">
        <v>92.5</v>
      </c>
      <c r="I4" s="2">
        <v>29</v>
      </c>
      <c r="J4" s="4">
        <f>H4+I4/60</f>
        <v>92.983333333333334</v>
      </c>
      <c r="K4" s="2">
        <v>272.5</v>
      </c>
      <c r="L4" s="2">
        <v>16</v>
      </c>
      <c r="M4" s="5">
        <f>K4+L4/60</f>
        <v>272.76666666666665</v>
      </c>
      <c r="N4" s="3">
        <f>-D4+J4</f>
        <v>0.25</v>
      </c>
      <c r="O4" s="2">
        <f>-G4+M4</f>
        <v>0.18333333333333712</v>
      </c>
      <c r="P4" s="3">
        <f>AVERAGE(N4:O4)</f>
        <v>0.21666666666666856</v>
      </c>
      <c r="Q4">
        <f>(0.000000589*A4)/SIN(RADIANS(P4))</f>
        <v>3.1151348828988094E-4</v>
      </c>
      <c r="R4">
        <f>$B$9*1000000*Q4</f>
        <v>1236.4281863713663</v>
      </c>
    </row>
    <row r="5" spans="1:19" x14ac:dyDescent="0.3">
      <c r="A5">
        <v>1</v>
      </c>
      <c r="B5" s="2">
        <v>92.5</v>
      </c>
      <c r="C5" s="2">
        <v>22</v>
      </c>
      <c r="D5" s="4">
        <f t="shared" ref="D5:D7" si="0">B5+C5/60</f>
        <v>92.86666666666666</v>
      </c>
      <c r="E5" s="2">
        <v>272.5</v>
      </c>
      <c r="F5" s="2">
        <v>12</v>
      </c>
      <c r="G5" s="5">
        <f t="shared" ref="G5:G7" si="1">E5+F5/60</f>
        <v>272.7</v>
      </c>
      <c r="H5" s="2">
        <v>93</v>
      </c>
      <c r="I5" s="2">
        <v>2</v>
      </c>
      <c r="J5" s="4">
        <f t="shared" ref="J5:J7" si="2">H5+I5/60</f>
        <v>93.033333333333331</v>
      </c>
      <c r="K5" s="2">
        <v>272.5</v>
      </c>
      <c r="L5" s="2">
        <v>21</v>
      </c>
      <c r="M5" s="5">
        <f t="shared" ref="M5:M7" si="3">K5+L5/60</f>
        <v>272.85000000000002</v>
      </c>
      <c r="N5" s="3">
        <f t="shared" ref="N5:N7" si="4">-D5+J5</f>
        <v>0.1666666666666714</v>
      </c>
      <c r="O5" s="2">
        <f>-G5+M5</f>
        <v>0.15000000000003411</v>
      </c>
      <c r="P5" s="2">
        <f t="shared" ref="P5:P7" si="5">AVERAGE(N5:O5)</f>
        <v>0.15833333333335275</v>
      </c>
      <c r="Q5">
        <f>(0.000000589*A5)/SIN(RADIANS(P5))</f>
        <v>2.1314057106637706E-4</v>
      </c>
      <c r="R5">
        <f>$B$9*1000000*Q5</f>
        <v>845.97624061955719</v>
      </c>
    </row>
    <row r="6" spans="1:19" x14ac:dyDescent="0.3">
      <c r="A6">
        <v>2</v>
      </c>
      <c r="B6" s="2">
        <v>92.5</v>
      </c>
      <c r="C6" s="2">
        <v>13</v>
      </c>
      <c r="D6" s="4">
        <f t="shared" si="0"/>
        <v>92.716666666666669</v>
      </c>
      <c r="E6" s="2">
        <v>272.5</v>
      </c>
      <c r="F6" s="2">
        <v>9</v>
      </c>
      <c r="G6" s="5">
        <f t="shared" si="1"/>
        <v>272.64999999999998</v>
      </c>
      <c r="H6" s="2">
        <v>92.5</v>
      </c>
      <c r="I6" s="2">
        <v>28</v>
      </c>
      <c r="J6" s="4">
        <f t="shared" si="2"/>
        <v>92.966666666666669</v>
      </c>
      <c r="K6" s="2">
        <v>273</v>
      </c>
      <c r="L6" s="2">
        <v>4</v>
      </c>
      <c r="M6" s="5">
        <f t="shared" si="3"/>
        <v>273.06666666666666</v>
      </c>
      <c r="N6" s="3">
        <f>-D6+J6</f>
        <v>0.25</v>
      </c>
      <c r="O6" s="2">
        <f t="shared" ref="O6:O7" si="6">-G6+M6</f>
        <v>0.41666666666668561</v>
      </c>
      <c r="P6" s="2">
        <f t="shared" si="5"/>
        <v>0.33333333333334281</v>
      </c>
      <c r="Q6">
        <f>(0.000000589*A6)/SIN(RADIANS(P6))</f>
        <v>2.0248442702477018E-4</v>
      </c>
      <c r="R6">
        <f t="shared" ref="R6:R7" si="7">$B$9*1000000*Q6</f>
        <v>803.68093930401528</v>
      </c>
    </row>
    <row r="7" spans="1:19" x14ac:dyDescent="0.3">
      <c r="A7">
        <v>1</v>
      </c>
      <c r="B7" s="2">
        <v>92.5</v>
      </c>
      <c r="C7" s="2">
        <v>24</v>
      </c>
      <c r="D7" s="4">
        <f t="shared" si="0"/>
        <v>92.9</v>
      </c>
      <c r="E7" s="2">
        <v>272.5</v>
      </c>
      <c r="F7" s="2">
        <v>14</v>
      </c>
      <c r="G7" s="5">
        <f t="shared" si="1"/>
        <v>272.73333333333335</v>
      </c>
      <c r="H7" s="2">
        <v>93</v>
      </c>
      <c r="I7" s="2">
        <v>1</v>
      </c>
      <c r="J7" s="4">
        <f t="shared" si="2"/>
        <v>93.016666666666666</v>
      </c>
      <c r="K7" s="2">
        <v>272.5</v>
      </c>
      <c r="L7" s="2">
        <v>21</v>
      </c>
      <c r="M7" s="5">
        <f t="shared" si="3"/>
        <v>272.85000000000002</v>
      </c>
      <c r="N7" s="3">
        <f t="shared" si="4"/>
        <v>0.11666666666666003</v>
      </c>
      <c r="O7" s="2">
        <f t="shared" si="6"/>
        <v>0.11666666666667425</v>
      </c>
      <c r="P7" s="2">
        <f t="shared" si="5"/>
        <v>0.11666666666666714</v>
      </c>
      <c r="Q7">
        <f t="shared" ref="Q7" si="8">(0.000000589*A7)/SIN(RADIANS(P7))</f>
        <v>2.8926203531625186E-4</v>
      </c>
      <c r="R7">
        <f t="shared" si="7"/>
        <v>1148.1099443737353</v>
      </c>
    </row>
    <row r="8" spans="1:19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R8">
        <f>AVERAGE(R4:R7)</f>
        <v>1008.5488276671686</v>
      </c>
      <c r="S8">
        <f>_xlfn.STDEV.P(R4:R7)</f>
        <v>186.95387476697985</v>
      </c>
    </row>
    <row r="9" spans="1:19" x14ac:dyDescent="0.3">
      <c r="A9" t="s">
        <v>11</v>
      </c>
      <c r="B9" s="2">
        <v>3.9691000000000001</v>
      </c>
      <c r="C9" s="2" t="s">
        <v>12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9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9" x14ac:dyDescent="0.3">
      <c r="A11" t="s">
        <v>20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9" x14ac:dyDescent="0.3">
      <c r="A12">
        <v>2</v>
      </c>
      <c r="B12" s="2">
        <v>92.5</v>
      </c>
      <c r="C12" s="2">
        <v>14</v>
      </c>
      <c r="D12" s="4">
        <f>B12+C12/60</f>
        <v>92.733333333333334</v>
      </c>
      <c r="E12" s="2">
        <v>272.5</v>
      </c>
      <c r="F12" s="2">
        <v>5</v>
      </c>
      <c r="G12" s="5">
        <f>E12+F12/60</f>
        <v>272.58333333333331</v>
      </c>
      <c r="H12" s="2">
        <v>93</v>
      </c>
      <c r="I12" s="2">
        <v>2</v>
      </c>
      <c r="J12" s="4">
        <f>H12+I12/60</f>
        <v>93.033333333333331</v>
      </c>
      <c r="K12" s="2">
        <v>272.5</v>
      </c>
      <c r="L12" s="2">
        <v>26</v>
      </c>
      <c r="M12" s="5">
        <f>K12+L12/60</f>
        <v>272.93333333333334</v>
      </c>
      <c r="N12" s="3">
        <f>-D12+J12</f>
        <v>0.29999999999999716</v>
      </c>
      <c r="O12" s="2">
        <f>-G12+M12</f>
        <v>0.35000000000002274</v>
      </c>
      <c r="P12" s="2">
        <f>AVERAGE(N12:O12)/2</f>
        <v>0.16250000000000497</v>
      </c>
      <c r="Q12">
        <f>(0.000000589*A12)/SIN(RADIANS(P12))</f>
        <v>4.1535088462656155E-4</v>
      </c>
      <c r="R12">
        <f>$B$9*1000000*Q12</f>
        <v>1648.5691961712855</v>
      </c>
    </row>
    <row r="13" spans="1:19" x14ac:dyDescent="0.3">
      <c r="A13">
        <v>1</v>
      </c>
      <c r="B13" s="2">
        <v>92.5</v>
      </c>
      <c r="C13" s="2">
        <v>22</v>
      </c>
      <c r="D13" s="4">
        <f t="shared" ref="D13:D15" si="9">B13+C13/60</f>
        <v>92.86666666666666</v>
      </c>
      <c r="E13" s="2">
        <v>272.5</v>
      </c>
      <c r="F13" s="2">
        <v>12</v>
      </c>
      <c r="G13" s="5">
        <f t="shared" ref="G13:G15" si="10">E13+F13/60</f>
        <v>272.7</v>
      </c>
      <c r="H13" s="2">
        <v>93</v>
      </c>
      <c r="I13" s="2">
        <v>9</v>
      </c>
      <c r="J13" s="4">
        <f t="shared" ref="J13:J15" si="11">H13+I13/60</f>
        <v>93.15</v>
      </c>
      <c r="K13" s="2">
        <v>273</v>
      </c>
      <c r="L13" s="2">
        <v>4</v>
      </c>
      <c r="M13" s="5">
        <f t="shared" ref="M13:M15" si="12">K13+L13/60</f>
        <v>273.06666666666666</v>
      </c>
      <c r="N13" s="3">
        <f t="shared" ref="N13" si="13">-D13+J13</f>
        <v>0.28333333333334565</v>
      </c>
      <c r="O13" s="2">
        <f>-G13+M13</f>
        <v>0.36666666666667425</v>
      </c>
      <c r="P13" s="2">
        <f t="shared" ref="P13:P15" si="14">AVERAGE(N13:O13)/2</f>
        <v>0.16250000000000497</v>
      </c>
      <c r="Q13">
        <f t="shared" ref="Q13:Q15" si="15">(0.000000589*A13)/SIN(RADIANS(P13))</f>
        <v>2.0767544231328078E-4</v>
      </c>
      <c r="R13">
        <f t="shared" ref="R13:R15" si="16">$B$9*1000000*Q13</f>
        <v>824.28459808564276</v>
      </c>
    </row>
    <row r="14" spans="1:19" x14ac:dyDescent="0.3">
      <c r="A14">
        <v>2</v>
      </c>
      <c r="B14" s="2">
        <v>92.5</v>
      </c>
      <c r="C14" s="2">
        <v>13</v>
      </c>
      <c r="D14" s="4">
        <f t="shared" si="9"/>
        <v>92.716666666666669</v>
      </c>
      <c r="E14" s="2">
        <v>272.5</v>
      </c>
      <c r="F14" s="2">
        <v>9</v>
      </c>
      <c r="G14" s="5">
        <f t="shared" si="10"/>
        <v>272.64999999999998</v>
      </c>
      <c r="H14" s="2">
        <v>93</v>
      </c>
      <c r="I14" s="2">
        <v>8</v>
      </c>
      <c r="J14" s="4">
        <f t="shared" si="11"/>
        <v>93.13333333333334</v>
      </c>
      <c r="K14" s="2">
        <v>273</v>
      </c>
      <c r="L14" s="2">
        <v>4</v>
      </c>
      <c r="M14" s="5">
        <f t="shared" si="12"/>
        <v>273.06666666666666</v>
      </c>
      <c r="N14" s="3">
        <f>-D14+J14</f>
        <v>0.4166666666666714</v>
      </c>
      <c r="O14" s="2">
        <f t="shared" ref="O14:O15" si="17">-G14+M14</f>
        <v>0.41666666666668561</v>
      </c>
      <c r="P14" s="2">
        <f t="shared" si="14"/>
        <v>0.20833333333333925</v>
      </c>
      <c r="Q14">
        <f t="shared" si="15"/>
        <v>3.239739695680101E-4</v>
      </c>
      <c r="R14">
        <f t="shared" si="16"/>
        <v>1285.8850826123889</v>
      </c>
    </row>
    <row r="15" spans="1:19" x14ac:dyDescent="0.3">
      <c r="A15">
        <v>1</v>
      </c>
      <c r="B15" s="2">
        <v>92.5</v>
      </c>
      <c r="C15" s="2">
        <v>24</v>
      </c>
      <c r="D15" s="4">
        <f t="shared" si="9"/>
        <v>92.9</v>
      </c>
      <c r="E15" s="2">
        <v>272.5</v>
      </c>
      <c r="F15" s="2">
        <v>14</v>
      </c>
      <c r="G15" s="5">
        <f t="shared" si="10"/>
        <v>272.73333333333335</v>
      </c>
      <c r="H15" s="2">
        <v>93</v>
      </c>
      <c r="I15" s="2">
        <v>1</v>
      </c>
      <c r="J15" s="4">
        <f t="shared" si="11"/>
        <v>93.016666666666666</v>
      </c>
      <c r="K15" s="2">
        <v>272.5</v>
      </c>
      <c r="L15" s="2">
        <v>27</v>
      </c>
      <c r="M15" s="5">
        <f t="shared" si="12"/>
        <v>272.95</v>
      </c>
      <c r="N15" s="3">
        <f t="shared" ref="N15" si="18">-D15+J15</f>
        <v>0.11666666666666003</v>
      </c>
      <c r="O15" s="2">
        <f t="shared" si="17"/>
        <v>0.21666666666664014</v>
      </c>
      <c r="P15" s="2">
        <f t="shared" si="14"/>
        <v>8.3333333333325044E-2</v>
      </c>
      <c r="Q15">
        <f t="shared" si="15"/>
        <v>4.0496671237617046E-4</v>
      </c>
      <c r="R15">
        <f t="shared" si="16"/>
        <v>1607.3533780922583</v>
      </c>
    </row>
    <row r="16" spans="1:19" x14ac:dyDescent="0.3">
      <c r="N16" s="2"/>
      <c r="O16" s="2"/>
      <c r="P16" s="2"/>
      <c r="R16">
        <f>AVERAGE(R12:R15)</f>
        <v>1341.5230637403938</v>
      </c>
      <c r="S16">
        <f>_xlfn.STDEV.P(R12:R15)</f>
        <v>329.99026454050949</v>
      </c>
    </row>
    <row r="17" spans="1:20" x14ac:dyDescent="0.3">
      <c r="A17" t="s">
        <v>20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20" x14ac:dyDescent="0.3">
      <c r="A18">
        <v>2</v>
      </c>
      <c r="B18" s="2">
        <v>92.5</v>
      </c>
      <c r="C18" s="2">
        <v>14</v>
      </c>
      <c r="D18" s="4">
        <f>B18+C18/60</f>
        <v>92.733333333333334</v>
      </c>
      <c r="E18" s="2">
        <v>272.5</v>
      </c>
      <c r="F18" s="2">
        <v>5</v>
      </c>
      <c r="G18" s="5">
        <f>E18+F18/60</f>
        <v>272.58333333333331</v>
      </c>
      <c r="H18" s="19">
        <v>93</v>
      </c>
      <c r="I18" s="19">
        <v>2</v>
      </c>
      <c r="J18" s="4">
        <f>H18+I18/60</f>
        <v>93.033333333333331</v>
      </c>
      <c r="K18" s="2">
        <v>272.5</v>
      </c>
      <c r="L18" s="2">
        <v>26</v>
      </c>
      <c r="M18" s="5">
        <f>K18+L18/60</f>
        <v>272.93333333333334</v>
      </c>
      <c r="N18" s="3">
        <f>-D18+J18</f>
        <v>0.29999999999999716</v>
      </c>
      <c r="O18" s="2">
        <f>-G18+M18</f>
        <v>0.35000000000002274</v>
      </c>
      <c r="P18" s="2">
        <f>AVERAGE(N18:O18)/2</f>
        <v>0.16250000000000497</v>
      </c>
      <c r="Q18">
        <f>(0.000000589*A18)/SIN(RADIANS(P18))</f>
        <v>4.1535088462656155E-4</v>
      </c>
      <c r="R18">
        <f>$B$9*1000000*Q18</f>
        <v>1648.5691961712855</v>
      </c>
      <c r="S18">
        <f>((Q18-$Q$22)*1000)^2</f>
        <v>5.8262259736318071E-3</v>
      </c>
    </row>
    <row r="19" spans="1:20" x14ac:dyDescent="0.3">
      <c r="A19">
        <v>1</v>
      </c>
      <c r="B19" s="2">
        <v>92.5</v>
      </c>
      <c r="C19" s="2">
        <v>22</v>
      </c>
      <c r="D19" s="4">
        <f t="shared" ref="D19:D21" si="19">B19+C19/60</f>
        <v>92.86666666666666</v>
      </c>
      <c r="E19" s="2">
        <v>272.5</v>
      </c>
      <c r="F19" s="2">
        <v>12</v>
      </c>
      <c r="G19" s="5">
        <f t="shared" ref="G19:G21" si="20">E19+F19/60</f>
        <v>272.7</v>
      </c>
      <c r="H19" s="2">
        <v>93</v>
      </c>
      <c r="I19" s="2">
        <v>9</v>
      </c>
      <c r="J19" s="4">
        <f t="shared" ref="J19:J21" si="21">H19+I19/60</f>
        <v>93.15</v>
      </c>
      <c r="K19" s="19">
        <v>272.5</v>
      </c>
      <c r="L19" s="19">
        <v>24</v>
      </c>
      <c r="M19" s="5">
        <f t="shared" ref="M19:M21" si="22">K19+L19/60</f>
        <v>272.89999999999998</v>
      </c>
      <c r="N19" s="3">
        <f t="shared" ref="N19" si="23">-D19+J19</f>
        <v>0.28333333333334565</v>
      </c>
      <c r="O19" s="2">
        <f>-G19+M19</f>
        <v>0.19999999999998863</v>
      </c>
      <c r="P19" s="2">
        <f t="shared" ref="P19:P21" si="24">AVERAGE(N19:O19)/2</f>
        <v>0.12083333333333357</v>
      </c>
      <c r="Q19">
        <f t="shared" ref="Q19:Q21" si="25">(0.000000589*A19)/SIN(RADIANS(P19))</f>
        <v>2.7928749640592138E-4</v>
      </c>
      <c r="R19">
        <f t="shared" ref="R19:R21" si="26">$B$9*1000000*Q19</f>
        <v>1108.5200019847425</v>
      </c>
      <c r="S19">
        <f t="shared" ref="S19:S21" si="27">((Q19-$Q$22)*1000)^2</f>
        <v>3.5681112612454525E-3</v>
      </c>
    </row>
    <row r="20" spans="1:20" x14ac:dyDescent="0.3">
      <c r="A20">
        <v>2</v>
      </c>
      <c r="B20" s="2">
        <v>92.5</v>
      </c>
      <c r="C20" s="2">
        <v>13</v>
      </c>
      <c r="D20" s="4">
        <f t="shared" si="19"/>
        <v>92.716666666666669</v>
      </c>
      <c r="E20" s="2">
        <v>272.5</v>
      </c>
      <c r="F20" s="2">
        <v>9</v>
      </c>
      <c r="G20" s="5">
        <f t="shared" si="20"/>
        <v>272.64999999999998</v>
      </c>
      <c r="H20" s="2">
        <v>93</v>
      </c>
      <c r="I20" s="2">
        <v>8</v>
      </c>
      <c r="J20" s="4">
        <f t="shared" si="21"/>
        <v>93.13333333333334</v>
      </c>
      <c r="K20" s="2">
        <v>273</v>
      </c>
      <c r="L20" s="2">
        <v>4</v>
      </c>
      <c r="M20" s="5">
        <f t="shared" si="22"/>
        <v>273.06666666666666</v>
      </c>
      <c r="N20" s="3">
        <f>-D20+J20</f>
        <v>0.4166666666666714</v>
      </c>
      <c r="O20" s="2">
        <f t="shared" ref="O20:O21" si="28">-G20+M20</f>
        <v>0.41666666666668561</v>
      </c>
      <c r="P20" s="2">
        <f t="shared" si="24"/>
        <v>0.20833333333333925</v>
      </c>
      <c r="Q20">
        <f t="shared" si="25"/>
        <v>3.239739695680101E-4</v>
      </c>
      <c r="R20">
        <f t="shared" si="26"/>
        <v>1285.8850826123889</v>
      </c>
      <c r="S20">
        <f t="shared" si="27"/>
        <v>2.2641811493884467E-4</v>
      </c>
    </row>
    <row r="21" spans="1:20" x14ac:dyDescent="0.3">
      <c r="A21">
        <v>1</v>
      </c>
      <c r="B21" s="2">
        <v>92.5</v>
      </c>
      <c r="C21" s="2">
        <v>24</v>
      </c>
      <c r="D21" s="4">
        <f t="shared" si="19"/>
        <v>92.9</v>
      </c>
      <c r="E21" s="2">
        <v>272.5</v>
      </c>
      <c r="F21" s="2">
        <v>14</v>
      </c>
      <c r="G21" s="5">
        <f t="shared" si="20"/>
        <v>272.73333333333335</v>
      </c>
      <c r="H21" s="2">
        <v>93</v>
      </c>
      <c r="I21" s="2">
        <v>3</v>
      </c>
      <c r="J21" s="4">
        <f t="shared" si="21"/>
        <v>93.05</v>
      </c>
      <c r="K21" s="19">
        <v>272.5</v>
      </c>
      <c r="L21" s="19">
        <v>29</v>
      </c>
      <c r="M21" s="5">
        <f t="shared" si="22"/>
        <v>272.98333333333335</v>
      </c>
      <c r="N21" s="3">
        <f t="shared" ref="N21" si="29">-D21+J21</f>
        <v>0.14999999999999147</v>
      </c>
      <c r="O21" s="2">
        <f t="shared" si="28"/>
        <v>0.25</v>
      </c>
      <c r="P21" s="2">
        <f t="shared" si="24"/>
        <v>9.9999999999997868E-2</v>
      </c>
      <c r="Q21">
        <f t="shared" si="25"/>
        <v>3.374723126652779E-4</v>
      </c>
      <c r="R21">
        <f t="shared" si="26"/>
        <v>1339.4613561997546</v>
      </c>
      <c r="S21">
        <f t="shared" si="27"/>
        <v>2.3989460838731914E-6</v>
      </c>
      <c r="T21">
        <f>SQRT(SUM(S18:S21)/3)</f>
        <v>5.6636720408524056E-2</v>
      </c>
    </row>
    <row r="22" spans="1:20" ht="15" thickBot="1" x14ac:dyDescent="0.35">
      <c r="N22" s="2"/>
      <c r="O22" s="2"/>
      <c r="P22" s="2"/>
      <c r="Q22" s="20">
        <f>AVERAGE(Q18:Q21)</f>
        <v>3.3902116581644272E-4</v>
      </c>
      <c r="R22" s="20">
        <f>AVERAGE(R18:R21)</f>
        <v>1345.608909242043</v>
      </c>
      <c r="S22" s="20">
        <f>_xlfn.STDEV.P(R18:R21)</f>
        <v>194.67974552865371</v>
      </c>
    </row>
    <row r="23" spans="1:20" x14ac:dyDescent="0.3">
      <c r="D23" s="6" t="s">
        <v>16</v>
      </c>
      <c r="E23" s="7">
        <v>865</v>
      </c>
      <c r="F23" s="8"/>
      <c r="G23" s="8"/>
      <c r="H23" s="9" t="s">
        <v>19</v>
      </c>
      <c r="Q23">
        <f>_xlfn.STDEV.S(Q18:Q21)</f>
        <v>5.6636720408524066E-5</v>
      </c>
    </row>
    <row r="24" spans="1:20" ht="28.8" x14ac:dyDescent="0.3">
      <c r="D24" s="10" t="s">
        <v>15</v>
      </c>
      <c r="E24">
        <f>R22^2*E23</f>
        <v>1566223786.1863</v>
      </c>
      <c r="F24">
        <f>E24/1000000000</f>
        <v>1.5662237861863</v>
      </c>
      <c r="G24" t="s">
        <v>18</v>
      </c>
      <c r="H24" s="11">
        <f>F24*(2*S22/R22)</f>
        <v>0.45319564405593127</v>
      </c>
      <c r="I24" s="11">
        <f>F24*(2*T21/R22)</f>
        <v>1.3184481473949185E-4</v>
      </c>
    </row>
    <row r="25" spans="1:20" ht="15" thickBot="1" x14ac:dyDescent="0.35">
      <c r="D25" s="12" t="s">
        <v>17</v>
      </c>
      <c r="E25" s="13">
        <f>1/E24</f>
        <v>6.3847836357725411E-10</v>
      </c>
      <c r="F25" s="13"/>
      <c r="G25" s="13"/>
      <c r="H25" s="14">
        <f>E25*H24/F24</f>
        <v>1.8474729840602249E-10</v>
      </c>
      <c r="I25" s="14">
        <f>E25*I24/F24</f>
        <v>5.3747147951310634E-14</v>
      </c>
    </row>
    <row r="26" spans="1:20" x14ac:dyDescent="0.3">
      <c r="R26">
        <f>AVERAGE(R18,R20)</f>
        <v>1467.2271393918372</v>
      </c>
      <c r="S26">
        <f>R26*_xlfn.COT(RADIANS(AVERAGE(P18,P20)))*0.000291</f>
        <v>131.93580998217953</v>
      </c>
      <c r="T26">
        <f>R26-S26</f>
        <v>1335.2913294096577</v>
      </c>
    </row>
    <row r="27" spans="1:20" x14ac:dyDescent="0.3">
      <c r="R27">
        <f>AVERAGE(R19,R21)</f>
        <v>1223.9906790922487</v>
      </c>
      <c r="S27">
        <f>R27*_xlfn.COT(RADIANS(AVERAGE(P19,P21)))*0.000291</f>
        <v>184.82408384825609</v>
      </c>
    </row>
  </sheetData>
  <mergeCells count="12">
    <mergeCell ref="A1:A3"/>
    <mergeCell ref="Q1:Q3"/>
    <mergeCell ref="R1:R3"/>
    <mergeCell ref="B1:G1"/>
    <mergeCell ref="H1:M1"/>
    <mergeCell ref="N1:N3"/>
    <mergeCell ref="O1:O3"/>
    <mergeCell ref="P1:P3"/>
    <mergeCell ref="B2:D2"/>
    <mergeCell ref="E2:G2"/>
    <mergeCell ref="H2:J2"/>
    <mergeCell ref="K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gayatri padinjaroot</dc:creator>
  <cp:lastModifiedBy>gayatri padinjaroot</cp:lastModifiedBy>
  <dcterms:created xsi:type="dcterms:W3CDTF">2024-10-24T09:16:16Z</dcterms:created>
  <dcterms:modified xsi:type="dcterms:W3CDTF">2024-10-27T19:25:47Z</dcterms:modified>
</cp:coreProperties>
</file>