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optics\4. sodium d-lines\"/>
    </mc:Choice>
  </mc:AlternateContent>
  <xr:revisionPtr revIDLastSave="0" documentId="13_ncr:1_{3929E4E7-E518-42A6-ADDB-CBD632FB575E}" xr6:coauthVersionLast="47" xr6:coauthVersionMax="47" xr10:uidLastSave="{00000000-0000-0000-0000-000000000000}"/>
  <bookViews>
    <workbookView xWindow="-108" yWindow="-108" windowWidth="23256" windowHeight="13176" xr2:uid="{782C5086-2BAB-4869-B698-8B67A1653C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S11" i="1"/>
  <c r="S10" i="1"/>
  <c r="Y4" i="1"/>
  <c r="X4" i="1"/>
  <c r="X5" i="1"/>
  <c r="Y5" i="1" s="1"/>
  <c r="X6" i="1"/>
  <c r="R11" i="1" s="1"/>
  <c r="X7" i="1"/>
  <c r="B11" i="1"/>
  <c r="Y7" i="1"/>
  <c r="B10" i="1"/>
  <c r="W4" i="1"/>
  <c r="G9" i="1" s="1"/>
  <c r="G11" i="1" s="1"/>
  <c r="G10" i="1"/>
  <c r="V6" i="1"/>
  <c r="K10" i="1"/>
  <c r="N10" i="1"/>
  <c r="V5" i="1"/>
  <c r="V7" i="1"/>
  <c r="K12" i="1"/>
  <c r="T5" i="1"/>
  <c r="T6" i="1"/>
  <c r="T7" i="1"/>
  <c r="T4" i="1"/>
  <c r="R7" i="1"/>
  <c r="R6" i="1"/>
  <c r="R5" i="1"/>
  <c r="R4" i="1"/>
  <c r="N7" i="1"/>
  <c r="S7" i="1" s="1"/>
  <c r="U7" i="1" s="1"/>
  <c r="N6" i="1"/>
  <c r="S6" i="1" s="1"/>
  <c r="U6" i="1" s="1"/>
  <c r="N5" i="1"/>
  <c r="S5" i="1" s="1"/>
  <c r="U5" i="1" s="1"/>
  <c r="N4" i="1"/>
  <c r="S4" i="1" s="1"/>
  <c r="U4" i="1" s="1"/>
  <c r="J7" i="1"/>
  <c r="J6" i="1"/>
  <c r="J5" i="1"/>
  <c r="J4" i="1"/>
  <c r="F5" i="1"/>
  <c r="F6" i="1"/>
  <c r="F7" i="1"/>
  <c r="F4" i="1"/>
  <c r="Y6" i="1" l="1"/>
  <c r="R10" i="1"/>
  <c r="F9" i="1"/>
  <c r="W6" i="1"/>
  <c r="W5" i="1"/>
  <c r="W7" i="1"/>
  <c r="F10" i="1"/>
  <c r="F11" i="1" l="1"/>
</calcChain>
</file>

<file path=xl/sharedStrings.xml><?xml version="1.0" encoding="utf-8"?>
<sst xmlns="http://schemas.openxmlformats.org/spreadsheetml/2006/main" count="54" uniqueCount="31">
  <si>
    <t>m</t>
  </si>
  <si>
    <t>d2</t>
  </si>
  <si>
    <t>d1</t>
  </si>
  <si>
    <t>msr (deg)</t>
  </si>
  <si>
    <t>msr (min)</t>
  </si>
  <si>
    <t>vsr</t>
  </si>
  <si>
    <t>total</t>
  </si>
  <si>
    <t>right vernier</t>
  </si>
  <si>
    <t>left vernier</t>
  </si>
  <si>
    <t>left side</t>
  </si>
  <si>
    <t>right vernier (2 theta)</t>
  </si>
  <si>
    <t>left vernier (2 theta)</t>
  </si>
  <si>
    <t>avg theta</t>
  </si>
  <si>
    <t>lambda</t>
  </si>
  <si>
    <t xml:space="preserve">N </t>
  </si>
  <si>
    <t>avg d2</t>
  </si>
  <si>
    <t>avg d1</t>
  </si>
  <si>
    <t>nm</t>
  </si>
  <si>
    <t>delta lambda</t>
  </si>
  <si>
    <t>errors</t>
  </si>
  <si>
    <t>delta theta</t>
  </si>
  <si>
    <t>radians</t>
  </si>
  <si>
    <t>(for one lambda)</t>
  </si>
  <si>
    <t>error</t>
  </si>
  <si>
    <t>degrees</t>
  </si>
  <si>
    <t>(e+b)</t>
  </si>
  <si>
    <t>mm -1</t>
  </si>
  <si>
    <t>dispersive power</t>
  </si>
  <si>
    <t>m = 1</t>
  </si>
  <si>
    <t>m = 2</t>
  </si>
  <si>
    <t>dipersive power (rad/mm)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</si>
</sst>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8B5D-8FF8-4BCB-A217-9650626CCA5A}">
  <dimension ref="A1:Y12"/>
  <sheetViews>
    <sheetView tabSelected="1" zoomScale="85" zoomScaleNormal="85" workbookViewId="0">
      <selection activeCell="V4" sqref="V4"/>
    </sheetView>
  </sheetViews>
  <sheetFormatPr defaultRowHeight="14.4" x14ac:dyDescent="0.3"/>
  <cols>
    <col min="1" max="1" width="8.88671875" style="1"/>
    <col min="2" max="2" width="12.44140625" style="1" bestFit="1" customWidth="1"/>
    <col min="3" max="4" width="8.88671875" style="1"/>
    <col min="5" max="5" width="11.5546875" style="1" bestFit="1" customWidth="1"/>
    <col min="6" max="9" width="8.88671875" style="1"/>
    <col min="10" max="10" width="15.5546875" style="1" customWidth="1"/>
    <col min="11" max="11" width="12" style="1" bestFit="1" customWidth="1"/>
    <col min="12" max="17" width="8.88671875" style="1"/>
    <col min="18" max="18" width="8.88671875" style="1" customWidth="1"/>
    <col min="19" max="22" width="8.88671875" style="1"/>
    <col min="23" max="23" width="12.6640625" style="1" bestFit="1" customWidth="1"/>
    <col min="24" max="16384" width="8.88671875" style="1"/>
  </cols>
  <sheetData>
    <row r="1" spans="1:25" x14ac:dyDescent="0.3">
      <c r="A1" s="5" t="s">
        <v>0</v>
      </c>
      <c r="B1" s="5"/>
      <c r="C1" s="5" t="s">
        <v>9</v>
      </c>
      <c r="D1" s="5"/>
      <c r="E1" s="5"/>
      <c r="F1" s="5"/>
      <c r="G1" s="5"/>
      <c r="H1" s="5"/>
      <c r="I1" s="5"/>
      <c r="J1" s="5"/>
      <c r="K1" s="5" t="s">
        <v>9</v>
      </c>
      <c r="L1" s="5"/>
      <c r="M1" s="5"/>
      <c r="N1" s="5"/>
      <c r="O1" s="5"/>
      <c r="P1" s="5"/>
      <c r="Q1" s="5"/>
      <c r="R1" s="5"/>
      <c r="S1" s="6" t="s">
        <v>10</v>
      </c>
      <c r="T1" s="6" t="s">
        <v>11</v>
      </c>
      <c r="U1" s="6" t="s">
        <v>12</v>
      </c>
      <c r="V1" s="6" t="s">
        <v>13</v>
      </c>
      <c r="X1" s="8" t="s">
        <v>30</v>
      </c>
    </row>
    <row r="2" spans="1:25" x14ac:dyDescent="0.3">
      <c r="A2" s="5"/>
      <c r="B2" s="5"/>
      <c r="C2" s="5" t="s">
        <v>7</v>
      </c>
      <c r="D2" s="5"/>
      <c r="E2" s="5"/>
      <c r="F2" s="5"/>
      <c r="G2" s="5" t="s">
        <v>8</v>
      </c>
      <c r="H2" s="5"/>
      <c r="I2" s="5"/>
      <c r="J2" s="5"/>
      <c r="K2" s="5" t="s">
        <v>7</v>
      </c>
      <c r="L2" s="5"/>
      <c r="M2" s="5"/>
      <c r="N2" s="5"/>
      <c r="O2" s="5" t="s">
        <v>8</v>
      </c>
      <c r="P2" s="5"/>
      <c r="Q2" s="5"/>
      <c r="R2" s="5"/>
      <c r="S2" s="6"/>
      <c r="T2" s="6"/>
      <c r="U2" s="6"/>
      <c r="V2" s="6"/>
      <c r="X2" s="8"/>
    </row>
    <row r="3" spans="1:25" x14ac:dyDescent="0.3">
      <c r="A3" s="5"/>
      <c r="B3" s="5"/>
      <c r="C3" s="2" t="s">
        <v>3</v>
      </c>
      <c r="D3" s="2" t="s">
        <v>4</v>
      </c>
      <c r="E3" s="2" t="s">
        <v>5</v>
      </c>
      <c r="F3" s="2" t="s">
        <v>6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3</v>
      </c>
      <c r="P3" s="2" t="s">
        <v>4</v>
      </c>
      <c r="Q3" s="2" t="s">
        <v>5</v>
      </c>
      <c r="R3" s="2" t="s">
        <v>6</v>
      </c>
      <c r="S3" s="6"/>
      <c r="T3" s="6"/>
      <c r="U3" s="6"/>
      <c r="V3" s="6"/>
      <c r="W3" s="1" t="s">
        <v>23</v>
      </c>
      <c r="X3" s="8"/>
      <c r="Y3" s="1" t="s">
        <v>23</v>
      </c>
    </row>
    <row r="4" spans="1:25" x14ac:dyDescent="0.3">
      <c r="A4" s="2">
        <v>2</v>
      </c>
      <c r="B4" s="2" t="s">
        <v>1</v>
      </c>
      <c r="C4" s="2">
        <v>141</v>
      </c>
      <c r="D4" s="2">
        <v>50</v>
      </c>
      <c r="E4" s="2">
        <v>54</v>
      </c>
      <c r="F4" s="3">
        <f>C4+(D4/60)+(E4*10/3600)</f>
        <v>141.98333333333335</v>
      </c>
      <c r="G4" s="2">
        <v>322</v>
      </c>
      <c r="H4" s="2">
        <v>20</v>
      </c>
      <c r="I4" s="2">
        <v>59</v>
      </c>
      <c r="J4" s="3">
        <f>G4+(H4/60)+(I4*10/3600)</f>
        <v>322.49722222222221</v>
      </c>
      <c r="K4" s="2">
        <v>232</v>
      </c>
      <c r="L4" s="2">
        <v>40</v>
      </c>
      <c r="M4" s="2">
        <v>45</v>
      </c>
      <c r="N4" s="3">
        <f>K4+(L4/60)+(M4*10/3600)</f>
        <v>232.79166666666666</v>
      </c>
      <c r="O4" s="2">
        <v>53</v>
      </c>
      <c r="P4" s="2">
        <v>90</v>
      </c>
      <c r="Q4" s="2">
        <v>14</v>
      </c>
      <c r="R4" s="3">
        <f>O4+(P4/60)+(Q4*10/3600)</f>
        <v>54.538888888888891</v>
      </c>
      <c r="S4" s="3">
        <f>N4-F4</f>
        <v>90.808333333333309</v>
      </c>
      <c r="T4" s="3">
        <f>360-J4+R4</f>
        <v>92.041666666666686</v>
      </c>
      <c r="U4" s="3">
        <f>AVERAGE(S4:T4)/2</f>
        <v>45.712499999999999</v>
      </c>
      <c r="V4" s="3">
        <f>SIN(RADIANS(U4))*1000000/($B$9*A4)</f>
        <v>596.53757270730455</v>
      </c>
      <c r="W4" s="4">
        <f>COS(RADIANS(U4))*(PI()*1000*$N$10)/(18*6*A4)</f>
        <v>2.8210464886650036E-2</v>
      </c>
      <c r="X4" s="9">
        <f>A4/($B$10*1000*COS(RADIANS(U4)))</f>
        <v>1718.5597013644503</v>
      </c>
      <c r="Y4" s="4">
        <f>ABS(X4*TAN(COS(U4))*(PI()/(180*360)))</f>
        <v>1.3337481574463319E-2</v>
      </c>
    </row>
    <row r="5" spans="1:25" x14ac:dyDescent="0.3">
      <c r="A5" s="2">
        <v>2</v>
      </c>
      <c r="B5" s="2" t="s">
        <v>2</v>
      </c>
      <c r="C5" s="2">
        <v>141</v>
      </c>
      <c r="D5" s="2">
        <v>0</v>
      </c>
      <c r="E5" s="2">
        <v>23</v>
      </c>
      <c r="F5" s="3">
        <f t="shared" ref="F5:F7" si="0">C5+(D5/60)+(E5*10/3600)</f>
        <v>141.0638888888889</v>
      </c>
      <c r="G5" s="2">
        <v>322</v>
      </c>
      <c r="H5" s="2">
        <v>20</v>
      </c>
      <c r="I5" s="2">
        <v>39</v>
      </c>
      <c r="J5" s="3">
        <f t="shared" ref="J5:J7" si="1">G5+(H5/60)+(I5*10/3600)</f>
        <v>322.44166666666666</v>
      </c>
      <c r="K5" s="2">
        <v>232</v>
      </c>
      <c r="L5" s="2">
        <v>40</v>
      </c>
      <c r="M5" s="2">
        <v>24</v>
      </c>
      <c r="N5" s="3">
        <f t="shared" ref="N5:N7" si="2">K5+(L5/60)+(M5*10/3600)</f>
        <v>232.73333333333332</v>
      </c>
      <c r="O5" s="2">
        <v>53</v>
      </c>
      <c r="P5" s="2">
        <v>0</v>
      </c>
      <c r="Q5" s="2">
        <v>49</v>
      </c>
      <c r="R5" s="3">
        <f t="shared" ref="R5:R7" si="3">O5+(P5/60)+(Q5*10/3600)</f>
        <v>53.136111111111113</v>
      </c>
      <c r="S5" s="3">
        <f t="shared" ref="S5:S7" si="4">N5-F5</f>
        <v>91.669444444444423</v>
      </c>
      <c r="T5" s="3">
        <f t="shared" ref="T5:T7" si="5">360-J5+R5</f>
        <v>90.694444444444457</v>
      </c>
      <c r="U5" s="3">
        <f t="shared" ref="U5:U7" si="6">AVERAGE(S5:T5)/2</f>
        <v>45.59097222222222</v>
      </c>
      <c r="V5" s="3">
        <f t="shared" ref="V5:V8" si="7">SIN(RADIANS(U5))*1000000/($B$9*A5)</f>
        <v>595.30202391452099</v>
      </c>
      <c r="W5" s="4">
        <f>COS(RADIANS(U5))*(PI()*1000*$N$10)/(18*6*A5)</f>
        <v>2.8271744464964173E-2</v>
      </c>
      <c r="X5" s="9">
        <f t="shared" ref="X5:X7" si="8">A5/($B$10*1000*COS(RADIANS(U5)))</f>
        <v>1714.8346884301477</v>
      </c>
      <c r="Y5" s="4">
        <f>ABS(X5*TAN(COS(U5))*(PI()/(180*360)))</f>
        <v>3.1498982833568882E-3</v>
      </c>
    </row>
    <row r="6" spans="1:25" x14ac:dyDescent="0.3">
      <c r="A6" s="2">
        <v>1</v>
      </c>
      <c r="B6" s="2" t="s">
        <v>1</v>
      </c>
      <c r="C6" s="2">
        <v>166</v>
      </c>
      <c r="D6" s="2">
        <v>20</v>
      </c>
      <c r="E6" s="2">
        <v>36</v>
      </c>
      <c r="F6" s="3">
        <f t="shared" si="0"/>
        <v>166.43333333333334</v>
      </c>
      <c r="G6" s="2">
        <v>346</v>
      </c>
      <c r="H6" s="2">
        <v>40</v>
      </c>
      <c r="I6" s="2">
        <v>55</v>
      </c>
      <c r="J6" s="3">
        <f t="shared" si="1"/>
        <v>346.81944444444446</v>
      </c>
      <c r="K6" s="2">
        <v>208</v>
      </c>
      <c r="L6" s="2">
        <v>10</v>
      </c>
      <c r="M6" s="2">
        <v>7</v>
      </c>
      <c r="N6" s="3">
        <f t="shared" si="2"/>
        <v>208.1861111111111</v>
      </c>
      <c r="O6" s="2">
        <v>28</v>
      </c>
      <c r="P6" s="2">
        <v>30</v>
      </c>
      <c r="Q6" s="2">
        <v>24</v>
      </c>
      <c r="R6" s="3">
        <f t="shared" si="3"/>
        <v>28.566666666666666</v>
      </c>
      <c r="S6" s="3">
        <f>N6-F6</f>
        <v>41.752777777777766</v>
      </c>
      <c r="T6" s="3">
        <f t="shared" si="5"/>
        <v>41.747222222222206</v>
      </c>
      <c r="U6" s="3">
        <f t="shared" si="6"/>
        <v>20.874999999999993</v>
      </c>
      <c r="V6" s="3">
        <f t="shared" si="7"/>
        <v>593.88390295754243</v>
      </c>
      <c r="W6" s="4">
        <f>COS(RADIANS(U6))*(PI()*1000*$N$10)/(18*6*A6)</f>
        <v>7.549842188326529E-2</v>
      </c>
      <c r="X6" s="9">
        <f t="shared" si="8"/>
        <v>642.15074834166558</v>
      </c>
      <c r="Y6" s="4">
        <f>ABS(X6*TAN(COS(U6))*(PI()/(180*360)))</f>
        <v>1.4624031344932552E-2</v>
      </c>
    </row>
    <row r="7" spans="1:25" x14ac:dyDescent="0.3">
      <c r="A7" s="2">
        <v>1</v>
      </c>
      <c r="B7" s="2" t="s">
        <v>2</v>
      </c>
      <c r="C7" s="2">
        <v>166</v>
      </c>
      <c r="D7" s="2">
        <v>20</v>
      </c>
      <c r="E7" s="2">
        <v>53</v>
      </c>
      <c r="F7" s="3">
        <f t="shared" si="0"/>
        <v>166.48055555555555</v>
      </c>
      <c r="G7" s="2">
        <v>346</v>
      </c>
      <c r="H7" s="2">
        <v>50</v>
      </c>
      <c r="I7" s="2">
        <v>22</v>
      </c>
      <c r="J7" s="3">
        <f t="shared" si="1"/>
        <v>346.89444444444445</v>
      </c>
      <c r="K7" s="2">
        <v>208</v>
      </c>
      <c r="L7" s="2">
        <v>10</v>
      </c>
      <c r="M7" s="2">
        <v>1</v>
      </c>
      <c r="N7" s="3">
        <f t="shared" si="2"/>
        <v>208.16944444444442</v>
      </c>
      <c r="O7" s="2">
        <v>28</v>
      </c>
      <c r="P7" s="2">
        <v>30</v>
      </c>
      <c r="Q7" s="2">
        <v>14</v>
      </c>
      <c r="R7" s="3">
        <f t="shared" si="3"/>
        <v>28.538888888888888</v>
      </c>
      <c r="S7" s="3">
        <f t="shared" si="4"/>
        <v>41.688888888888869</v>
      </c>
      <c r="T7" s="3">
        <f t="shared" si="5"/>
        <v>41.644444444444446</v>
      </c>
      <c r="U7" s="3">
        <f t="shared" si="6"/>
        <v>20.833333333333329</v>
      </c>
      <c r="V7" s="3">
        <f t="shared" si="7"/>
        <v>592.75126969146072</v>
      </c>
      <c r="W7" s="4">
        <f>COS(RADIANS(U7))*(PI()*1000*$N$10)/(18*6*A7)</f>
        <v>7.5519340272180283E-2</v>
      </c>
      <c r="X7" s="9">
        <f t="shared" si="8"/>
        <v>641.97287656673427</v>
      </c>
      <c r="Y7" s="4">
        <f>ABS(X7*TAN(COS(U7))*(PI()/(180*360)))</f>
        <v>1.3208145526102291E-2</v>
      </c>
    </row>
    <row r="8" spans="1:25" x14ac:dyDescent="0.3">
      <c r="V8" s="3"/>
    </row>
    <row r="9" spans="1:25" x14ac:dyDescent="0.3">
      <c r="A9" s="1" t="s">
        <v>14</v>
      </c>
      <c r="B9" s="1">
        <v>600</v>
      </c>
      <c r="C9" s="1" t="s">
        <v>26</v>
      </c>
      <c r="E9" s="1" t="s">
        <v>15</v>
      </c>
      <c r="F9" s="4">
        <f>AVERAGE(V4,V6)</f>
        <v>595.21073783242355</v>
      </c>
      <c r="G9" s="4">
        <f>SQRT(((W4^2)+(W6^2)))/2</f>
        <v>4.0298393379837198E-2</v>
      </c>
      <c r="H9" s="1" t="s">
        <v>17</v>
      </c>
      <c r="J9" s="1" t="s">
        <v>19</v>
      </c>
      <c r="Q9" s="1" t="s">
        <v>27</v>
      </c>
      <c r="V9" s="4"/>
    </row>
    <row r="10" spans="1:25" ht="28.8" x14ac:dyDescent="0.3">
      <c r="A10" s="1" t="s">
        <v>25</v>
      </c>
      <c r="B10" s="1">
        <f>0.001/600</f>
        <v>1.6666666666666667E-6</v>
      </c>
      <c r="C10" s="1" t="s">
        <v>0</v>
      </c>
      <c r="E10" s="1" t="s">
        <v>16</v>
      </c>
      <c r="F10" s="4">
        <f>AVERAGE(V5,V7)</f>
        <v>594.02664680299085</v>
      </c>
      <c r="G10" s="4">
        <f>SQRT(((W5^2)+(W7^2)))/2</f>
        <v>4.0318923256448647E-2</v>
      </c>
      <c r="H10" s="1" t="s">
        <v>17</v>
      </c>
      <c r="J10" s="7" t="s">
        <v>20</v>
      </c>
      <c r="K10" s="1">
        <f>RADIANS(N10)</f>
        <v>4.8481368110953604E-5</v>
      </c>
      <c r="L10" s="1" t="s">
        <v>21</v>
      </c>
      <c r="M10" s="7" t="s">
        <v>22</v>
      </c>
      <c r="N10" s="1">
        <f>1/360</f>
        <v>2.7777777777777779E-3</v>
      </c>
      <c r="O10" s="1" t="s">
        <v>24</v>
      </c>
      <c r="Q10" s="1" t="s">
        <v>29</v>
      </c>
      <c r="R10" s="1">
        <f>AVERAGE(X4:X5)</f>
        <v>1716.6971948972991</v>
      </c>
      <c r="S10" s="1">
        <f>_xlfn.STDEV.P(X4:X5)</f>
        <v>1.8625064671513201</v>
      </c>
    </row>
    <row r="11" spans="1:25" x14ac:dyDescent="0.3">
      <c r="B11" s="1">
        <f>1/B10</f>
        <v>600000</v>
      </c>
      <c r="E11" s="1" t="s">
        <v>18</v>
      </c>
      <c r="F11" s="4">
        <f>F9-F10</f>
        <v>1.1840910294326932</v>
      </c>
      <c r="G11" s="1">
        <f>SQRT(G10^2+G9^2)</f>
        <v>5.7005053122995177E-2</v>
      </c>
      <c r="H11" s="1" t="s">
        <v>17</v>
      </c>
      <c r="J11" s="1" t="s">
        <v>18</v>
      </c>
      <c r="Q11" s="1" t="s">
        <v>28</v>
      </c>
      <c r="R11" s="1">
        <f>AVERAGE(X6:X7)</f>
        <v>642.06181245419998</v>
      </c>
      <c r="S11" s="1">
        <f>_xlfn.STDEV.P(X6:X7)</f>
        <v>8.8935887465652286E-2</v>
      </c>
    </row>
    <row r="12" spans="1:25" x14ac:dyDescent="0.3">
      <c r="J12" s="1" t="s">
        <v>1</v>
      </c>
      <c r="K12" s="1">
        <f>(COS(RADIANS(U4)))</f>
        <v>0.69825912887824626</v>
      </c>
    </row>
  </sheetData>
  <mergeCells count="13">
    <mergeCell ref="X1:X3"/>
    <mergeCell ref="V1:V3"/>
    <mergeCell ref="C2:F2"/>
    <mergeCell ref="G2:J2"/>
    <mergeCell ref="C1:J1"/>
    <mergeCell ref="K1:R1"/>
    <mergeCell ref="K2:N2"/>
    <mergeCell ref="O2:R2"/>
    <mergeCell ref="A1:A3"/>
    <mergeCell ref="B1:B3"/>
    <mergeCell ref="S1:S3"/>
    <mergeCell ref="T1:T3"/>
    <mergeCell ref="U1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2024-10-30T07:37:53Z</dcterms:created>
  <dcterms:modified xsi:type="dcterms:W3CDTF">2024-11-04T18:58:08Z</dcterms:modified>
</cp:coreProperties>
</file>