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user\Documents\all notes\labs\optics\6. fabrey-perot interferometer\"/>
    </mc:Choice>
  </mc:AlternateContent>
  <xr:revisionPtr revIDLastSave="0" documentId="13_ncr:1_{C265AFC3-76ED-441E-AF37-46F2F60A3A9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P5" i="1" l="1"/>
  <c r="B45" i="1"/>
  <c r="B44" i="1"/>
  <c r="N18" i="1"/>
  <c r="M18" i="1"/>
  <c r="G27" i="1"/>
  <c r="J39" i="1"/>
  <c r="I39" i="1"/>
  <c r="I40" i="1" s="1"/>
  <c r="I32" i="1"/>
  <c r="D42" i="1"/>
  <c r="H40" i="1"/>
  <c r="H35" i="1"/>
  <c r="H24" i="1"/>
  <c r="G4" i="1"/>
  <c r="M17" i="1"/>
  <c r="G15" i="1"/>
  <c r="P4" i="1"/>
  <c r="J14" i="1"/>
  <c r="J5" i="1"/>
  <c r="I4" i="1"/>
  <c r="G5" i="1"/>
  <c r="G6" i="1"/>
  <c r="G7" i="1"/>
  <c r="G8" i="1"/>
  <c r="G9" i="1"/>
  <c r="G10" i="1"/>
  <c r="G11" i="1"/>
  <c r="G12" i="1"/>
  <c r="G13" i="1"/>
  <c r="C38" i="1"/>
  <c r="C37" i="1"/>
  <c r="C36" i="1"/>
  <c r="C35" i="1"/>
  <c r="C34" i="1"/>
  <c r="C33" i="1"/>
  <c r="C32" i="1"/>
  <c r="F33" i="1"/>
  <c r="G33" i="1" s="1"/>
  <c r="F34" i="1"/>
  <c r="F35" i="1"/>
  <c r="F36" i="1"/>
  <c r="G36" i="1" s="1"/>
  <c r="F37" i="1"/>
  <c r="F38" i="1"/>
  <c r="F32" i="1"/>
  <c r="M4" i="1"/>
  <c r="G19" i="1"/>
  <c r="H5" i="1"/>
  <c r="H6" i="1"/>
  <c r="H7" i="1"/>
  <c r="H8" i="1"/>
  <c r="H9" i="1"/>
  <c r="H10" i="1"/>
  <c r="H11" i="1"/>
  <c r="H12" i="1"/>
  <c r="H13" i="1"/>
  <c r="H4" i="1"/>
  <c r="D4" i="1"/>
  <c r="D5" i="1"/>
  <c r="D6" i="1"/>
  <c r="D7" i="1"/>
  <c r="D8" i="1"/>
  <c r="D9" i="1"/>
  <c r="D10" i="1"/>
  <c r="D11" i="1"/>
  <c r="D12" i="1"/>
  <c r="D13" i="1"/>
  <c r="D3" i="1"/>
  <c r="R12" i="1"/>
  <c r="H33" i="1" l="1"/>
  <c r="H37" i="1"/>
  <c r="H34" i="1"/>
  <c r="H32" i="1"/>
  <c r="H38" i="1"/>
  <c r="H36" i="1"/>
  <c r="G35" i="1"/>
  <c r="G34" i="1"/>
  <c r="G32" i="1"/>
  <c r="G38" i="1"/>
  <c r="G16" i="1"/>
  <c r="G37" i="1"/>
  <c r="E8" i="1"/>
  <c r="F10" i="1"/>
  <c r="R10" i="1"/>
  <c r="F5" i="1"/>
  <c r="E4" i="1"/>
  <c r="F4" i="1" s="1"/>
  <c r="E7" i="1"/>
  <c r="E6" i="1"/>
  <c r="M6" i="1"/>
  <c r="G17" i="1" s="1"/>
  <c r="E13" i="1"/>
  <c r="E5" i="1"/>
  <c r="E12" i="1"/>
  <c r="E11" i="1"/>
  <c r="E10" i="1"/>
  <c r="F12" i="1"/>
  <c r="I12" i="1" s="1"/>
  <c r="E9" i="1"/>
  <c r="F11" i="1"/>
  <c r="F9" i="1"/>
  <c r="F8" i="1"/>
  <c r="F7" i="1"/>
  <c r="F6" i="1"/>
  <c r="F13" i="1"/>
  <c r="O12" i="1"/>
  <c r="I10" i="1" l="1"/>
  <c r="H39" i="1"/>
  <c r="I34" i="1" s="1"/>
  <c r="I5" i="1"/>
  <c r="I8" i="1"/>
  <c r="I13" i="1"/>
  <c r="I6" i="1"/>
  <c r="I11" i="1"/>
  <c r="I9" i="1"/>
  <c r="M5" i="1"/>
  <c r="L12" i="1" s="1"/>
  <c r="I7" i="1"/>
  <c r="O10" i="1"/>
  <c r="I36" i="1" l="1"/>
  <c r="I35" i="1"/>
  <c r="I33" i="1"/>
  <c r="I37" i="1"/>
  <c r="I38" i="1"/>
  <c r="M7" i="1"/>
  <c r="L10" i="1" s="1"/>
  <c r="M15" i="1" s="1"/>
  <c r="G18" i="1"/>
  <c r="G22" i="1"/>
  <c r="G23" i="1" s="1"/>
  <c r="N14" i="1" l="1"/>
  <c r="G20" i="1"/>
  <c r="G24" i="1" s="1"/>
  <c r="G26" i="1"/>
  <c r="N15" i="1" s="1"/>
  <c r="M14" i="1"/>
  <c r="J10" i="1" l="1"/>
  <c r="J11" i="1"/>
  <c r="J13" i="1"/>
  <c r="J7" i="1"/>
  <c r="J8" i="1"/>
  <c r="J9" i="1"/>
  <c r="J6" i="1"/>
  <c r="J12" i="1"/>
  <c r="J4" i="1"/>
  <c r="P7" i="1" l="1"/>
  <c r="P6" i="1"/>
  <c r="N17" i="1" s="1"/>
  <c r="P8" i="1"/>
</calcChain>
</file>

<file path=xl/sharedStrings.xml><?xml version="1.0" encoding="utf-8"?>
<sst xmlns="http://schemas.openxmlformats.org/spreadsheetml/2006/main" count="75" uniqueCount="56">
  <si>
    <t>N</t>
  </si>
  <si>
    <t>lambda</t>
  </si>
  <si>
    <t>sums</t>
  </si>
  <si>
    <t>xi</t>
  </si>
  <si>
    <t>yi</t>
  </si>
  <si>
    <t>xiyi</t>
  </si>
  <si>
    <t>equation 1:</t>
  </si>
  <si>
    <t>"="</t>
  </si>
  <si>
    <t>a</t>
  </si>
  <si>
    <t>"+"</t>
  </si>
  <si>
    <t>b</t>
  </si>
  <si>
    <t>equation 2:</t>
  </si>
  <si>
    <t>nm</t>
  </si>
  <si>
    <t>xy (N \delta d)</t>
  </si>
  <si>
    <t>xi^2</t>
  </si>
  <si>
    <t>Final \lambda</t>
  </si>
  <si>
    <t>(y-(ax+b))^2</t>
  </si>
  <si>
    <t>errors</t>
  </si>
  <si>
    <t>Delta</t>
  </si>
  <si>
    <t>sigma y</t>
  </si>
  <si>
    <t>sigma a</t>
  </si>
  <si>
    <t>sigma b</t>
  </si>
  <si>
    <t>\chi^2</t>
  </si>
  <si>
    <t>sigma i</t>
  </si>
  <si>
    <t>Sx</t>
  </si>
  <si>
    <t>Sxx</t>
  </si>
  <si>
    <t>Sy</t>
  </si>
  <si>
    <t>S</t>
  </si>
  <si>
    <t>Sxy</t>
  </si>
  <si>
    <t>msd</t>
  </si>
  <si>
    <t>vsd</t>
  </si>
  <si>
    <t>least count</t>
  </si>
  <si>
    <t>mm</t>
  </si>
  <si>
    <t>\Delta m (x)</t>
  </si>
  <si>
    <t>\delta d corrected (y)</t>
  </si>
  <si>
    <t>x^2 (\delta m^2)</t>
  </si>
  <si>
    <t>LASER (Determination of wavelength)</t>
  </si>
  <si>
    <t>Sodium Doublet</t>
  </si>
  <si>
    <t>d1</t>
  </si>
  <si>
    <t>d2</t>
  </si>
  <si>
    <t>total</t>
  </si>
  <si>
    <t>2 \Delta d</t>
  </si>
  <si>
    <t>(mm)</t>
  </si>
  <si>
    <t>\Delta \lambda</t>
  </si>
  <si>
    <t>lambda 1</t>
  </si>
  <si>
    <t>lambda 2</t>
  </si>
  <si>
    <t>\delta lambda (true)</t>
  </si>
  <si>
    <t>final</t>
  </si>
  <si>
    <t>stdev</t>
  </si>
  <si>
    <t>msd (mm)</t>
  </si>
  <si>
    <t>vsd (mm)</t>
  </si>
  <si>
    <t>di (mm)</t>
  </si>
  <si>
    <t>\delta d  (mm)</t>
  </si>
  <si>
    <t>m</t>
  </si>
  <si>
    <t>sigma m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</si>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</sst>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5" formatCode="0.0000"/>
    <numFmt numFmtId="167" formatCode="0.000000"/>
    <numFmt numFmtId="168" formatCode="0.0"/>
    <numFmt numFmtId="170" formatCode="0.00000E+00"/>
    <numFmt numFmtId="171" formatCode="0.0000E+00"/>
    <numFmt numFmtId="172" formatCode="0.000E+00"/>
  </numFmts>
  <fonts count="5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4" xfId="0" applyFont="1" applyBorder="1"/>
    <xf numFmtId="0" fontId="2" fillId="0" borderId="0" xfId="0" applyFont="1"/>
    <xf numFmtId="0" fontId="2" fillId="0" borderId="5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9" xfId="0" applyFont="1" applyFill="1" applyBorder="1"/>
    <xf numFmtId="0" fontId="2" fillId="2" borderId="3" xfId="0" applyFont="1" applyFill="1" applyBorder="1" applyAlignment="1">
      <alignment horizontal="right"/>
    </xf>
    <xf numFmtId="0" fontId="2" fillId="2" borderId="10" xfId="0" applyFont="1" applyFill="1" applyBorder="1"/>
    <xf numFmtId="0" fontId="2" fillId="2" borderId="8" xfId="0" applyFont="1" applyFill="1" applyBorder="1" applyAlignment="1">
      <alignment horizontal="right"/>
    </xf>
    <xf numFmtId="0" fontId="4" fillId="0" borderId="0" xfId="0" applyFont="1"/>
    <xf numFmtId="0" fontId="3" fillId="0" borderId="0" xfId="0" applyFont="1"/>
    <xf numFmtId="11" fontId="0" fillId="0" borderId="0" xfId="0" applyNumberFormat="1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2" fontId="0" fillId="0" borderId="0" xfId="0" applyNumberFormat="1"/>
    <xf numFmtId="165" fontId="0" fillId="0" borderId="0" xfId="0" applyNumberFormat="1"/>
    <xf numFmtId="167" fontId="0" fillId="0" borderId="0" xfId="0" applyNumberFormat="1"/>
    <xf numFmtId="168" fontId="0" fillId="0" borderId="0" xfId="0" applyNumberFormat="1"/>
    <xf numFmtId="170" fontId="0" fillId="0" borderId="0" xfId="0" applyNumberFormat="1"/>
    <xf numFmtId="171" fontId="0" fillId="0" borderId="0" xfId="0" applyNumberFormat="1"/>
    <xf numFmtId="172" fontId="0" fillId="0" borderId="0" xfId="0" applyNumberFormat="1"/>
    <xf numFmtId="0" fontId="0" fillId="4" borderId="0" xfId="0" applyFill="1" applyAlignment="1">
      <alignment horizontal="right"/>
    </xf>
    <xf numFmtId="11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58"/>
  <sheetViews>
    <sheetView tabSelected="1" zoomScale="85" zoomScaleNormal="85" workbookViewId="0">
      <selection activeCell="B8" sqref="B8"/>
    </sheetView>
  </sheetViews>
  <sheetFormatPr defaultColWidth="12.6640625" defaultRowHeight="15.75" customHeight="1" x14ac:dyDescent="0.25"/>
  <cols>
    <col min="1" max="1" width="16.77734375" bestFit="1" customWidth="1"/>
    <col min="2" max="2" width="17.44140625" customWidth="1"/>
    <col min="3" max="3" width="6.6640625" customWidth="1"/>
    <col min="6" max="6" width="8.44140625" customWidth="1"/>
    <col min="7" max="7" width="15.77734375" bestFit="1" customWidth="1"/>
    <col min="8" max="8" width="15.44140625" bestFit="1" customWidth="1"/>
    <col min="9" max="9" width="16.109375" bestFit="1" customWidth="1"/>
  </cols>
  <sheetData>
    <row r="1" spans="1:18" ht="15.75" customHeight="1" x14ac:dyDescent="0.25">
      <c r="A1" s="23" t="s">
        <v>36</v>
      </c>
      <c r="B1" s="23"/>
      <c r="C1" s="23"/>
      <c r="D1" s="23"/>
      <c r="E1" s="23"/>
      <c r="F1" s="23"/>
      <c r="G1" s="23"/>
      <c r="H1" s="23"/>
      <c r="I1" s="23"/>
      <c r="J1" s="23"/>
    </row>
    <row r="2" spans="1:18" s="18" customFormat="1" ht="15.75" customHeight="1" x14ac:dyDescent="0.25">
      <c r="A2" s="18" t="s">
        <v>33</v>
      </c>
      <c r="B2" s="18" t="s">
        <v>49</v>
      </c>
      <c r="C2" s="18" t="s">
        <v>50</v>
      </c>
      <c r="D2" s="18" t="s">
        <v>51</v>
      </c>
      <c r="E2" s="18" t="s">
        <v>52</v>
      </c>
      <c r="F2" s="18" t="s">
        <v>34</v>
      </c>
      <c r="G2" s="18" t="s">
        <v>1</v>
      </c>
      <c r="H2" s="18" t="s">
        <v>35</v>
      </c>
      <c r="I2" s="18" t="s">
        <v>13</v>
      </c>
      <c r="J2" s="18" t="s">
        <v>16</v>
      </c>
    </row>
    <row r="3" spans="1:18" ht="15.75" customHeight="1" x14ac:dyDescent="0.25">
      <c r="A3">
        <v>0</v>
      </c>
      <c r="B3" s="27">
        <v>20.5</v>
      </c>
      <c r="C3">
        <v>31</v>
      </c>
      <c r="D3" s="24">
        <f>B3+0.01*C3</f>
        <v>20.81</v>
      </c>
      <c r="L3" s="18" t="s">
        <v>2</v>
      </c>
      <c r="O3" s="18" t="s">
        <v>17</v>
      </c>
    </row>
    <row r="4" spans="1:18" ht="15.75" customHeight="1" x14ac:dyDescent="0.25">
      <c r="A4">
        <v>20</v>
      </c>
      <c r="B4" s="27">
        <v>20.5</v>
      </c>
      <c r="C4">
        <v>12</v>
      </c>
      <c r="D4" s="24">
        <f t="shared" ref="D4:D13" si="0">B4+0.01*C4</f>
        <v>20.62</v>
      </c>
      <c r="E4">
        <f>($D$3-D4)</f>
        <v>0.18999999999999773</v>
      </c>
      <c r="F4">
        <f>E4*0.03</f>
        <v>5.6999999999999317E-3</v>
      </c>
      <c r="G4" s="26">
        <f>(2*F4)/(A4)</f>
        <v>5.6999999999999315E-4</v>
      </c>
      <c r="H4">
        <f>A4^2</f>
        <v>400</v>
      </c>
      <c r="I4" s="25">
        <f>A4*F4</f>
        <v>0.11399999999999863</v>
      </c>
      <c r="J4" s="19">
        <f>(F4-(($M$14*A4)+$M$15))^2</f>
        <v>1.1900826446369999E-10</v>
      </c>
      <c r="L4" s="17" t="s">
        <v>3</v>
      </c>
      <c r="M4">
        <f>SUM(A3:A13)</f>
        <v>650</v>
      </c>
      <c r="O4" s="17" t="s">
        <v>18</v>
      </c>
      <c r="P4" s="17">
        <f>(M8*M6)-(M4^2)</f>
        <v>82500</v>
      </c>
    </row>
    <row r="5" spans="1:18" ht="15.75" customHeight="1" x14ac:dyDescent="0.25">
      <c r="A5">
        <v>30</v>
      </c>
      <c r="B5" s="27">
        <v>20.5</v>
      </c>
      <c r="C5">
        <v>4</v>
      </c>
      <c r="D5" s="24">
        <f t="shared" si="0"/>
        <v>20.54</v>
      </c>
      <c r="E5">
        <f t="shared" ref="E5:E13" si="1">($D$3-D5)</f>
        <v>0.26999999999999957</v>
      </c>
      <c r="F5">
        <f t="shared" ref="F5:F13" si="2">($D$3-D5)*0.03</f>
        <v>8.0999999999999874E-3</v>
      </c>
      <c r="G5" s="26">
        <f t="shared" ref="G5:G13" si="3">(2*F5)/(A5)</f>
        <v>5.3999999999999914E-4</v>
      </c>
      <c r="H5">
        <f t="shared" ref="H5:H13" si="4">A5^2</f>
        <v>900</v>
      </c>
      <c r="I5" s="25">
        <f t="shared" ref="I5:I13" si="5">A5*F5</f>
        <v>0.24299999999999963</v>
      </c>
      <c r="J5" s="28">
        <f t="shared" ref="J5:J13" si="6">(F5-(($M$14*A5)+$M$15))^2</f>
        <v>1.3091239669420113E-7</v>
      </c>
      <c r="L5" s="17" t="s">
        <v>4</v>
      </c>
      <c r="M5">
        <f>SUM(F3:F13)</f>
        <v>0.18089999999999962</v>
      </c>
      <c r="O5" s="17" t="s">
        <v>19</v>
      </c>
      <c r="P5">
        <f>SQRT(SUM(J4:J13)/(M8-2))</f>
        <v>1.9045400303676645E-4</v>
      </c>
    </row>
    <row r="6" spans="1:18" ht="15.75" customHeight="1" x14ac:dyDescent="0.25">
      <c r="A6">
        <v>40</v>
      </c>
      <c r="B6" s="27">
        <v>20</v>
      </c>
      <c r="C6">
        <v>43</v>
      </c>
      <c r="D6" s="24">
        <f t="shared" si="0"/>
        <v>20.43</v>
      </c>
      <c r="E6">
        <f t="shared" si="1"/>
        <v>0.37999999999999901</v>
      </c>
      <c r="F6">
        <f t="shared" si="2"/>
        <v>1.1399999999999969E-2</v>
      </c>
      <c r="G6" s="26">
        <f t="shared" si="3"/>
        <v>5.6999999999999846E-4</v>
      </c>
      <c r="H6">
        <f t="shared" si="4"/>
        <v>1600</v>
      </c>
      <c r="I6" s="25">
        <f t="shared" si="5"/>
        <v>0.45599999999999874</v>
      </c>
      <c r="J6" s="29">
        <f t="shared" si="6"/>
        <v>3.5071074380166446E-8</v>
      </c>
      <c r="L6" s="17" t="s">
        <v>14</v>
      </c>
      <c r="M6">
        <f>SUM(H3:H13)</f>
        <v>50500</v>
      </c>
      <c r="O6" s="17" t="s">
        <v>20</v>
      </c>
      <c r="P6">
        <f>P5*SQRT(M8/P4)</f>
        <v>2.0968295626674572E-6</v>
      </c>
    </row>
    <row r="7" spans="1:18" ht="15.75" customHeight="1" x14ac:dyDescent="0.25">
      <c r="A7">
        <v>50</v>
      </c>
      <c r="B7" s="27">
        <v>20</v>
      </c>
      <c r="C7">
        <v>34</v>
      </c>
      <c r="D7" s="24">
        <f t="shared" si="0"/>
        <v>20.34</v>
      </c>
      <c r="E7">
        <f t="shared" si="1"/>
        <v>0.46999999999999886</v>
      </c>
      <c r="F7">
        <f t="shared" si="2"/>
        <v>1.4099999999999965E-2</v>
      </c>
      <c r="G7" s="26">
        <f t="shared" si="3"/>
        <v>5.6399999999999864E-4</v>
      </c>
      <c r="H7">
        <f t="shared" si="4"/>
        <v>2500</v>
      </c>
      <c r="I7" s="25">
        <f t="shared" si="5"/>
        <v>0.70499999999999829</v>
      </c>
      <c r="J7" s="29">
        <f t="shared" si="6"/>
        <v>1.8595041322314858E-8</v>
      </c>
      <c r="L7" s="17" t="s">
        <v>5</v>
      </c>
      <c r="M7">
        <f>SUM(I3:I13)</f>
        <v>14.027999999999972</v>
      </c>
      <c r="O7" s="17" t="s">
        <v>21</v>
      </c>
      <c r="P7">
        <f>P5*SQRT(M6/P4)</f>
        <v>1.4900773733308214E-4</v>
      </c>
    </row>
    <row r="8" spans="1:18" ht="15.75" customHeight="1" x14ac:dyDescent="0.25">
      <c r="A8">
        <v>60</v>
      </c>
      <c r="B8" s="27">
        <v>20</v>
      </c>
      <c r="C8">
        <v>25</v>
      </c>
      <c r="D8" s="24">
        <f t="shared" si="0"/>
        <v>20.25</v>
      </c>
      <c r="E8">
        <f t="shared" si="1"/>
        <v>0.55999999999999872</v>
      </c>
      <c r="F8">
        <f t="shared" si="2"/>
        <v>1.6799999999999961E-2</v>
      </c>
      <c r="G8" s="26">
        <f t="shared" si="3"/>
        <v>5.5999999999999865E-4</v>
      </c>
      <c r="H8">
        <f t="shared" si="4"/>
        <v>3600</v>
      </c>
      <c r="I8" s="25">
        <f t="shared" si="5"/>
        <v>1.0079999999999976</v>
      </c>
      <c r="J8" s="30">
        <f t="shared" si="6"/>
        <v>7.3024793388428651E-9</v>
      </c>
      <c r="L8" s="17" t="s">
        <v>0</v>
      </c>
      <c r="M8">
        <v>10</v>
      </c>
      <c r="O8" s="17" t="s">
        <v>22</v>
      </c>
      <c r="P8">
        <f>SUM(J4:J13)/P5^2</f>
        <v>8</v>
      </c>
    </row>
    <row r="9" spans="1:18" ht="15.75" customHeight="1" x14ac:dyDescent="0.25">
      <c r="A9">
        <v>70</v>
      </c>
      <c r="B9" s="27">
        <v>20</v>
      </c>
      <c r="C9">
        <v>16</v>
      </c>
      <c r="D9" s="24">
        <f t="shared" si="0"/>
        <v>20.16</v>
      </c>
      <c r="E9">
        <f t="shared" si="1"/>
        <v>0.64999999999999858</v>
      </c>
      <c r="F9">
        <f t="shared" si="2"/>
        <v>1.9499999999999958E-2</v>
      </c>
      <c r="G9" s="26">
        <f t="shared" si="3"/>
        <v>5.5714285714285599E-4</v>
      </c>
      <c r="H9">
        <f t="shared" si="4"/>
        <v>4900</v>
      </c>
      <c r="I9" s="25">
        <f t="shared" si="5"/>
        <v>1.3649999999999971</v>
      </c>
      <c r="J9" s="30">
        <f t="shared" si="6"/>
        <v>1.1933884297520125E-9</v>
      </c>
      <c r="L9" s="1" t="s">
        <v>6</v>
      </c>
      <c r="M9" s="2"/>
      <c r="N9" s="2"/>
      <c r="O9" s="2"/>
      <c r="P9" s="2"/>
      <c r="Q9" s="2"/>
      <c r="R9" s="3"/>
    </row>
    <row r="10" spans="1:18" ht="15.75" customHeight="1" x14ac:dyDescent="0.25">
      <c r="A10">
        <v>80</v>
      </c>
      <c r="B10" s="27">
        <v>20</v>
      </c>
      <c r="C10">
        <v>7</v>
      </c>
      <c r="D10" s="24">
        <f t="shared" si="0"/>
        <v>20.07</v>
      </c>
      <c r="E10">
        <f t="shared" si="1"/>
        <v>0.73999999999999844</v>
      </c>
      <c r="F10">
        <f t="shared" si="2"/>
        <v>2.2199999999999952E-2</v>
      </c>
      <c r="G10" s="26">
        <f t="shared" si="3"/>
        <v>5.5499999999999885E-4</v>
      </c>
      <c r="H10">
        <f t="shared" si="4"/>
        <v>6400</v>
      </c>
      <c r="I10" s="25">
        <f t="shared" si="5"/>
        <v>1.7759999999999962</v>
      </c>
      <c r="J10" s="19">
        <f t="shared" si="6"/>
        <v>2.6776859504146563E-10</v>
      </c>
      <c r="L10" s="4">
        <f>M7</f>
        <v>14.027999999999972</v>
      </c>
      <c r="M10" s="5" t="s">
        <v>7</v>
      </c>
      <c r="N10" s="5" t="s">
        <v>53</v>
      </c>
      <c r="O10" s="5">
        <f>M6</f>
        <v>50500</v>
      </c>
      <c r="P10" s="5" t="s">
        <v>9</v>
      </c>
      <c r="Q10" s="5" t="s">
        <v>10</v>
      </c>
      <c r="R10" s="6">
        <f>M4</f>
        <v>650</v>
      </c>
    </row>
    <row r="11" spans="1:18" ht="15.75" customHeight="1" x14ac:dyDescent="0.25">
      <c r="A11">
        <v>90</v>
      </c>
      <c r="B11" s="27">
        <v>19.5</v>
      </c>
      <c r="C11">
        <v>47</v>
      </c>
      <c r="D11" s="24">
        <f t="shared" si="0"/>
        <v>19.97</v>
      </c>
      <c r="E11">
        <f t="shared" si="1"/>
        <v>0.83999999999999986</v>
      </c>
      <c r="F11">
        <f t="shared" si="2"/>
        <v>2.5199999999999993E-2</v>
      </c>
      <c r="G11" s="26">
        <f t="shared" si="3"/>
        <v>5.5999999999999984E-4</v>
      </c>
      <c r="H11">
        <f t="shared" si="4"/>
        <v>8100</v>
      </c>
      <c r="I11" s="25">
        <f t="shared" si="5"/>
        <v>2.2679999999999993</v>
      </c>
      <c r="J11" s="29">
        <f t="shared" si="6"/>
        <v>5.4161983471092425E-8</v>
      </c>
      <c r="L11" s="7" t="s">
        <v>11</v>
      </c>
      <c r="M11" s="8"/>
      <c r="N11" s="8"/>
      <c r="O11" s="8"/>
      <c r="P11" s="8"/>
      <c r="Q11" s="8"/>
      <c r="R11" s="9"/>
    </row>
    <row r="12" spans="1:18" ht="15.75" customHeight="1" x14ac:dyDescent="0.25">
      <c r="A12">
        <v>100</v>
      </c>
      <c r="B12" s="27">
        <v>19.5</v>
      </c>
      <c r="C12">
        <v>39</v>
      </c>
      <c r="D12" s="24">
        <f t="shared" si="0"/>
        <v>19.89</v>
      </c>
      <c r="E12">
        <f t="shared" si="1"/>
        <v>0.91999999999999815</v>
      </c>
      <c r="F12">
        <f t="shared" si="2"/>
        <v>2.7599999999999944E-2</v>
      </c>
      <c r="G12" s="26">
        <f t="shared" si="3"/>
        <v>5.5199999999999889E-4</v>
      </c>
      <c r="H12">
        <f t="shared" si="4"/>
        <v>10000</v>
      </c>
      <c r="I12" s="25">
        <f t="shared" si="5"/>
        <v>2.7599999999999945</v>
      </c>
      <c r="J12" s="29">
        <f t="shared" si="6"/>
        <v>1.3966942148761429E-8</v>
      </c>
      <c r="L12" s="10">
        <f>M5</f>
        <v>0.18089999999999962</v>
      </c>
      <c r="M12" s="11" t="s">
        <v>7</v>
      </c>
      <c r="N12" s="11" t="s">
        <v>53</v>
      </c>
      <c r="O12" s="11">
        <f>M4</f>
        <v>650</v>
      </c>
      <c r="P12" s="11" t="s">
        <v>9</v>
      </c>
      <c r="Q12" s="11" t="s">
        <v>10</v>
      </c>
      <c r="R12" s="12">
        <f>M8</f>
        <v>10</v>
      </c>
    </row>
    <row r="13" spans="1:18" ht="15.75" customHeight="1" x14ac:dyDescent="0.25">
      <c r="A13">
        <v>110</v>
      </c>
      <c r="B13" s="27">
        <v>19.5</v>
      </c>
      <c r="C13">
        <v>30</v>
      </c>
      <c r="D13" s="24">
        <f t="shared" si="0"/>
        <v>19.8</v>
      </c>
      <c r="E13">
        <f t="shared" si="1"/>
        <v>1.009999999999998</v>
      </c>
      <c r="F13">
        <f t="shared" si="2"/>
        <v>3.0299999999999938E-2</v>
      </c>
      <c r="G13" s="26">
        <f t="shared" si="3"/>
        <v>5.5090909090908975E-4</v>
      </c>
      <c r="H13">
        <f t="shared" si="4"/>
        <v>12100</v>
      </c>
      <c r="I13" s="25">
        <f t="shared" si="5"/>
        <v>3.3329999999999931</v>
      </c>
      <c r="J13" s="29">
        <f t="shared" si="6"/>
        <v>2.8591735537192872E-8</v>
      </c>
    </row>
    <row r="14" spans="1:18" ht="15.75" customHeight="1" x14ac:dyDescent="0.25">
      <c r="J14" s="19">
        <f>SUM(J4:J13)</f>
        <v>2.9018181818182917E-7</v>
      </c>
      <c r="L14" s="13" t="s">
        <v>8</v>
      </c>
      <c r="M14" s="14">
        <f>(L10-R10*M15)/O10</f>
        <v>2.750909090909088E-4</v>
      </c>
      <c r="N14" s="19">
        <f>G27</f>
        <v>3.3028912953790807E-6</v>
      </c>
    </row>
    <row r="15" spans="1:18" ht="15.75" customHeight="1" x14ac:dyDescent="0.25">
      <c r="A15" t="s">
        <v>31</v>
      </c>
      <c r="B15">
        <v>2.9999999999999997E-4</v>
      </c>
      <c r="C15" t="s">
        <v>32</v>
      </c>
      <c r="F15" t="s">
        <v>23</v>
      </c>
      <c r="G15" s="19">
        <f>0.01*0.03</f>
        <v>2.9999999999999997E-4</v>
      </c>
      <c r="L15" s="15" t="s">
        <v>10</v>
      </c>
      <c r="M15" s="16">
        <f>((O10*L12)-(O12*L10))/((O10*R12)-(O12*R10))</f>
        <v>2.0909090909088703E-4</v>
      </c>
      <c r="N15" s="19">
        <f>G26</f>
        <v>2.3471452679991721E-4</v>
      </c>
    </row>
    <row r="16" spans="1:18" ht="15.75" customHeight="1" x14ac:dyDescent="0.25">
      <c r="F16" t="s">
        <v>24</v>
      </c>
      <c r="G16" s="19">
        <f>M4/G15^2</f>
        <v>7222222222.2222233</v>
      </c>
    </row>
    <row r="17" spans="1:18" ht="15.75" customHeight="1" x14ac:dyDescent="0.25">
      <c r="F17" t="s">
        <v>25</v>
      </c>
      <c r="G17" s="19">
        <f>M6/G15^2</f>
        <v>561111111111.11121</v>
      </c>
      <c r="L17" s="17" t="s">
        <v>15</v>
      </c>
      <c r="M17">
        <f>2*M14</f>
        <v>5.5018181818181761E-4</v>
      </c>
      <c r="N17">
        <f>(N14/M14)*M17</f>
        <v>6.6057825907581615E-6</v>
      </c>
      <c r="O17" s="17" t="s">
        <v>32</v>
      </c>
    </row>
    <row r="18" spans="1:18" ht="15.75" customHeight="1" x14ac:dyDescent="0.25">
      <c r="F18" t="s">
        <v>26</v>
      </c>
      <c r="G18" s="19">
        <f>M5/G15^2</f>
        <v>2009999.999999996</v>
      </c>
      <c r="M18">
        <f>M17*10^6</f>
        <v>550.18181818181756</v>
      </c>
      <c r="N18">
        <f>N17*10^6</f>
        <v>6.6057825907581611</v>
      </c>
    </row>
    <row r="19" spans="1:18" ht="15.75" customHeight="1" x14ac:dyDescent="0.25">
      <c r="F19" t="s">
        <v>27</v>
      </c>
      <c r="G19" s="19">
        <f>M8/G15^2</f>
        <v>111111111.11111113</v>
      </c>
    </row>
    <row r="20" spans="1:18" ht="15.75" customHeight="1" x14ac:dyDescent="0.25">
      <c r="E20" s="17"/>
      <c r="F20" t="s">
        <v>28</v>
      </c>
      <c r="G20" s="19">
        <f>M7/G15^2</f>
        <v>155866666.66666639</v>
      </c>
    </row>
    <row r="21" spans="1:18" ht="15.75" customHeight="1" x14ac:dyDescent="0.25">
      <c r="G21" s="19"/>
    </row>
    <row r="22" spans="1:18" ht="15.75" customHeight="1" x14ac:dyDescent="0.25">
      <c r="F22" t="s">
        <v>18</v>
      </c>
      <c r="G22" s="19">
        <f>(G17*G19)-G16^2</f>
        <v>1.0185185185185194E+19</v>
      </c>
    </row>
    <row r="23" spans="1:18" ht="15.75" customHeight="1" x14ac:dyDescent="0.25">
      <c r="F23" t="s">
        <v>10</v>
      </c>
      <c r="G23" s="28">
        <f>(G17*G18-G16*G20)/G22</f>
        <v>2.0909090909089029E-4</v>
      </c>
    </row>
    <row r="24" spans="1:18" ht="15.75" customHeight="1" x14ac:dyDescent="0.25">
      <c r="F24" t="s">
        <v>53</v>
      </c>
      <c r="G24" s="28">
        <f>(G19*G20-G16*G18)/G22</f>
        <v>2.7509090909090886E-4</v>
      </c>
      <c r="H24" s="28">
        <f>G24*2</f>
        <v>5.5018181818181772E-4</v>
      </c>
    </row>
    <row r="25" spans="1:18" ht="15.75" customHeight="1" x14ac:dyDescent="0.25">
      <c r="G25" s="19"/>
    </row>
    <row r="26" spans="1:18" ht="15.75" customHeight="1" x14ac:dyDescent="0.25">
      <c r="F26" t="s">
        <v>21</v>
      </c>
      <c r="G26" s="19">
        <f>SQRT(G17/G22)</f>
        <v>2.3471452679991721E-4</v>
      </c>
    </row>
    <row r="27" spans="1:18" ht="15.75" customHeight="1" x14ac:dyDescent="0.25">
      <c r="F27" t="s">
        <v>54</v>
      </c>
      <c r="G27" s="19">
        <f>SQRT(G19/G22)</f>
        <v>3.3028912953790807E-6</v>
      </c>
    </row>
    <row r="29" spans="1:18" ht="15.75" customHeight="1" x14ac:dyDescent="0.25">
      <c r="A29" s="23" t="s">
        <v>37</v>
      </c>
      <c r="B29" s="23"/>
      <c r="C29" s="23"/>
      <c r="D29" s="23"/>
      <c r="E29" s="23"/>
      <c r="F29" s="23"/>
      <c r="G29" s="23"/>
      <c r="H29" s="23"/>
      <c r="I29" s="23"/>
    </row>
    <row r="30" spans="1:18" ht="15.75" customHeight="1" x14ac:dyDescent="0.25">
      <c r="A30" s="22" t="s">
        <v>38</v>
      </c>
      <c r="B30" s="22"/>
      <c r="C30" s="22"/>
      <c r="D30" s="22" t="s">
        <v>39</v>
      </c>
      <c r="E30" s="22"/>
      <c r="F30" s="22"/>
      <c r="G30" s="18" t="s">
        <v>41</v>
      </c>
      <c r="H30" s="18" t="s">
        <v>43</v>
      </c>
      <c r="I30" s="18" t="s">
        <v>48</v>
      </c>
      <c r="J30" s="18"/>
      <c r="K30" s="18"/>
      <c r="L30" s="18"/>
      <c r="M30" s="18"/>
      <c r="N30" s="18"/>
      <c r="O30" s="18"/>
      <c r="P30" s="18"/>
      <c r="Q30" s="18"/>
      <c r="R30" s="18"/>
    </row>
    <row r="31" spans="1:18" ht="15.75" customHeight="1" x14ac:dyDescent="0.25">
      <c r="A31" s="18" t="s">
        <v>29</v>
      </c>
      <c r="B31" s="18" t="s">
        <v>30</v>
      </c>
      <c r="C31" s="18" t="s">
        <v>40</v>
      </c>
      <c r="D31" s="18" t="s">
        <v>29</v>
      </c>
      <c r="E31" s="18" t="s">
        <v>30</v>
      </c>
      <c r="F31" s="18" t="s">
        <v>40</v>
      </c>
      <c r="G31" s="18" t="s">
        <v>42</v>
      </c>
      <c r="H31" s="18" t="s">
        <v>42</v>
      </c>
      <c r="I31" s="18" t="s">
        <v>42</v>
      </c>
      <c r="L31" s="17"/>
      <c r="O31" s="17"/>
    </row>
    <row r="32" spans="1:18" ht="15.75" customHeight="1" x14ac:dyDescent="0.25">
      <c r="A32" s="27">
        <v>5.5</v>
      </c>
      <c r="B32">
        <v>7</v>
      </c>
      <c r="C32" s="24">
        <f>A32+0.01*B32</f>
        <v>5.57</v>
      </c>
      <c r="D32" s="27">
        <v>6</v>
      </c>
      <c r="E32">
        <v>33</v>
      </c>
      <c r="F32" s="24">
        <f>D32+0.01*E32</f>
        <v>6.33</v>
      </c>
      <c r="G32" s="24">
        <f>ABS(F32-C32)</f>
        <v>0.75999999999999979</v>
      </c>
      <c r="H32" s="19">
        <f>($D$42)/(G32)</f>
        <v>4.5694000000000017E-7</v>
      </c>
      <c r="I32" s="19">
        <f>(H32-$H$39)^2</f>
        <v>8.0057523809444924E-14</v>
      </c>
      <c r="L32" s="17"/>
      <c r="O32" s="17"/>
      <c r="P32" s="17"/>
    </row>
    <row r="33" spans="1:18" ht="15.75" customHeight="1" x14ac:dyDescent="0.25">
      <c r="A33" s="27">
        <v>6</v>
      </c>
      <c r="B33">
        <v>15</v>
      </c>
      <c r="C33" s="24">
        <f t="shared" ref="C33:C38" si="7">A33+0.01*B33</f>
        <v>6.15</v>
      </c>
      <c r="D33" s="27">
        <v>6.5</v>
      </c>
      <c r="E33">
        <v>8</v>
      </c>
      <c r="F33" s="24">
        <f t="shared" ref="F33:F38" si="8">D33+0.01*E33</f>
        <v>6.58</v>
      </c>
      <c r="G33" s="24">
        <f t="shared" ref="G33:G38" si="9">ABS(F33-C33)</f>
        <v>0.42999999999999972</v>
      </c>
      <c r="H33" s="19">
        <f t="shared" ref="H33:H38" si="10">($D$42)/(G33)</f>
        <v>8.0761488372093081E-7</v>
      </c>
      <c r="I33" s="19">
        <f t="shared" ref="I33:I38" si="11">(H33-$H$39)^2</f>
        <v>4.5874207427028912E-15</v>
      </c>
      <c r="L33" s="17"/>
      <c r="O33" s="17"/>
    </row>
    <row r="34" spans="1:18" ht="15.75" customHeight="1" x14ac:dyDescent="0.25">
      <c r="A34" s="27">
        <v>6</v>
      </c>
      <c r="B34">
        <v>2</v>
      </c>
      <c r="C34" s="24">
        <f t="shared" si="7"/>
        <v>6.02</v>
      </c>
      <c r="D34" s="27">
        <v>6</v>
      </c>
      <c r="E34">
        <v>46</v>
      </c>
      <c r="F34" s="24">
        <f t="shared" si="8"/>
        <v>6.46</v>
      </c>
      <c r="G34" s="24">
        <f t="shared" si="9"/>
        <v>0.44000000000000039</v>
      </c>
      <c r="H34" s="19">
        <f t="shared" si="10"/>
        <v>7.8925999999999943E-7</v>
      </c>
      <c r="I34" s="19">
        <f t="shared" si="11"/>
        <v>2.4379515649161202E-15</v>
      </c>
      <c r="L34" s="17"/>
      <c r="O34" s="17"/>
    </row>
    <row r="35" spans="1:18" ht="15.75" customHeight="1" x14ac:dyDescent="0.25">
      <c r="A35" s="27">
        <v>8</v>
      </c>
      <c r="B35">
        <v>0</v>
      </c>
      <c r="C35" s="24">
        <f t="shared" si="7"/>
        <v>8</v>
      </c>
      <c r="D35" s="27">
        <v>8</v>
      </c>
      <c r="E35">
        <v>40</v>
      </c>
      <c r="F35" s="24">
        <f t="shared" si="8"/>
        <v>8.4</v>
      </c>
      <c r="G35" s="24">
        <f t="shared" si="9"/>
        <v>0.40000000000000036</v>
      </c>
      <c r="H35" s="19">
        <f t="shared" si="10"/>
        <v>8.681859999999993E-7</v>
      </c>
      <c r="I35" s="19">
        <f t="shared" si="11"/>
        <v>1.6461304952840398E-14</v>
      </c>
      <c r="L35" s="17"/>
      <c r="O35" s="17"/>
    </row>
    <row r="36" spans="1:18" ht="15.75" customHeight="1" x14ac:dyDescent="0.25">
      <c r="A36" s="27">
        <v>9</v>
      </c>
      <c r="B36">
        <v>14</v>
      </c>
      <c r="C36" s="24">
        <f t="shared" si="7"/>
        <v>9.14</v>
      </c>
      <c r="D36" s="27">
        <v>9.5</v>
      </c>
      <c r="E36">
        <v>10</v>
      </c>
      <c r="F36" s="24">
        <f t="shared" si="8"/>
        <v>9.6</v>
      </c>
      <c r="G36" s="24">
        <f t="shared" si="9"/>
        <v>0.45999999999999908</v>
      </c>
      <c r="H36" s="19">
        <f t="shared" si="10"/>
        <v>7.5494434782608858E-7</v>
      </c>
      <c r="I36" s="19">
        <f t="shared" si="11"/>
        <v>2.2680254385268656E-16</v>
      </c>
      <c r="L36" s="17"/>
      <c r="O36" s="17"/>
    </row>
    <row r="37" spans="1:18" ht="15.75" customHeight="1" x14ac:dyDescent="0.25">
      <c r="A37" s="27">
        <v>4.5</v>
      </c>
      <c r="B37">
        <v>44</v>
      </c>
      <c r="C37" s="24">
        <f t="shared" si="7"/>
        <v>4.9400000000000004</v>
      </c>
      <c r="D37" s="27">
        <v>5</v>
      </c>
      <c r="E37">
        <v>47</v>
      </c>
      <c r="F37" s="24">
        <f t="shared" si="8"/>
        <v>5.47</v>
      </c>
      <c r="G37" s="24">
        <f t="shared" si="9"/>
        <v>0.52999999999999936</v>
      </c>
      <c r="H37" s="19">
        <f t="shared" si="10"/>
        <v>6.5523471698113291E-7</v>
      </c>
      <c r="I37" s="19">
        <f t="shared" si="11"/>
        <v>7.1655659386150783E-15</v>
      </c>
      <c r="L37" s="20"/>
      <c r="M37" s="8"/>
      <c r="N37" s="8"/>
      <c r="O37" s="8"/>
      <c r="P37" s="8"/>
      <c r="Q37" s="8"/>
      <c r="R37" s="8"/>
    </row>
    <row r="38" spans="1:18" ht="15.75" customHeight="1" x14ac:dyDescent="0.25">
      <c r="A38" s="27">
        <v>4</v>
      </c>
      <c r="B38">
        <v>30</v>
      </c>
      <c r="C38" s="24">
        <f t="shared" si="7"/>
        <v>4.3</v>
      </c>
      <c r="D38" s="27">
        <v>4.5</v>
      </c>
      <c r="E38">
        <v>21</v>
      </c>
      <c r="F38" s="24">
        <f t="shared" si="8"/>
        <v>4.71</v>
      </c>
      <c r="G38" s="24">
        <f t="shared" si="9"/>
        <v>0.41000000000000014</v>
      </c>
      <c r="H38" s="19">
        <f t="shared" si="10"/>
        <v>8.4701073170731684E-7</v>
      </c>
      <c r="I38" s="19">
        <f t="shared" si="11"/>
        <v>1.1476054610762058E-14</v>
      </c>
      <c r="L38" s="5"/>
      <c r="M38" s="5"/>
      <c r="N38" s="5"/>
      <c r="O38" s="5"/>
      <c r="P38" s="5"/>
      <c r="Q38" s="5"/>
      <c r="R38" s="5"/>
    </row>
    <row r="39" spans="1:18" ht="15.75" customHeight="1" x14ac:dyDescent="0.25">
      <c r="G39" s="18" t="s">
        <v>47</v>
      </c>
      <c r="H39" s="32">
        <f>AVERAGE(H32:H38)</f>
        <v>7.3988438289078124E-7</v>
      </c>
      <c r="I39" s="18">
        <f>SQRT(SUM(I32:I38)/(COUNT(I32:I38)-1))</f>
        <v>1.4283593394937082E-7</v>
      </c>
      <c r="J39" s="19">
        <f>SUM(I32:I38)</f>
        <v>1.2241262416313415E-13</v>
      </c>
      <c r="L39" s="20"/>
      <c r="M39" s="8"/>
      <c r="N39" s="8"/>
      <c r="O39" s="8"/>
      <c r="P39" s="8"/>
      <c r="Q39" s="8"/>
      <c r="R39" s="8"/>
    </row>
    <row r="40" spans="1:18" ht="15.75" customHeight="1" x14ac:dyDescent="0.25">
      <c r="H40" s="31">
        <f>H39*10^6</f>
        <v>0.73988438289078129</v>
      </c>
      <c r="I40" s="31">
        <f>I39*10^6</f>
        <v>0.14283593394937083</v>
      </c>
      <c r="L40" s="5"/>
      <c r="M40" s="5"/>
      <c r="N40" s="5"/>
      <c r="O40" s="5"/>
      <c r="P40" s="5"/>
      <c r="Q40" s="5"/>
      <c r="R40" s="5"/>
    </row>
    <row r="41" spans="1:18" ht="15.75" customHeight="1" x14ac:dyDescent="0.25">
      <c r="H41" s="31" t="s">
        <v>12</v>
      </c>
      <c r="I41" s="31" t="s">
        <v>12</v>
      </c>
    </row>
    <row r="42" spans="1:18" ht="15.75" customHeight="1" x14ac:dyDescent="0.25">
      <c r="A42" s="17" t="s">
        <v>44</v>
      </c>
      <c r="B42" s="17">
        <v>588.995</v>
      </c>
      <c r="C42" s="17" t="s">
        <v>12</v>
      </c>
      <c r="D42">
        <f>589*589.6*10^-12</f>
        <v>3.4727440000000004E-7</v>
      </c>
      <c r="L42" s="8"/>
      <c r="M42" s="21"/>
    </row>
    <row r="43" spans="1:18" ht="15.75" customHeight="1" x14ac:dyDescent="0.25">
      <c r="A43" s="17" t="s">
        <v>45</v>
      </c>
      <c r="B43">
        <v>589.5924</v>
      </c>
      <c r="C43" s="17" t="s">
        <v>12</v>
      </c>
      <c r="L43" s="8"/>
      <c r="M43" s="21"/>
    </row>
    <row r="44" spans="1:18" ht="15.75" customHeight="1" x14ac:dyDescent="0.25">
      <c r="A44" s="17" t="s">
        <v>46</v>
      </c>
      <c r="B44">
        <f>B43-B42</f>
        <v>0.59739999999999327</v>
      </c>
      <c r="C44" s="17" t="s">
        <v>12</v>
      </c>
    </row>
    <row r="45" spans="1:18" ht="15.75" customHeight="1" x14ac:dyDescent="0.25">
      <c r="B45">
        <f>(B44-H40)/B44</f>
        <v>-0.23850750400199133</v>
      </c>
      <c r="C45" s="17" t="s">
        <v>55</v>
      </c>
      <c r="L45" s="17"/>
      <c r="O45" s="17"/>
    </row>
    <row r="46" spans="1:18" ht="15.75" customHeight="1" x14ac:dyDescent="0.25">
      <c r="Q46" s="19"/>
    </row>
    <row r="47" spans="1:18" ht="15.75" customHeight="1" x14ac:dyDescent="0.25">
      <c r="Q47" s="19"/>
    </row>
    <row r="48" spans="1:18" ht="15.75" customHeight="1" x14ac:dyDescent="0.25">
      <c r="Q48" s="19"/>
    </row>
    <row r="49" spans="4:17" ht="15.75" customHeight="1" x14ac:dyDescent="0.25">
      <c r="Q49" s="19"/>
    </row>
    <row r="50" spans="4:17" ht="15.75" customHeight="1" x14ac:dyDescent="0.25">
      <c r="Q50" s="19"/>
    </row>
    <row r="51" spans="4:17" ht="15.75" customHeight="1" x14ac:dyDescent="0.25">
      <c r="Q51" s="19"/>
    </row>
    <row r="52" spans="4:17" ht="15.75" customHeight="1" x14ac:dyDescent="0.25">
      <c r="Q52" s="19"/>
    </row>
    <row r="53" spans="4:17" ht="15.75" customHeight="1" x14ac:dyDescent="0.25">
      <c r="Q53" s="19"/>
    </row>
    <row r="54" spans="4:17" ht="15.75" customHeight="1" x14ac:dyDescent="0.25">
      <c r="D54" s="17"/>
      <c r="E54" s="17"/>
      <c r="F54" s="17"/>
      <c r="Q54" s="19"/>
    </row>
    <row r="55" spans="4:17" ht="15.75" customHeight="1" x14ac:dyDescent="0.25">
      <c r="Q55" s="19"/>
    </row>
    <row r="56" spans="4:17" ht="15.75" customHeight="1" x14ac:dyDescent="0.25">
      <c r="Q56" s="19"/>
    </row>
    <row r="57" spans="4:17" ht="15.75" customHeight="1" x14ac:dyDescent="0.25">
      <c r="Q57" s="19"/>
    </row>
    <row r="58" spans="4:17" ht="15.75" customHeight="1" x14ac:dyDescent="0.25">
      <c r="Q58" s="19"/>
    </row>
  </sheetData>
  <mergeCells count="4">
    <mergeCell ref="D30:F30"/>
    <mergeCell ref="A30:C30"/>
    <mergeCell ref="A29:I29"/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gayatri padinjaroot</cp:lastModifiedBy>
  <dcterms:modified xsi:type="dcterms:W3CDTF">2024-08-27T19:50:57Z</dcterms:modified>
</cp:coreProperties>
</file>