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ll notes\labs\nuclear and radiation physics\7. compton scattering\"/>
    </mc:Choice>
  </mc:AlternateContent>
  <xr:revisionPtr revIDLastSave="0" documentId="13_ncr:1_{938828E9-676E-4C96-A546-67811C2C85D3}" xr6:coauthVersionLast="47" xr6:coauthVersionMax="47" xr10:uidLastSave="{00000000-0000-0000-0000-000000000000}"/>
  <bookViews>
    <workbookView xWindow="-108" yWindow="-108" windowWidth="23256" windowHeight="13176" xr2:uid="{01EA9E5C-69ED-4F86-AACC-A57B7B7E9B25}"/>
  </bookViews>
  <sheets>
    <sheet name="al" sheetId="5" r:id="rId1"/>
    <sheet name="cu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G3" i="4"/>
  <c r="M7" i="5"/>
  <c r="J7" i="5"/>
  <c r="K7" i="5" s="1"/>
  <c r="H7" i="5"/>
  <c r="F7" i="5"/>
  <c r="D7" i="5"/>
  <c r="J6" i="5"/>
  <c r="K6" i="5" s="1"/>
  <c r="H6" i="5"/>
  <c r="F6" i="5"/>
  <c r="G6" i="5" s="1"/>
  <c r="D6" i="5"/>
  <c r="M5" i="5"/>
  <c r="J5" i="5"/>
  <c r="K5" i="5" s="1"/>
  <c r="H5" i="5"/>
  <c r="F5" i="5"/>
  <c r="D5" i="5"/>
  <c r="J4" i="5"/>
  <c r="K4" i="5" s="1"/>
  <c r="H4" i="5"/>
  <c r="F4" i="5"/>
  <c r="G4" i="5" s="1"/>
  <c r="D4" i="5"/>
  <c r="S3" i="5"/>
  <c r="L7" i="5" s="1"/>
  <c r="L3" i="5"/>
  <c r="K3" i="5"/>
  <c r="J3" i="5"/>
  <c r="H3" i="5"/>
  <c r="F3" i="5"/>
  <c r="G3" i="5" s="1"/>
  <c r="D3" i="5"/>
  <c r="C3" i="5"/>
  <c r="L2" i="5"/>
  <c r="K2" i="5"/>
  <c r="J2" i="5"/>
  <c r="H2" i="5"/>
  <c r="F2" i="5"/>
  <c r="D2" i="5"/>
  <c r="F2" i="4"/>
  <c r="D3" i="4"/>
  <c r="D4" i="4"/>
  <c r="D5" i="4"/>
  <c r="D6" i="4"/>
  <c r="D7" i="4"/>
  <c r="D2" i="4"/>
  <c r="E3" i="4"/>
  <c r="E4" i="4"/>
  <c r="E5" i="4"/>
  <c r="E6" i="4"/>
  <c r="E7" i="4"/>
  <c r="E2" i="4"/>
  <c r="C3" i="4"/>
  <c r="C5" i="4"/>
  <c r="C6" i="4"/>
  <c r="J7" i="4"/>
  <c r="K7" i="4" s="1"/>
  <c r="H7" i="4"/>
  <c r="F7" i="4"/>
  <c r="J6" i="4"/>
  <c r="H6" i="4"/>
  <c r="F6" i="4"/>
  <c r="G6" i="4" s="1"/>
  <c r="J5" i="4"/>
  <c r="K5" i="4" s="1"/>
  <c r="H5" i="4"/>
  <c r="F5" i="4"/>
  <c r="J4" i="4"/>
  <c r="C4" i="4" s="1"/>
  <c r="H4" i="4"/>
  <c r="F4" i="4"/>
  <c r="G4" i="4" s="1"/>
  <c r="S3" i="4"/>
  <c r="C7" i="4" s="1"/>
  <c r="J3" i="4"/>
  <c r="H3" i="4"/>
  <c r="J2" i="4"/>
  <c r="M2" i="4" s="1"/>
  <c r="H2" i="4"/>
  <c r="G7" i="4"/>
  <c r="G5" i="5" l="1"/>
  <c r="G7" i="5"/>
  <c r="N6" i="5"/>
  <c r="O6" i="5" s="1"/>
  <c r="N3" i="5"/>
  <c r="O3" i="5" s="1"/>
  <c r="N2" i="5"/>
  <c r="O2" i="5" s="1"/>
  <c r="N7" i="5"/>
  <c r="O7" i="5" s="1"/>
  <c r="C2" i="5"/>
  <c r="M2" i="5"/>
  <c r="C4" i="5"/>
  <c r="L4" i="5"/>
  <c r="N4" i="5" s="1"/>
  <c r="O4" i="5" s="1"/>
  <c r="M4" i="5"/>
  <c r="C6" i="5"/>
  <c r="L6" i="5"/>
  <c r="M6" i="5"/>
  <c r="M3" i="5"/>
  <c r="C5" i="5"/>
  <c r="L5" i="5"/>
  <c r="N5" i="5" s="1"/>
  <c r="O5" i="5" s="1"/>
  <c r="C7" i="5"/>
  <c r="G5" i="4"/>
  <c r="L5" i="4"/>
  <c r="C2" i="4"/>
  <c r="M5" i="4"/>
  <c r="K2" i="4"/>
  <c r="L2" i="4"/>
  <c r="N5" i="4"/>
  <c r="O5" i="4" s="1"/>
  <c r="K4" i="4"/>
  <c r="L7" i="4"/>
  <c r="L4" i="4"/>
  <c r="M7" i="4"/>
  <c r="N7" i="4" s="1"/>
  <c r="O7" i="4" s="1"/>
  <c r="K3" i="4"/>
  <c r="K6" i="4"/>
  <c r="L3" i="4"/>
  <c r="L6" i="4"/>
  <c r="M3" i="4"/>
  <c r="M6" i="4"/>
  <c r="M4" i="4"/>
  <c r="S4" i="5" l="1"/>
  <c r="E3" i="5"/>
  <c r="E6" i="5"/>
  <c r="E4" i="5"/>
  <c r="E2" i="5"/>
  <c r="E7" i="5"/>
  <c r="E5" i="5"/>
  <c r="N6" i="4"/>
  <c r="O6" i="4" s="1"/>
  <c r="N2" i="4"/>
  <c r="O2" i="4" s="1"/>
  <c r="N4" i="4"/>
  <c r="O4" i="4" s="1"/>
  <c r="N3" i="4"/>
  <c r="O3" i="4" s="1"/>
  <c r="S4" i="4" l="1"/>
</calcChain>
</file>

<file path=xl/sharedStrings.xml><?xml version="1.0" encoding="utf-8"?>
<sst xmlns="http://schemas.openxmlformats.org/spreadsheetml/2006/main" count="36" uniqueCount="18">
  <si>
    <t>delta lambda exp</t>
  </si>
  <si>
    <t>E</t>
  </si>
  <si>
    <t>lambda</t>
  </si>
  <si>
    <t>theta</t>
  </si>
  <si>
    <t>delta lambda th</t>
  </si>
  <si>
    <t>Intensity</t>
  </si>
  <si>
    <t>cross-section</t>
  </si>
  <si>
    <t>gamma</t>
  </si>
  <si>
    <t>r0</t>
  </si>
  <si>
    <t>C</t>
  </si>
  <si>
    <t>cos theta</t>
  </si>
  <si>
    <t>term1</t>
  </si>
  <si>
    <t>term2</t>
  </si>
  <si>
    <t>term3-1</t>
  </si>
  <si>
    <t>I/cross</t>
  </si>
  <si>
    <t>Eth</t>
  </si>
  <si>
    <t>Delta E obs</t>
  </si>
  <si>
    <t>Delta E 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</si>
</sst>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wrapText="1"/>
    </xf>
    <xf numFmtId="11" fontId="0" fillId="0" borderId="0" xfId="0" applyNumberFormat="1"/>
    <xf numFmtId="0" fontId="0" fillId="2" borderId="0" xfId="0" applyFill="1"/>
    <xf numFmtId="2" fontId="1" fillId="0" borderId="0" xfId="0" applyNumberFormat="1" applyFont="1" applyFill="1" applyAlignment="1">
      <alignment wrapText="1"/>
    </xf>
    <xf numFmtId="2" fontId="0" fillId="0" borderId="0" xfId="0" applyNumberFormat="1" applyFill="1"/>
    <xf numFmtId="0" fontId="1" fillId="0" borderId="0" xfId="0" applyFont="1" applyFill="1"/>
    <xf numFmtId="164" fontId="0" fillId="0" borderId="0" xfId="0" applyNumberFormat="1" applyFont="1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6D47D-CA42-41E6-B205-BBF34155774F}">
  <dimension ref="A1:T7"/>
  <sheetViews>
    <sheetView tabSelected="1" workbookViewId="0">
      <selection activeCell="I7" sqref="I7"/>
    </sheetView>
  </sheetViews>
  <sheetFormatPr defaultRowHeight="14.4" x14ac:dyDescent="0.3"/>
  <cols>
    <col min="2" max="2" width="9.5546875" bestFit="1" customWidth="1"/>
    <col min="5" max="5" width="8.88671875" style="8"/>
    <col min="8" max="8" width="9.5546875" bestFit="1" customWidth="1"/>
    <col min="14" max="14" width="9.5546875" bestFit="1" customWidth="1"/>
  </cols>
  <sheetData>
    <row r="1" spans="1:20" s="4" customFormat="1" ht="43.2" x14ac:dyDescent="0.3">
      <c r="A1" s="4" t="s">
        <v>3</v>
      </c>
      <c r="B1" s="4" t="s">
        <v>1</v>
      </c>
      <c r="C1" s="4" t="s">
        <v>15</v>
      </c>
      <c r="D1" s="7" t="s">
        <v>16</v>
      </c>
      <c r="E1" s="4" t="s">
        <v>17</v>
      </c>
      <c r="F1" s="4" t="s">
        <v>2</v>
      </c>
      <c r="G1" s="4" t="s">
        <v>0</v>
      </c>
      <c r="H1" s="4" t="s">
        <v>4</v>
      </c>
      <c r="I1" s="4" t="s">
        <v>5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6</v>
      </c>
      <c r="O1" s="4" t="s">
        <v>14</v>
      </c>
    </row>
    <row r="2" spans="1:20" x14ac:dyDescent="0.3">
      <c r="A2">
        <v>0</v>
      </c>
      <c r="B2" s="2">
        <v>665</v>
      </c>
      <c r="C2">
        <f>(662/(1+$S$3*(1-J2)))</f>
        <v>662</v>
      </c>
      <c r="D2" s="10">
        <f>-B2+$B$2</f>
        <v>0</v>
      </c>
      <c r="E2" s="11">
        <f>$C$2-C2</f>
        <v>0</v>
      </c>
      <c r="F2" s="1">
        <f>1.24/(B2*0.001)</f>
        <v>1.8646616541353382</v>
      </c>
      <c r="G2">
        <v>0</v>
      </c>
      <c r="H2" s="3">
        <f>2.426*(1-COS(RADIANS(A2)))</f>
        <v>0</v>
      </c>
      <c r="I2">
        <v>15399</v>
      </c>
      <c r="J2" s="6">
        <f>COS(RADIANS(A2))</f>
        <v>1</v>
      </c>
      <c r="K2" s="6">
        <f t="shared" ref="K2:K7" si="0">((1+J2^2)/2)</f>
        <v>1</v>
      </c>
      <c r="L2" s="6">
        <f>1/(1+$S$3*(1-J2)^2)</f>
        <v>1</v>
      </c>
      <c r="M2" s="6">
        <f>($S$3*(1-J2))^2/((1+J2^2)*(1+$S$3*(1-J2)))</f>
        <v>0</v>
      </c>
      <c r="N2" s="3">
        <f>$S$2^2*K2*L2*(M2+1)*1E+30</f>
        <v>7.9411240000000012</v>
      </c>
      <c r="O2">
        <f>I2/N2</f>
        <v>1939.1461460619425</v>
      </c>
      <c r="R2" t="s">
        <v>8</v>
      </c>
      <c r="S2" s="5">
        <v>2.818E-15</v>
      </c>
    </row>
    <row r="3" spans="1:20" x14ac:dyDescent="0.3">
      <c r="A3">
        <v>30</v>
      </c>
      <c r="B3" s="2">
        <v>542.4</v>
      </c>
      <c r="C3">
        <f>(662/(1+$S$3*(1-J3)))</f>
        <v>564.09366981174526</v>
      </c>
      <c r="D3" s="10">
        <f t="shared" ref="D3:D7" si="1">-B3+$B$2</f>
        <v>122.60000000000002</v>
      </c>
      <c r="E3" s="11">
        <f t="shared" ref="E3:E7" si="2">$C$2-C3</f>
        <v>97.906330188254742</v>
      </c>
      <c r="F3" s="1">
        <f t="shared" ref="F3:F7" si="3">1.24/(B3*0.001)</f>
        <v>2.2861356932153392</v>
      </c>
      <c r="G3" s="3">
        <f>F3-$F$2</f>
        <v>0.42147403908000092</v>
      </c>
      <c r="H3" s="3">
        <f t="shared" ref="H3:H7" si="4">2.426*(1-COS(RADIANS(A3)))</f>
        <v>0.32502237041895171</v>
      </c>
      <c r="I3">
        <v>867</v>
      </c>
      <c r="J3" s="6">
        <f t="shared" ref="J3:J7" si="5">COS(RADIANS(A3))</f>
        <v>0.86602540378443871</v>
      </c>
      <c r="K3" s="6">
        <f t="shared" si="0"/>
        <v>0.875</v>
      </c>
      <c r="L3" s="6">
        <f>1/(1+$S$3*(1-J3)^2)</f>
        <v>0.97727526079301963</v>
      </c>
      <c r="M3" s="6">
        <f>($S$3*(1-J3))^2/((1+J3^2)*(1+$S$3*(1-J3)))</f>
        <v>1.4668114122358231E-2</v>
      </c>
      <c r="N3" s="3">
        <f>$S$2^2*K3*L3*(M3+1)*1E+30</f>
        <v>6.8901860420041325</v>
      </c>
      <c r="O3">
        <f t="shared" ref="O3:O7" si="6">I3/N3</f>
        <v>125.83114515552583</v>
      </c>
      <c r="R3" t="s">
        <v>7</v>
      </c>
      <c r="S3">
        <f>662/511</f>
        <v>1.2954990215264188</v>
      </c>
    </row>
    <row r="4" spans="1:20" x14ac:dyDescent="0.3">
      <c r="A4">
        <v>45</v>
      </c>
      <c r="B4" s="2">
        <v>467.9</v>
      </c>
      <c r="C4">
        <f>(662/(1+$S$3*(1-J4)))</f>
        <v>479.90388755731612</v>
      </c>
      <c r="D4" s="10">
        <f t="shared" si="1"/>
        <v>197.10000000000002</v>
      </c>
      <c r="E4" s="11">
        <f t="shared" si="2"/>
        <v>182.09611244268388</v>
      </c>
      <c r="F4" s="1">
        <f t="shared" si="3"/>
        <v>2.6501389185723445</v>
      </c>
      <c r="G4" s="3">
        <f>F4-$F$2</f>
        <v>0.78547726443700627</v>
      </c>
      <c r="H4" s="3">
        <f>2.426*(1-COS(RADIANS(A4)))</f>
        <v>0.71055894884143567</v>
      </c>
      <c r="I4">
        <v>721</v>
      </c>
      <c r="J4" s="6">
        <f t="shared" si="5"/>
        <v>0.70710678118654757</v>
      </c>
      <c r="K4" s="6">
        <f t="shared" si="0"/>
        <v>0.75</v>
      </c>
      <c r="L4" s="6">
        <f t="shared" ref="L4:L7" si="7">1/(1+$S$3*(1-J4)^2)</f>
        <v>0.8999796411957719</v>
      </c>
      <c r="M4" s="6">
        <f t="shared" ref="M4:M7" si="8">($S$3*(1-J4))^2/((1+J4^2)*(1+$S$3*(1-J4)))</f>
        <v>6.9582148084480183E-2</v>
      </c>
      <c r="N4" s="3">
        <f>$S$2^2*K4*L4*(M4+1)*1E+30</f>
        <v>5.7331073236901089</v>
      </c>
      <c r="O4">
        <f t="shared" si="6"/>
        <v>125.76077147914424</v>
      </c>
      <c r="R4" s="9" t="s">
        <v>9</v>
      </c>
      <c r="S4" s="9">
        <f>SUM(O2:O7)/120</f>
        <v>21.119125139769572</v>
      </c>
      <c r="T4" s="5">
        <v>1E+30</v>
      </c>
    </row>
    <row r="5" spans="1:20" x14ac:dyDescent="0.3">
      <c r="A5">
        <v>60</v>
      </c>
      <c r="B5" s="2">
        <v>391</v>
      </c>
      <c r="C5">
        <f>(662/(1+$S$3*(1-J5)))</f>
        <v>401.76009501187656</v>
      </c>
      <c r="D5" s="10">
        <f t="shared" si="1"/>
        <v>274</v>
      </c>
      <c r="E5" s="11">
        <f t="shared" si="2"/>
        <v>260.23990498812344</v>
      </c>
      <c r="F5" s="1">
        <f t="shared" si="3"/>
        <v>3.1713554987212276</v>
      </c>
      <c r="G5" s="3">
        <f>F5-$F$2</f>
        <v>1.3066938445858893</v>
      </c>
      <c r="H5" s="3">
        <f t="shared" si="4"/>
        <v>1.2129999999999999</v>
      </c>
      <c r="I5">
        <v>464</v>
      </c>
      <c r="J5" s="6">
        <f t="shared" si="5"/>
        <v>0.50000000000000011</v>
      </c>
      <c r="K5" s="6">
        <f t="shared" si="0"/>
        <v>0.625</v>
      </c>
      <c r="L5" s="6">
        <f t="shared" si="7"/>
        <v>0.75535846267553586</v>
      </c>
      <c r="M5" s="6">
        <f t="shared" si="8"/>
        <v>0.20371029744667202</v>
      </c>
      <c r="N5" s="3">
        <f>$S$2^2*K5*L5*(M5+1)*1E+30</f>
        <v>4.5127063064519239</v>
      </c>
      <c r="O5">
        <f t="shared" si="6"/>
        <v>102.82078391332672</v>
      </c>
    </row>
    <row r="6" spans="1:20" x14ac:dyDescent="0.3">
      <c r="A6">
        <v>90</v>
      </c>
      <c r="B6" s="2">
        <v>278.10000000000002</v>
      </c>
      <c r="C6">
        <f>(662/(1+$S$3*(1-J6)))</f>
        <v>288.3904518329071</v>
      </c>
      <c r="D6" s="10">
        <f t="shared" si="1"/>
        <v>386.9</v>
      </c>
      <c r="E6" s="11">
        <f t="shared" si="2"/>
        <v>373.6095481670929</v>
      </c>
      <c r="F6" s="1">
        <f t="shared" si="3"/>
        <v>4.4588277597986332</v>
      </c>
      <c r="G6" s="3">
        <f>F6-$F$2</f>
        <v>2.594166105663295</v>
      </c>
      <c r="H6" s="3">
        <f t="shared" si="4"/>
        <v>2.4259999999999997</v>
      </c>
      <c r="I6">
        <v>391</v>
      </c>
      <c r="J6" s="6">
        <f t="shared" si="5"/>
        <v>6.1257422745431001E-17</v>
      </c>
      <c r="K6" s="6">
        <f t="shared" si="0"/>
        <v>0.5</v>
      </c>
      <c r="L6" s="6">
        <f t="shared" si="7"/>
        <v>0.43563512361466333</v>
      </c>
      <c r="M6" s="6">
        <f t="shared" si="8"/>
        <v>0.73113414514108199</v>
      </c>
      <c r="N6" s="3">
        <f>$S$2^2*K6*L6*(M6+1)*1E+30</f>
        <v>2.9943708924036061</v>
      </c>
      <c r="O6">
        <f t="shared" si="6"/>
        <v>130.57834652077489</v>
      </c>
    </row>
    <row r="7" spans="1:20" x14ac:dyDescent="0.3">
      <c r="A7">
        <v>120</v>
      </c>
      <c r="B7" s="2">
        <v>210.4</v>
      </c>
      <c r="C7">
        <f>(662/(1+$S$3*(1-J7)))</f>
        <v>224.9215425531915</v>
      </c>
      <c r="D7" s="10">
        <f t="shared" si="1"/>
        <v>454.6</v>
      </c>
      <c r="E7" s="11">
        <f t="shared" si="2"/>
        <v>437.0784574468085</v>
      </c>
      <c r="F7" s="1">
        <f t="shared" si="3"/>
        <v>5.8935361216730033</v>
      </c>
      <c r="G7" s="3">
        <f>F7-$F$2</f>
        <v>4.0288744675376655</v>
      </c>
      <c r="H7" s="3">
        <f t="shared" si="4"/>
        <v>3.6389999999999998</v>
      </c>
      <c r="I7">
        <v>283</v>
      </c>
      <c r="J7" s="6">
        <f t="shared" si="5"/>
        <v>-0.49999999999999978</v>
      </c>
      <c r="K7" s="6">
        <f t="shared" si="0"/>
        <v>0.62499999999999989</v>
      </c>
      <c r="L7" s="6">
        <f t="shared" si="7"/>
        <v>0.25543614096475886</v>
      </c>
      <c r="M7" s="6">
        <f t="shared" si="8"/>
        <v>1.0264073364700004</v>
      </c>
      <c r="N7" s="3">
        <f>$S$2^2*K7*L7*(M7+1)*1E+30</f>
        <v>2.5690413140391763</v>
      </c>
      <c r="O7">
        <f t="shared" si="6"/>
        <v>110.15782364163429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2157D-3609-416E-AB91-F800D91ED79A}">
  <dimension ref="A1:T7"/>
  <sheetViews>
    <sheetView workbookViewId="0">
      <selection activeCell="N6" sqref="N6"/>
    </sheetView>
  </sheetViews>
  <sheetFormatPr defaultRowHeight="14.4" x14ac:dyDescent="0.3"/>
  <cols>
    <col min="5" max="5" width="8.88671875" style="8"/>
    <col min="8" max="8" width="9.5546875" bestFit="1" customWidth="1"/>
    <col min="14" max="14" width="9.5546875" bestFit="1" customWidth="1"/>
  </cols>
  <sheetData>
    <row r="1" spans="1:20" s="4" customFormat="1" ht="43.2" x14ac:dyDescent="0.3">
      <c r="A1" s="4" t="s">
        <v>3</v>
      </c>
      <c r="B1" s="4" t="s">
        <v>1</v>
      </c>
      <c r="C1" s="4" t="s">
        <v>15</v>
      </c>
      <c r="D1" s="7" t="s">
        <v>16</v>
      </c>
      <c r="E1" s="4" t="s">
        <v>17</v>
      </c>
      <c r="F1" s="4" t="s">
        <v>2</v>
      </c>
      <c r="G1" s="4" t="s">
        <v>0</v>
      </c>
      <c r="H1" s="4" t="s">
        <v>4</v>
      </c>
      <c r="I1" s="4" t="s">
        <v>5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6</v>
      </c>
      <c r="O1" s="4" t="s">
        <v>14</v>
      </c>
    </row>
    <row r="2" spans="1:20" x14ac:dyDescent="0.3">
      <c r="A2">
        <v>0</v>
      </c>
      <c r="B2" s="2">
        <v>666.6</v>
      </c>
      <c r="C2">
        <f>(662/(1+$S$3*(1-J2)))</f>
        <v>662</v>
      </c>
      <c r="D2" s="10">
        <f>-B2+$B$2</f>
        <v>0</v>
      </c>
      <c r="E2" s="11">
        <f>$C$2-C2</f>
        <v>0</v>
      </c>
      <c r="F2" s="1">
        <f>1.24/(B2*0.001)</f>
        <v>1.8601860186018599</v>
      </c>
      <c r="G2">
        <v>0</v>
      </c>
      <c r="H2" s="3">
        <f>2.426*(1-COS(RADIANS(A2)))</f>
        <v>0</v>
      </c>
      <c r="I2">
        <v>7811</v>
      </c>
      <c r="J2" s="6">
        <f>COS(RADIANS(A2))</f>
        <v>1</v>
      </c>
      <c r="K2" s="6">
        <f t="shared" ref="K2:K7" si="0">((1+J2^2)/2)</f>
        <v>1</v>
      </c>
      <c r="L2" s="6">
        <f>1/(1+$S$3*(1-J2)^2)</f>
        <v>1</v>
      </c>
      <c r="M2" s="6">
        <f>($S$3*(1-J2))^2/((1+J2^2)*(1+$S$3*(1-J2)))</f>
        <v>0</v>
      </c>
      <c r="N2" s="3">
        <f>$S$2^2*K2*L2*(M2+1)*1E+30</f>
        <v>7.9411240000000012</v>
      </c>
      <c r="O2">
        <f>I2/N2</f>
        <v>983.61390654521938</v>
      </c>
      <c r="R2" t="s">
        <v>8</v>
      </c>
      <c r="S2" s="5">
        <v>2.818E-15</v>
      </c>
    </row>
    <row r="3" spans="1:20" x14ac:dyDescent="0.3">
      <c r="A3">
        <v>30</v>
      </c>
      <c r="B3" s="2">
        <v>551.4</v>
      </c>
      <c r="C3">
        <f>(662/(1+$S$3*(1-J3)))</f>
        <v>564.09366981174526</v>
      </c>
      <c r="D3" s="10">
        <f t="shared" ref="D3:D7" si="1">-B3+$B$2</f>
        <v>115.20000000000005</v>
      </c>
      <c r="E3" s="11">
        <f t="shared" ref="E3:E7" si="2">$C$2-C3</f>
        <v>97.906330188254742</v>
      </c>
      <c r="F3" s="1">
        <f>1.24/(B3*0.001)</f>
        <v>2.2488211824446864</v>
      </c>
      <c r="G3" s="3">
        <f>F3-$F$2</f>
        <v>0.38863516384282648</v>
      </c>
      <c r="H3" s="3">
        <f t="shared" ref="H3:H7" si="3">2.426*(1-COS(RADIANS(A3)))</f>
        <v>0.32502237041895171</v>
      </c>
      <c r="I3">
        <v>1309</v>
      </c>
      <c r="J3" s="6">
        <f t="shared" ref="J3:J7" si="4">COS(RADIANS(A3))</f>
        <v>0.86602540378443871</v>
      </c>
      <c r="K3" s="6">
        <f t="shared" si="0"/>
        <v>0.875</v>
      </c>
      <c r="L3" s="6">
        <f>1/(1+$S$3*(1-J3)^2)</f>
        <v>0.97727526079301963</v>
      </c>
      <c r="M3" s="6">
        <f>($S$3*(1-J3))^2/((1+J3^2)*(1+$S$3*(1-J3)))</f>
        <v>1.4668114122358231E-2</v>
      </c>
      <c r="N3" s="3">
        <f>$S$2^2*K3*L3*(M3+1)*1E+30</f>
        <v>6.8901860420041325</v>
      </c>
      <c r="O3">
        <f t="shared" ref="O3:O7" si="5">I3/N3</f>
        <v>189.98035641128411</v>
      </c>
      <c r="R3" t="s">
        <v>7</v>
      </c>
      <c r="S3">
        <f>662/511</f>
        <v>1.2954990215264188</v>
      </c>
    </row>
    <row r="4" spans="1:20" x14ac:dyDescent="0.3">
      <c r="A4">
        <v>45</v>
      </c>
      <c r="B4" s="2">
        <v>469.8</v>
      </c>
      <c r="C4">
        <f>(662/(1+$S$3*(1-J4)))</f>
        <v>479.90388755731612</v>
      </c>
      <c r="D4" s="10">
        <f t="shared" si="1"/>
        <v>196.8</v>
      </c>
      <c r="E4" s="11">
        <f t="shared" si="2"/>
        <v>182.09611244268388</v>
      </c>
      <c r="F4" s="1">
        <f t="shared" ref="F3:F7" si="6">1.24/(B4*0.001)</f>
        <v>2.6394210302256278</v>
      </c>
      <c r="G4" s="3">
        <f>F4-$F$2</f>
        <v>0.77923501162376785</v>
      </c>
      <c r="H4" s="3">
        <f>2.426*(1-COS(RADIANS(A4)))</f>
        <v>0.71055894884143567</v>
      </c>
      <c r="I4">
        <v>1027</v>
      </c>
      <c r="J4" s="6">
        <f t="shared" si="4"/>
        <v>0.70710678118654757</v>
      </c>
      <c r="K4" s="6">
        <f t="shared" si="0"/>
        <v>0.75</v>
      </c>
      <c r="L4" s="6">
        <f t="shared" ref="L4:L7" si="7">1/(1+$S$3*(1-J4)^2)</f>
        <v>0.8999796411957719</v>
      </c>
      <c r="M4" s="6">
        <f t="shared" ref="M4:M7" si="8">($S$3*(1-J4))^2/((1+J4^2)*(1+$S$3*(1-J4)))</f>
        <v>6.9582148084480183E-2</v>
      </c>
      <c r="N4" s="3">
        <f>$S$2^2*K4*L4*(M4+1)*1E+30</f>
        <v>5.7331073236901089</v>
      </c>
      <c r="O4">
        <f t="shared" si="5"/>
        <v>179.13496852854527</v>
      </c>
      <c r="R4" s="9" t="s">
        <v>9</v>
      </c>
      <c r="S4" s="9">
        <f>SUM(O2:O7)/120</f>
        <v>15.726441096346594</v>
      </c>
      <c r="T4" s="5">
        <v>1E+30</v>
      </c>
    </row>
    <row r="5" spans="1:20" x14ac:dyDescent="0.3">
      <c r="A5">
        <v>60</v>
      </c>
      <c r="B5" s="2">
        <v>399.1</v>
      </c>
      <c r="C5">
        <f>(662/(1+$S$3*(1-J5)))</f>
        <v>401.76009501187656</v>
      </c>
      <c r="D5" s="10">
        <f t="shared" si="1"/>
        <v>267.5</v>
      </c>
      <c r="E5" s="11">
        <f t="shared" si="2"/>
        <v>260.23990498812344</v>
      </c>
      <c r="F5" s="1">
        <f t="shared" si="6"/>
        <v>3.1069907291405663</v>
      </c>
      <c r="G5" s="3">
        <f>F5-$F$2</f>
        <v>1.2468047105387063</v>
      </c>
      <c r="H5" s="3">
        <f t="shared" si="3"/>
        <v>1.2129999999999999</v>
      </c>
      <c r="I5">
        <v>785</v>
      </c>
      <c r="J5" s="6">
        <f t="shared" si="4"/>
        <v>0.50000000000000011</v>
      </c>
      <c r="K5" s="6">
        <f t="shared" si="0"/>
        <v>0.625</v>
      </c>
      <c r="L5" s="6">
        <f t="shared" si="7"/>
        <v>0.75535846267553586</v>
      </c>
      <c r="M5" s="6">
        <f t="shared" si="8"/>
        <v>0.20371029744667202</v>
      </c>
      <c r="N5" s="3">
        <f>$S$2^2*K5*L5*(M5+1)*1E+30</f>
        <v>4.5127063064519239</v>
      </c>
      <c r="O5">
        <f t="shared" si="5"/>
        <v>173.953265887848</v>
      </c>
    </row>
    <row r="6" spans="1:20" x14ac:dyDescent="0.3">
      <c r="A6">
        <v>90</v>
      </c>
      <c r="B6" s="2">
        <v>280</v>
      </c>
      <c r="C6">
        <f>(662/(1+$S$3*(1-J6)))</f>
        <v>288.3904518329071</v>
      </c>
      <c r="D6" s="10">
        <f t="shared" si="1"/>
        <v>386.6</v>
      </c>
      <c r="E6" s="11">
        <f t="shared" si="2"/>
        <v>373.6095481670929</v>
      </c>
      <c r="F6" s="1">
        <f t="shared" si="6"/>
        <v>4.4285714285714279</v>
      </c>
      <c r="G6" s="3">
        <f>F6-$F$2</f>
        <v>2.5683854099695678</v>
      </c>
      <c r="H6" s="3">
        <f t="shared" si="3"/>
        <v>2.4259999999999997</v>
      </c>
      <c r="I6">
        <v>492</v>
      </c>
      <c r="J6" s="6">
        <f t="shared" si="4"/>
        <v>6.1257422745431001E-17</v>
      </c>
      <c r="K6" s="6">
        <f t="shared" si="0"/>
        <v>0.5</v>
      </c>
      <c r="L6" s="6">
        <f t="shared" si="7"/>
        <v>0.43563512361466333</v>
      </c>
      <c r="M6" s="6">
        <f t="shared" si="8"/>
        <v>0.73113414514108199</v>
      </c>
      <c r="N6" s="3">
        <f>$S$2^2*K6*L6*(M6+1)*1E+30</f>
        <v>2.9943708924036061</v>
      </c>
      <c r="O6">
        <f t="shared" si="5"/>
        <v>164.30830303892901</v>
      </c>
    </row>
    <row r="7" spans="1:20" x14ac:dyDescent="0.3">
      <c r="A7">
        <v>120</v>
      </c>
      <c r="B7" s="2">
        <v>215.4</v>
      </c>
      <c r="C7">
        <f>(662/(1+$S$3*(1-J7)))</f>
        <v>224.9215425531915</v>
      </c>
      <c r="D7" s="10">
        <f t="shared" si="1"/>
        <v>451.20000000000005</v>
      </c>
      <c r="E7" s="11">
        <f t="shared" si="2"/>
        <v>437.0784574468085</v>
      </c>
      <c r="F7" s="1">
        <f t="shared" si="6"/>
        <v>5.7567316620241407</v>
      </c>
      <c r="G7" s="3">
        <f>F7-$F$2</f>
        <v>3.8965456434222805</v>
      </c>
      <c r="H7" s="3">
        <f t="shared" si="3"/>
        <v>3.6389999999999998</v>
      </c>
      <c r="I7">
        <v>504</v>
      </c>
      <c r="J7" s="6">
        <f t="shared" si="4"/>
        <v>-0.49999999999999978</v>
      </c>
      <c r="K7" s="6">
        <f t="shared" si="0"/>
        <v>0.62499999999999989</v>
      </c>
      <c r="L7" s="6">
        <f t="shared" si="7"/>
        <v>0.25543614096475886</v>
      </c>
      <c r="M7" s="6">
        <f t="shared" si="8"/>
        <v>1.0264073364700004</v>
      </c>
      <c r="N7" s="3">
        <f>$S$2^2*K7*L7*(M7+1)*1E+30</f>
        <v>2.5690413140391763</v>
      </c>
      <c r="O7">
        <f t="shared" si="5"/>
        <v>196.18213114976567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</vt:lpstr>
      <vt:lpstr>cu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gayatri padinjaroot</dc:creator>
  <cp:lastModifiedBy>gayatri padinjaroot</cp:lastModifiedBy>
  <dcterms:created xsi:type="dcterms:W3CDTF">2025-01-22T10:13:43Z</dcterms:created>
  <dcterms:modified xsi:type="dcterms:W3CDTF">2025-03-15T19:11:52Z</dcterms:modified>
</cp:coreProperties>
</file>