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A88CB6F-457E-4B83-B556-BB1AEB4A4C28}" xr6:coauthVersionLast="47" xr6:coauthVersionMax="47" xr10:uidLastSave="{00000000-0000-0000-0000-000000000000}"/>
  <bookViews>
    <workbookView xWindow="-108" yWindow="-108" windowWidth="23256" windowHeight="13176" firstSheet="1" activeTab="11" xr2:uid="{0BF3831D-DB25-4C39-86D2-C0F25EF15005}"/>
  </bookViews>
  <sheets>
    <sheet name="Decison Tree" sheetId="13" r:id="rId1"/>
    <sheet name="Data" sheetId="10" r:id="rId2"/>
    <sheet name="Utilities" sheetId="6" r:id="rId3"/>
    <sheet name="Calculations" sheetId="8" r:id="rId4"/>
    <sheet name="Sheet3" sheetId="5" r:id="rId5"/>
    <sheet name="treeCalc_3" sheetId="14" state="hidden" r:id="rId6"/>
    <sheet name="_PalUtilTempWorksheet" sheetId="11" state="hidden" r:id="rId7"/>
    <sheet name="treeCalc_2" sheetId="7" state="hidden" r:id="rId8"/>
    <sheet name="Sensitivity L11" sheetId="15" r:id="rId9"/>
    <sheet name="Sensitivity L12" sheetId="16" r:id="rId10"/>
    <sheet name="Sensitivity L13" sheetId="17" r:id="rId11"/>
    <sheet name="Strategy L11" sheetId="18" r:id="rId12"/>
    <sheet name="Strategy L12" sheetId="19" r:id="rId13"/>
    <sheet name="Strategy L13" sheetId="20" r:id="rId14"/>
  </sheets>
  <externalReferences>
    <externalReference r:id="rId15"/>
  </externalReferences>
  <definedNames>
    <definedName name="PalisadeReportWorksheetCreatedBy" localSheetId="8">"PrecisionTree"</definedName>
    <definedName name="PalisadeReportWorksheetCreatedBy" localSheetId="9">"PrecisionTree"</definedName>
    <definedName name="PalisadeReportWorksheetCreatedBy" localSheetId="10">"PrecisionTree"</definedName>
    <definedName name="PalisadeReportWorksheetCreatedBy" localSheetId="11">"PrecisionTree"</definedName>
    <definedName name="PalisadeReportWorksheetCreatedBy" localSheetId="12">"PrecisionTree"</definedName>
    <definedName name="PalisadeReportWorksheetCreatedBy" localSheetId="13">"PrecisionTree"</definedName>
    <definedName name="PTree_PolicySuggestion_IncludeDecisionTable" hidden="1">TRUE</definedName>
    <definedName name="PTree_PolicySuggestion_IncludeOptimalDecisionTree" hidden="1">TRUE</definedName>
    <definedName name="PTree_PolicySuggestion_Model" hidden="1">PTreeObjectReference(PTDecisionTree_3,treeCalc_3!$A$1)</definedName>
    <definedName name="PTree_PolicySuggestion_ReportPlacement" hidden="1">1</definedName>
    <definedName name="PTree_PolicySuggestion_StartingNode" hidden="1">PTreeObjectReference(NULL,NULL)</definedName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PTreeObjectReference(PTDecisionTree_1,#REF!)</definedName>
    <definedName name="PTree_RiskProfile_PathsToAnalyze" hidden="1">1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100</definedName>
    <definedName name="PTree_SensitivityAnalysis_Inputs_1_Minimum" hidden="1">-100</definedName>
    <definedName name="PTree_SensitivityAnalysis_Inputs_1_OneWayAnalysis" hidden="1">1</definedName>
    <definedName name="PTree_SensitivityAnalysis_Inputs_1_Steps" hidden="1">30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hidden="1">'Decison Tree'!$L$11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100</definedName>
    <definedName name="PTree_SensitivityAnalysis_Inputs_2_Minimum" hidden="1">-100</definedName>
    <definedName name="PTree_SensitivityAnalysis_Inputs_2_OneWayAnalysis" hidden="1">1</definedName>
    <definedName name="PTree_SensitivityAnalysis_Inputs_2_Steps" hidden="1">30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hidden="1">'Decison Tree'!$L$12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100</definedName>
    <definedName name="PTree_SensitivityAnalysis_Inputs_3_Minimum" hidden="1">-100</definedName>
    <definedName name="PTree_SensitivityAnalysis_Inputs_3_OneWayAnalysis" hidden="1">1</definedName>
    <definedName name="PTree_SensitivityAnalysis_Inputs_3_Steps" hidden="1">30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hidden="1">'Decison Tree'!$L$13</definedName>
    <definedName name="PTree_SensitivityAnalysis_Inputs_Count" hidden="1">3</definedName>
    <definedName name="PTree_SensitivityAnalysis_Output_AlternateCellLabel" hidden="1">""</definedName>
    <definedName name="PTree_SensitivityAnalysis_Output_Model" hidden="1">PTreeObjectReference(PTDecisionTree_3,treeCalc_3!$A$1)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treeList" hidden="1">"01100000000000000000000000000000000000000000000000000000000000000000000000000000000000000000000000000000000000000000000000000000000000000000000000000000000000000000000000000000000000000000000000000000"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3" l="1"/>
  <c r="L12" i="13"/>
  <c r="L11" i="13"/>
  <c r="L54" i="6"/>
  <c r="Q3" i="6" s="1"/>
  <c r="L53" i="6"/>
  <c r="P3" i="6" s="1"/>
  <c r="L52" i="6"/>
  <c r="O3" i="6" s="1"/>
  <c r="J54" i="6"/>
  <c r="I53" i="6"/>
  <c r="H5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2" i="6"/>
  <c r="G33" i="6"/>
  <c r="G32" i="6"/>
  <c r="G31" i="6"/>
  <c r="G30" i="6"/>
  <c r="G29" i="6"/>
  <c r="G28" i="6"/>
  <c r="G27" i="6"/>
  <c r="G26" i="6"/>
  <c r="G21" i="6"/>
  <c r="G20" i="6"/>
  <c r="G19" i="6"/>
  <c r="G18" i="6"/>
  <c r="G17" i="6"/>
  <c r="G16" i="6"/>
  <c r="G15" i="6"/>
  <c r="G14" i="6"/>
  <c r="C31" i="6"/>
  <c r="C27" i="6"/>
  <c r="C23" i="6"/>
  <c r="C19" i="6"/>
  <c r="C15" i="6"/>
  <c r="C11" i="6"/>
  <c r="C7" i="6"/>
  <c r="E3" i="6"/>
  <c r="E4" i="6" s="1"/>
  <c r="E5" i="6" s="1"/>
  <c r="E6" i="6" s="1"/>
  <c r="E7" i="6" s="1"/>
  <c r="E8" i="6" s="1"/>
  <c r="E9" i="6" s="1"/>
  <c r="C3" i="6"/>
  <c r="B3" i="6"/>
  <c r="B4" i="6" s="1"/>
  <c r="B5" i="6" s="1"/>
  <c r="B6" i="6" s="1"/>
  <c r="B7" i="6" s="1"/>
  <c r="B8" i="6" s="1"/>
  <c r="B9" i="6" s="1"/>
  <c r="A3" i="6"/>
  <c r="A4" i="6" s="1"/>
  <c r="A5" i="6" s="1"/>
  <c r="J14" i="6" l="1"/>
  <c r="J8" i="6"/>
  <c r="J38" i="6"/>
  <c r="J37" i="6"/>
  <c r="J29" i="6"/>
  <c r="J13" i="6"/>
  <c r="J23" i="6"/>
  <c r="J34" i="6"/>
  <c r="J26" i="6"/>
  <c r="J18" i="6"/>
  <c r="J10" i="6"/>
  <c r="J39" i="6"/>
  <c r="J15" i="6"/>
  <c r="J30" i="6"/>
  <c r="J6" i="6"/>
  <c r="J5" i="6"/>
  <c r="J28" i="6"/>
  <c r="J20" i="6"/>
  <c r="J12" i="6"/>
  <c r="J4" i="6"/>
  <c r="J27" i="6"/>
  <c r="J11" i="6"/>
  <c r="J33" i="6"/>
  <c r="J25" i="6"/>
  <c r="J17" i="6"/>
  <c r="J9" i="6"/>
  <c r="J31" i="6"/>
  <c r="J7" i="6"/>
  <c r="J22" i="6"/>
  <c r="J21" i="6"/>
  <c r="J36" i="6"/>
  <c r="J35" i="6"/>
  <c r="J19" i="6"/>
  <c r="J3" i="6"/>
  <c r="J2" i="6"/>
  <c r="J32" i="6"/>
  <c r="J24" i="6"/>
  <c r="J16" i="6"/>
  <c r="K11" i="7" l="1"/>
  <c r="J11" i="7"/>
  <c r="J37" i="14"/>
  <c r="J36" i="14"/>
  <c r="J35" i="14"/>
  <c r="J31" i="14"/>
  <c r="O31" i="14"/>
  <c r="J34" i="14"/>
  <c r="J33" i="14"/>
  <c r="J32" i="14"/>
  <c r="J30" i="14"/>
  <c r="O30" i="14"/>
  <c r="J15" i="14"/>
  <c r="J14" i="14"/>
  <c r="J12" i="14"/>
  <c r="O12" i="14"/>
  <c r="K75" i="14"/>
  <c r="J75" i="14"/>
  <c r="O75" i="14"/>
  <c r="E147" i="13"/>
  <c r="K80" i="14" s="1"/>
  <c r="E137" i="13"/>
  <c r="K77" i="14" s="1"/>
  <c r="K74" i="14"/>
  <c r="J74" i="14"/>
  <c r="O74" i="14"/>
  <c r="J13" i="14"/>
  <c r="O13" i="14"/>
  <c r="J71" i="14"/>
  <c r="O71" i="14"/>
  <c r="J68" i="14"/>
  <c r="O68" i="14"/>
  <c r="O37" i="14"/>
  <c r="J65" i="14"/>
  <c r="O65" i="14"/>
  <c r="J62" i="14"/>
  <c r="O62" i="14"/>
  <c r="O34" i="14"/>
  <c r="J59" i="14"/>
  <c r="O59" i="14"/>
  <c r="J56" i="14"/>
  <c r="O56" i="14"/>
  <c r="O36" i="14"/>
  <c r="J53" i="14"/>
  <c r="O53" i="14"/>
  <c r="J50" i="14"/>
  <c r="O50" i="14"/>
  <c r="O33" i="14"/>
  <c r="J47" i="14"/>
  <c r="O47" i="14"/>
  <c r="J44" i="14"/>
  <c r="O44" i="14"/>
  <c r="O35" i="14"/>
  <c r="J41" i="14"/>
  <c r="O41" i="14"/>
  <c r="J38" i="14"/>
  <c r="O38" i="14"/>
  <c r="O32" i="14"/>
  <c r="O15" i="14"/>
  <c r="J27" i="14"/>
  <c r="O27" i="14"/>
  <c r="J24" i="14"/>
  <c r="O24" i="14"/>
  <c r="J17" i="14"/>
  <c r="O17" i="14"/>
  <c r="J19" i="14"/>
  <c r="O19" i="14"/>
  <c r="J18" i="14"/>
  <c r="O18" i="14"/>
  <c r="J16" i="14"/>
  <c r="O16" i="14"/>
  <c r="O14" i="14"/>
  <c r="K11" i="14"/>
  <c r="J11" i="14"/>
  <c r="O11" i="14"/>
  <c r="B11" i="14"/>
  <c r="B2" i="14"/>
  <c r="F2" i="7"/>
  <c r="B32" i="10" l="1"/>
  <c r="B28" i="10"/>
  <c r="B24" i="10"/>
  <c r="B21" i="10"/>
  <c r="B18" i="10"/>
  <c r="B15" i="10"/>
  <c r="B13" i="10"/>
  <c r="B12" i="10"/>
  <c r="B11" i="10"/>
  <c r="B8" i="10"/>
  <c r="B5" i="10"/>
  <c r="B3" i="10"/>
  <c r="B2" i="10" s="1"/>
  <c r="C14" i="8"/>
  <c r="C13" i="8"/>
  <c r="C12" i="8"/>
  <c r="H12" i="8"/>
  <c r="H13" i="8"/>
  <c r="B16" i="8"/>
  <c r="I34" i="6" s="1"/>
  <c r="B11" i="8"/>
  <c r="B50" i="8"/>
  <c r="H2" i="5"/>
  <c r="A2" i="5"/>
  <c r="A3" i="5" s="1"/>
  <c r="N11" i="8"/>
  <c r="L11" i="8"/>
  <c r="I14" i="8"/>
  <c r="I13" i="8"/>
  <c r="I12" i="8"/>
  <c r="H14" i="8"/>
  <c r="G14" i="8"/>
  <c r="G13" i="8"/>
  <c r="G12" i="8"/>
  <c r="D14" i="8"/>
  <c r="D13" i="8"/>
  <c r="D12" i="8"/>
  <c r="D11" i="8"/>
  <c r="B14" i="8"/>
  <c r="B13" i="8"/>
  <c r="B12" i="8"/>
  <c r="D3" i="8"/>
  <c r="C6" i="8"/>
  <c r="C5" i="8"/>
  <c r="C4" i="8"/>
  <c r="B6" i="8"/>
  <c r="B5" i="8"/>
  <c r="B4" i="8"/>
  <c r="B3" i="8"/>
  <c r="R4" i="8"/>
  <c r="R5" i="8" s="1"/>
  <c r="A12" i="8"/>
  <c r="A13" i="8"/>
  <c r="A14" i="8"/>
  <c r="A11" i="8"/>
  <c r="G3" i="8"/>
  <c r="F4" i="8"/>
  <c r="F12" i="8" s="1"/>
  <c r="F5" i="8"/>
  <c r="F13" i="8" s="1"/>
  <c r="F6" i="8"/>
  <c r="F14" i="8" s="1"/>
  <c r="F3" i="8"/>
  <c r="F11" i="8" s="1"/>
  <c r="H2" i="8"/>
  <c r="I2" i="8"/>
  <c r="G2" i="8"/>
  <c r="B11" i="7"/>
  <c r="B2" i="7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2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I23" i="6" l="1"/>
  <c r="I25" i="6"/>
  <c r="I24" i="6"/>
  <c r="I22" i="6"/>
  <c r="B16" i="10"/>
  <c r="G105" i="13"/>
  <c r="K56" i="14" s="1"/>
  <c r="G119" i="13"/>
  <c r="K68" i="14" s="1"/>
  <c r="F11" i="13"/>
  <c r="K18" i="14" s="1"/>
  <c r="G59" i="13"/>
  <c r="K50" i="14" s="1"/>
  <c r="G43" i="13"/>
  <c r="K38" i="14" s="1"/>
  <c r="F27" i="13"/>
  <c r="K24" i="14" s="1"/>
  <c r="G73" i="13"/>
  <c r="K62" i="14" s="1"/>
  <c r="G89" i="13"/>
  <c r="K44" i="14" s="1"/>
  <c r="I31" i="6"/>
  <c r="I32" i="6"/>
  <c r="I33" i="6"/>
  <c r="I30" i="6"/>
  <c r="I21" i="6"/>
  <c r="I18" i="6"/>
  <c r="I20" i="6"/>
  <c r="I19" i="6"/>
  <c r="B19" i="10"/>
  <c r="G25" i="13"/>
  <c r="K25" i="14" s="1"/>
  <c r="G17" i="13"/>
  <c r="K22" i="14" s="1"/>
  <c r="G33" i="13"/>
  <c r="K28" i="14" s="1"/>
  <c r="G9" i="13"/>
  <c r="K20" i="14" s="1"/>
  <c r="I15" i="6"/>
  <c r="I17" i="6"/>
  <c r="I16" i="6"/>
  <c r="I14" i="6"/>
  <c r="B22" i="10"/>
  <c r="H41" i="13"/>
  <c r="H87" i="13"/>
  <c r="I13" i="6"/>
  <c r="I10" i="6"/>
  <c r="I12" i="6"/>
  <c r="I11" i="6"/>
  <c r="B6" i="10"/>
  <c r="E31" i="13" s="1"/>
  <c r="K17" i="14" s="1"/>
  <c r="E15" i="13"/>
  <c r="K16" i="14" s="1"/>
  <c r="B25" i="10"/>
  <c r="H103" i="13"/>
  <c r="H57" i="13"/>
  <c r="B9" i="10"/>
  <c r="E101" i="13" s="1"/>
  <c r="K31" i="14" s="1"/>
  <c r="E55" i="13"/>
  <c r="K30" i="14" s="1"/>
  <c r="B27" i="10"/>
  <c r="H121" i="13"/>
  <c r="H75" i="13"/>
  <c r="I29" i="6"/>
  <c r="I26" i="6"/>
  <c r="I28" i="6"/>
  <c r="I27" i="6"/>
  <c r="B30" i="10"/>
  <c r="E139" i="13"/>
  <c r="K78" i="14" s="1"/>
  <c r="E149" i="13"/>
  <c r="K81" i="14" s="1"/>
  <c r="C11" i="8"/>
  <c r="B17" i="8"/>
  <c r="I35" i="6" s="1"/>
  <c r="B18" i="8"/>
  <c r="I37" i="6" s="1"/>
  <c r="M11" i="8"/>
  <c r="B4" i="5"/>
  <c r="P4" i="5" s="1"/>
  <c r="B12" i="5"/>
  <c r="P12" i="5" s="1"/>
  <c r="B20" i="5"/>
  <c r="P20" i="5" s="1"/>
  <c r="B28" i="5"/>
  <c r="P28" i="5" s="1"/>
  <c r="B5" i="5"/>
  <c r="P5" i="5" s="1"/>
  <c r="B13" i="5"/>
  <c r="P13" i="5" s="1"/>
  <c r="B21" i="5"/>
  <c r="P21" i="5" s="1"/>
  <c r="B29" i="5"/>
  <c r="P29" i="5" s="1"/>
  <c r="B37" i="5"/>
  <c r="P37" i="5" s="1"/>
  <c r="B6" i="5"/>
  <c r="P6" i="5" s="1"/>
  <c r="B14" i="5"/>
  <c r="P14" i="5" s="1"/>
  <c r="B22" i="5"/>
  <c r="P22" i="5" s="1"/>
  <c r="B30" i="5"/>
  <c r="P30" i="5" s="1"/>
  <c r="B38" i="5"/>
  <c r="P38" i="5" s="1"/>
  <c r="B46" i="5"/>
  <c r="P46" i="5" s="1"/>
  <c r="B7" i="5"/>
  <c r="P7" i="5" s="1"/>
  <c r="B15" i="5"/>
  <c r="P15" i="5" s="1"/>
  <c r="B23" i="5"/>
  <c r="P23" i="5" s="1"/>
  <c r="B31" i="5"/>
  <c r="P31" i="5" s="1"/>
  <c r="B39" i="5"/>
  <c r="P39" i="5" s="1"/>
  <c r="B47" i="5"/>
  <c r="P47" i="5" s="1"/>
  <c r="B8" i="5"/>
  <c r="P8" i="5" s="1"/>
  <c r="B10" i="5"/>
  <c r="P10" i="5" s="1"/>
  <c r="B18" i="5"/>
  <c r="P18" i="5" s="1"/>
  <c r="B26" i="5"/>
  <c r="P26" i="5" s="1"/>
  <c r="B34" i="5"/>
  <c r="P34" i="5" s="1"/>
  <c r="B42" i="5"/>
  <c r="P42" i="5" s="1"/>
  <c r="B36" i="5"/>
  <c r="P36" i="5" s="1"/>
  <c r="B44" i="5"/>
  <c r="P44" i="5" s="1"/>
  <c r="B3" i="5"/>
  <c r="P3" i="5" s="1"/>
  <c r="B11" i="5"/>
  <c r="P11" i="5" s="1"/>
  <c r="B19" i="5"/>
  <c r="P19" i="5" s="1"/>
  <c r="B27" i="5"/>
  <c r="P27" i="5" s="1"/>
  <c r="B35" i="5"/>
  <c r="P35" i="5" s="1"/>
  <c r="B43" i="5"/>
  <c r="P43" i="5" s="1"/>
  <c r="B48" i="5"/>
  <c r="P48" i="5" s="1"/>
  <c r="B49" i="5"/>
  <c r="P49" i="5" s="1"/>
  <c r="B25" i="5"/>
  <c r="P25" i="5" s="1"/>
  <c r="B41" i="5"/>
  <c r="P41" i="5" s="1"/>
  <c r="B9" i="5"/>
  <c r="P9" i="5" s="1"/>
  <c r="B45" i="5"/>
  <c r="P45" i="5" s="1"/>
  <c r="B2" i="5"/>
  <c r="P2" i="5" s="1"/>
  <c r="B32" i="5"/>
  <c r="P32" i="5" s="1"/>
  <c r="B33" i="5"/>
  <c r="P33" i="5" s="1"/>
  <c r="B17" i="5"/>
  <c r="P17" i="5" s="1"/>
  <c r="B40" i="5"/>
  <c r="P40" i="5" s="1"/>
  <c r="B24" i="5"/>
  <c r="P24" i="5" s="1"/>
  <c r="B16" i="5"/>
  <c r="P16" i="5" s="1"/>
  <c r="I5" i="6" l="1"/>
  <c r="I2" i="6"/>
  <c r="I4" i="6"/>
  <c r="I3" i="6"/>
  <c r="K64" i="14"/>
  <c r="H83" i="13"/>
  <c r="K67" i="14" s="1"/>
  <c r="H49" i="13"/>
  <c r="K42" i="14" s="1"/>
  <c r="K39" i="14"/>
  <c r="H117" i="13"/>
  <c r="H71" i="13"/>
  <c r="E143" i="13"/>
  <c r="K79" i="14" s="1"/>
  <c r="E133" i="13"/>
  <c r="K76" i="14" s="1"/>
  <c r="I7" i="6"/>
  <c r="I9" i="6"/>
  <c r="I8" i="6"/>
  <c r="I6" i="6"/>
  <c r="H61" i="13"/>
  <c r="H107" i="13"/>
  <c r="G37" i="13"/>
  <c r="K29" i="14" s="1"/>
  <c r="G21" i="13"/>
  <c r="K23" i="14" s="1"/>
  <c r="G29" i="13"/>
  <c r="K26" i="14" s="1"/>
  <c r="G13" i="13"/>
  <c r="K21" i="14" s="1"/>
  <c r="H129" i="13"/>
  <c r="K73" i="14" s="1"/>
  <c r="K70" i="14"/>
  <c r="H91" i="13"/>
  <c r="H45" i="13"/>
  <c r="K51" i="14"/>
  <c r="H65" i="13"/>
  <c r="K54" i="14" s="1"/>
  <c r="G51" i="13"/>
  <c r="K41" i="14" s="1"/>
  <c r="G67" i="13"/>
  <c r="K53" i="14" s="1"/>
  <c r="F35" i="13"/>
  <c r="K27" i="14" s="1"/>
  <c r="G113" i="13"/>
  <c r="K59" i="14" s="1"/>
  <c r="G127" i="13"/>
  <c r="K71" i="14" s="1"/>
  <c r="F19" i="13"/>
  <c r="K19" i="14" s="1"/>
  <c r="G97" i="13"/>
  <c r="K47" i="14" s="1"/>
  <c r="G81" i="13"/>
  <c r="K65" i="14" s="1"/>
  <c r="K57" i="14"/>
  <c r="H111" i="13"/>
  <c r="K60" i="14" s="1"/>
  <c r="K45" i="14"/>
  <c r="H95" i="13"/>
  <c r="K48" i="14" s="1"/>
  <c r="B19" i="8"/>
  <c r="I38" i="6" s="1"/>
  <c r="L22" i="6" l="1"/>
  <c r="M22" i="6" s="1"/>
  <c r="H88" i="13" s="1"/>
  <c r="J45" i="14" s="1"/>
  <c r="L25" i="6"/>
  <c r="M25" i="6" s="1"/>
  <c r="H100" i="13" s="1"/>
  <c r="J49" i="14" s="1"/>
  <c r="L16" i="6"/>
  <c r="M16" i="6" s="1"/>
  <c r="H66" i="13" s="1"/>
  <c r="J54" i="14" s="1"/>
  <c r="L10" i="6"/>
  <c r="M10" i="6" s="1"/>
  <c r="H42" i="13" s="1"/>
  <c r="J39" i="14" s="1"/>
  <c r="L23" i="6"/>
  <c r="M23" i="6" s="1"/>
  <c r="H92" i="13" s="1"/>
  <c r="J46" i="14" s="1"/>
  <c r="L18" i="6"/>
  <c r="M18" i="6" s="1"/>
  <c r="H72" i="13" s="1"/>
  <c r="J63" i="14" s="1"/>
  <c r="L30" i="6"/>
  <c r="M30" i="6" s="1"/>
  <c r="H118" i="13" s="1"/>
  <c r="J69" i="14" s="1"/>
  <c r="L28" i="6"/>
  <c r="M28" i="6" s="1"/>
  <c r="H112" i="13" s="1"/>
  <c r="J60" i="14" s="1"/>
  <c r="L17" i="6"/>
  <c r="M17" i="6" s="1"/>
  <c r="H70" i="13" s="1"/>
  <c r="J55" i="14" s="1"/>
  <c r="L13" i="6"/>
  <c r="M13" i="6" s="1"/>
  <c r="H54" i="13" s="1"/>
  <c r="J43" i="14" s="1"/>
  <c r="L27" i="6"/>
  <c r="M27" i="6" s="1"/>
  <c r="H108" i="13" s="1"/>
  <c r="J58" i="14" s="1"/>
  <c r="L31" i="6"/>
  <c r="M31" i="6" s="1"/>
  <c r="H122" i="13" s="1"/>
  <c r="J70" i="14" s="1"/>
  <c r="L3" i="6"/>
  <c r="M3" i="6" s="1"/>
  <c r="H99" i="13"/>
  <c r="K49" i="14" s="1"/>
  <c r="K46" i="14"/>
  <c r="L19" i="6"/>
  <c r="M19" i="6" s="1"/>
  <c r="H76" i="13" s="1"/>
  <c r="J64" i="14" s="1"/>
  <c r="L33" i="6"/>
  <c r="M33" i="6" s="1"/>
  <c r="H130" i="13" s="1"/>
  <c r="J73" i="14" s="1"/>
  <c r="L24" i="6"/>
  <c r="M24" i="6" s="1"/>
  <c r="H96" i="13" s="1"/>
  <c r="J48" i="14" s="1"/>
  <c r="L6" i="6"/>
  <c r="M6" i="6" s="1"/>
  <c r="G26" i="13" s="1"/>
  <c r="J25" i="14" s="1"/>
  <c r="L14" i="6"/>
  <c r="M14" i="6" s="1"/>
  <c r="H58" i="13" s="1"/>
  <c r="J51" i="14" s="1"/>
  <c r="L4" i="6"/>
  <c r="M4" i="6" s="1"/>
  <c r="G18" i="13" s="1"/>
  <c r="J22" i="14" s="1"/>
  <c r="H53" i="13"/>
  <c r="K43" i="14" s="1"/>
  <c r="K40" i="14"/>
  <c r="L20" i="6"/>
  <c r="M20" i="6" s="1"/>
  <c r="H80" i="13" s="1"/>
  <c r="J66" i="14" s="1"/>
  <c r="H115" i="13"/>
  <c r="K61" i="14" s="1"/>
  <c r="K58" i="14"/>
  <c r="L11" i="6"/>
  <c r="M11" i="6" s="1"/>
  <c r="H46" i="13" s="1"/>
  <c r="J40" i="14" s="1"/>
  <c r="L8" i="6"/>
  <c r="M8" i="6" s="1"/>
  <c r="G34" i="13" s="1"/>
  <c r="J28" i="14" s="1"/>
  <c r="H79" i="13"/>
  <c r="K66" i="14" s="1"/>
  <c r="K63" i="14"/>
  <c r="L36" i="6"/>
  <c r="M36" i="6" s="1"/>
  <c r="E140" i="13" s="1"/>
  <c r="J78" i="14" s="1"/>
  <c r="L39" i="6"/>
  <c r="M39" i="6" s="1"/>
  <c r="E150" i="13" s="1"/>
  <c r="J81" i="14" s="1"/>
  <c r="L2" i="6"/>
  <c r="M2" i="6" s="1"/>
  <c r="G10" i="13" s="1"/>
  <c r="J20" i="14" s="1"/>
  <c r="L34" i="6"/>
  <c r="M34" i="6" s="1"/>
  <c r="E134" i="13" s="1"/>
  <c r="J76" i="14" s="1"/>
  <c r="L26" i="6"/>
  <c r="M26" i="6" s="1"/>
  <c r="H104" i="13" s="1"/>
  <c r="J57" i="14" s="1"/>
  <c r="L7" i="6"/>
  <c r="M7" i="6" s="1"/>
  <c r="G30" i="13" s="1"/>
  <c r="J26" i="14" s="1"/>
  <c r="L32" i="6"/>
  <c r="M32" i="6" s="1"/>
  <c r="H126" i="13" s="1"/>
  <c r="J72" i="14" s="1"/>
  <c r="L21" i="6"/>
  <c r="M21" i="6" s="1"/>
  <c r="H84" i="13" s="1"/>
  <c r="J67" i="14" s="1"/>
  <c r="L12" i="6"/>
  <c r="M12" i="6" s="1"/>
  <c r="H50" i="13" s="1"/>
  <c r="J42" i="14" s="1"/>
  <c r="L29" i="6"/>
  <c r="M29" i="6" s="1"/>
  <c r="H116" i="13" s="1"/>
  <c r="J61" i="14" s="1"/>
  <c r="L38" i="6"/>
  <c r="M38" i="6" s="1"/>
  <c r="E148" i="13" s="1"/>
  <c r="J80" i="14" s="1"/>
  <c r="L35" i="6"/>
  <c r="M35" i="6" s="1"/>
  <c r="E138" i="13" s="1"/>
  <c r="J77" i="14" s="1"/>
  <c r="L37" i="6"/>
  <c r="M37" i="6" s="1"/>
  <c r="E144" i="13" s="1"/>
  <c r="J79" i="14" s="1"/>
  <c r="L15" i="6"/>
  <c r="M15" i="6" s="1"/>
  <c r="H62" i="13" s="1"/>
  <c r="J52" i="14" s="1"/>
  <c r="H69" i="13"/>
  <c r="K55" i="14" s="1"/>
  <c r="K52" i="14"/>
  <c r="L9" i="6"/>
  <c r="M9" i="6" s="1"/>
  <c r="G38" i="13" s="1"/>
  <c r="J29" i="14" s="1"/>
  <c r="K69" i="14"/>
  <c r="H125" i="13"/>
  <c r="K72" i="14" s="1"/>
  <c r="L5" i="6"/>
  <c r="M5" i="6" s="1"/>
  <c r="G22" i="13" s="1"/>
  <c r="J23" i="14" s="1"/>
  <c r="A11" i="7"/>
  <c r="G14" i="13" l="1"/>
  <c r="J21" i="14" s="1"/>
  <c r="F2" i="14"/>
  <c r="H37" i="13"/>
  <c r="I57" i="13"/>
  <c r="H9" i="13"/>
  <c r="I121" i="13"/>
  <c r="I103" i="13"/>
  <c r="I71" i="13"/>
  <c r="D142" i="13"/>
  <c r="E146" i="13"/>
  <c r="I80" i="13"/>
  <c r="F137" i="13"/>
  <c r="F47" i="13"/>
  <c r="I108" i="13"/>
  <c r="F56" i="13"/>
  <c r="C141" i="13"/>
  <c r="G36" i="13"/>
  <c r="I65" i="13"/>
  <c r="F140" i="13"/>
  <c r="I130" i="13"/>
  <c r="H120" i="13"/>
  <c r="I104" i="13"/>
  <c r="G20" i="13"/>
  <c r="H38" i="13"/>
  <c r="G64" i="13"/>
  <c r="I46" i="13"/>
  <c r="I100" i="13"/>
  <c r="F32" i="13"/>
  <c r="D40" i="13"/>
  <c r="I116" i="13"/>
  <c r="H52" i="13"/>
  <c r="F143" i="13"/>
  <c r="I76" i="13"/>
  <c r="E24" i="13"/>
  <c r="H17" i="13"/>
  <c r="F148" i="13"/>
  <c r="I91" i="13"/>
  <c r="I42" i="13"/>
  <c r="C132" i="13"/>
  <c r="H13" i="13"/>
  <c r="I75" i="13"/>
  <c r="F150" i="13"/>
  <c r="H98" i="13"/>
  <c r="G124" i="13"/>
  <c r="I61" i="13"/>
  <c r="I53" i="13"/>
  <c r="I50" i="13"/>
  <c r="G94" i="13"/>
  <c r="C39" i="13"/>
  <c r="F139" i="13"/>
  <c r="F144" i="13"/>
  <c r="H18" i="13"/>
  <c r="I115" i="13"/>
  <c r="I49" i="13"/>
  <c r="I87" i="13"/>
  <c r="D85" i="13"/>
  <c r="I72" i="13"/>
  <c r="F123" i="13"/>
  <c r="I84" i="13"/>
  <c r="I58" i="13"/>
  <c r="E136" i="13"/>
  <c r="H74" i="13"/>
  <c r="H22" i="13"/>
  <c r="H30" i="13"/>
  <c r="I54" i="13"/>
  <c r="F134" i="13"/>
  <c r="H10" i="13"/>
  <c r="I83" i="13"/>
  <c r="G48" i="13"/>
  <c r="H90" i="13"/>
  <c r="F109" i="13"/>
  <c r="H21" i="13"/>
  <c r="H34" i="13"/>
  <c r="H60" i="13"/>
  <c r="F133" i="13"/>
  <c r="I129" i="13"/>
  <c r="G28" i="13"/>
  <c r="I96" i="13"/>
  <c r="I126" i="13"/>
  <c r="H128" i="13"/>
  <c r="I70" i="13"/>
  <c r="I112" i="13"/>
  <c r="I95" i="13"/>
  <c r="F147" i="13"/>
  <c r="H33" i="13"/>
  <c r="I111" i="13"/>
  <c r="G78" i="13"/>
  <c r="I62" i="13"/>
  <c r="F16" i="13"/>
  <c r="I92" i="13"/>
  <c r="I88" i="13"/>
  <c r="I69" i="13"/>
  <c r="E86" i="13"/>
  <c r="H114" i="13"/>
  <c r="G12" i="13"/>
  <c r="H26" i="13"/>
  <c r="I118" i="13"/>
  <c r="H106" i="13"/>
  <c r="D23" i="13"/>
  <c r="H14" i="13"/>
  <c r="I122" i="13"/>
  <c r="H29" i="13"/>
  <c r="I125" i="13"/>
  <c r="I66" i="13"/>
  <c r="H82" i="13"/>
  <c r="F63" i="13"/>
  <c r="I45" i="13"/>
  <c r="F138" i="13"/>
  <c r="I79" i="13"/>
  <c r="H44" i="13"/>
  <c r="F93" i="13"/>
  <c r="F149" i="13"/>
  <c r="H25" i="13"/>
  <c r="H68" i="13"/>
  <c r="F77" i="13"/>
  <c r="I41" i="13"/>
  <c r="F102" i="13"/>
  <c r="I99" i="13"/>
  <c r="G110" i="13"/>
  <c r="I107" i="13"/>
  <c r="I117" i="13"/>
  <c r="A36" i="14"/>
  <c r="A18" i="14"/>
  <c r="A48" i="14"/>
  <c r="A74" i="14"/>
  <c r="A39" i="14"/>
  <c r="A19" i="14"/>
  <c r="A31" i="14"/>
  <c r="A59" i="14"/>
  <c r="A24" i="14"/>
  <c r="A51" i="14"/>
  <c r="A80" i="14"/>
  <c r="A57" i="14"/>
  <c r="A46" i="14"/>
  <c r="A44" i="14"/>
  <c r="A41" i="14"/>
  <c r="A16" i="14"/>
  <c r="A61" i="14"/>
  <c r="A52" i="14"/>
  <c r="A35" i="14"/>
  <c r="A30" i="14"/>
  <c r="A70" i="14"/>
  <c r="A76" i="14"/>
  <c r="A17" i="14"/>
  <c r="A21" i="14"/>
  <c r="A43" i="14"/>
  <c r="A37" i="14"/>
  <c r="A49" i="14"/>
  <c r="A56" i="14"/>
  <c r="A75" i="14"/>
  <c r="A69" i="14"/>
  <c r="A23" i="14"/>
  <c r="A33" i="14"/>
  <c r="A13" i="14"/>
  <c r="A25" i="14"/>
  <c r="A11" i="14"/>
  <c r="A29" i="14"/>
  <c r="A53" i="14"/>
  <c r="A15" i="14"/>
  <c r="A50" i="14"/>
  <c r="A67" i="14"/>
  <c r="A14" i="14"/>
  <c r="A68" i="14"/>
  <c r="A38" i="14"/>
  <c r="A45" i="14"/>
  <c r="A28" i="14"/>
  <c r="A63" i="14"/>
  <c r="A64" i="14"/>
  <c r="A73" i="14"/>
  <c r="A77" i="14"/>
  <c r="A22" i="14"/>
  <c r="A78" i="14"/>
  <c r="A65" i="14"/>
  <c r="A79" i="14"/>
  <c r="A27" i="14"/>
  <c r="A54" i="14"/>
  <c r="A20" i="14"/>
  <c r="A12" i="14"/>
  <c r="A34" i="14"/>
  <c r="A58" i="14"/>
  <c r="A66" i="14"/>
  <c r="A55" i="14"/>
  <c r="A47" i="14"/>
  <c r="A40" i="14"/>
  <c r="A81" i="14"/>
  <c r="A62" i="14"/>
  <c r="A32" i="14"/>
  <c r="A42" i="14"/>
  <c r="A60" i="14"/>
  <c r="A26" i="14"/>
  <c r="A71" i="14"/>
  <c r="A72" i="14"/>
</calcChain>
</file>

<file path=xl/sharedStrings.xml><?xml version="1.0" encoding="utf-8"?>
<sst xmlns="http://schemas.openxmlformats.org/spreadsheetml/2006/main" count="987" uniqueCount="255">
  <si>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</si>
  <si>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</si>
  <si>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</si>
  <si>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</si>
  <si>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</si>
  <si>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</si>
  <si>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</si>
  <si>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</si>
  <si>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</si>
  <si>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</si>
  <si>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</si>
  <si>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</si>
  <si>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</si>
  <si>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</si>
  <si>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</si>
  <si>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</si>
  <si>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</si>
  <si>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</si>
  <si>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</si>
  <si>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</si>
  <si>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</si>
  <si>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</si>
  <si>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</si>
  <si>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</si>
  <si>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</si>
  <si>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</si>
  <si>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</si>
  <si>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</si>
  <si>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</si>
  <si>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</si>
  <si>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</si>
  <si>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</si>
  <si>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</si>
  <si>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</si>
  <si>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</si>
  <si>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</si>
  <si>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</si>
  <si>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8.5.2</t>
  </si>
  <si>
    <t>5.0.0</t>
  </si>
  <si>
    <t>&lt;NF&gt;</t>
  </si>
  <si>
    <t>Automatic</t>
  </si>
  <si>
    <t/>
  </si>
  <si>
    <t>DEFAULT</t>
  </si>
  <si>
    <t>0</t>
  </si>
  <si>
    <t>Decision</t>
  </si>
  <si>
    <t>2,0,0,2,2,3,0,0,0</t>
  </si>
  <si>
    <t>Job</t>
  </si>
  <si>
    <t>India</t>
  </si>
  <si>
    <t>Abroad</t>
  </si>
  <si>
    <t>MBA</t>
  </si>
  <si>
    <t>MCom</t>
  </si>
  <si>
    <t>MS</t>
  </si>
  <si>
    <t>USA</t>
  </si>
  <si>
    <t>UK</t>
  </si>
  <si>
    <t>Canada</t>
  </si>
  <si>
    <t>Standard Tests</t>
  </si>
  <si>
    <t>4,0,0,0,8,0,0</t>
  </si>
  <si>
    <t>4,0,0,0,9,0,0</t>
  </si>
  <si>
    <t>4,0,0,0,40,0,0</t>
  </si>
  <si>
    <t>ease of scholarship</t>
  </si>
  <si>
    <t>Ease of funds</t>
  </si>
  <si>
    <t>Job Market</t>
  </si>
  <si>
    <t>Quality of life</t>
  </si>
  <si>
    <t>Saftey and security</t>
  </si>
  <si>
    <t>Affordabilty</t>
  </si>
  <si>
    <t>Utility</t>
  </si>
  <si>
    <t>utility</t>
  </si>
  <si>
    <t>total utilty</t>
  </si>
  <si>
    <t>339B388D</t>
  </si>
  <si>
    <t>0,2,1,0,0,Exponential, 0,0,-1,0,-1,-1,.0001</t>
  </si>
  <si>
    <t>Vyshu Decison</t>
  </si>
  <si>
    <t>Higher Education</t>
  </si>
  <si>
    <t>1,0,0,2,6,7,2,0,0</t>
  </si>
  <si>
    <t>1,0,0,2,8,9,4,0,0</t>
  </si>
  <si>
    <t>Student Loan</t>
  </si>
  <si>
    <t>Personal Funds</t>
  </si>
  <si>
    <t>Placement</t>
  </si>
  <si>
    <t>4,0,0,0,52,0,0</t>
  </si>
  <si>
    <t>4,0,0,0,64,0,0</t>
  </si>
  <si>
    <t>On Campus</t>
  </si>
  <si>
    <t>Off Campus</t>
  </si>
  <si>
    <t>MCOM</t>
  </si>
  <si>
    <t>LOAN</t>
  </si>
  <si>
    <t>CANADA</t>
  </si>
  <si>
    <t>Personal Loan</t>
  </si>
  <si>
    <t>SALARY</t>
  </si>
  <si>
    <t>HIGH</t>
  </si>
  <si>
    <t>AVG</t>
  </si>
  <si>
    <t>LOW</t>
  </si>
  <si>
    <t>Salary</t>
  </si>
  <si>
    <t>No Job</t>
  </si>
  <si>
    <t>1,0,0,2,10,11,6,0,0</t>
  </si>
  <si>
    <t>1,0,0,2,12,13,6,0,0</t>
  </si>
  <si>
    <t>Internship</t>
  </si>
  <si>
    <t>UT_JB</t>
  </si>
  <si>
    <t>UT_QL</t>
  </si>
  <si>
    <t>Probability of getting a an intership in INDIA</t>
  </si>
  <si>
    <t>Probability of converting the internship into job in INDIA</t>
  </si>
  <si>
    <t>https://aishe.gov.in/aishe/viewDocument.action?documentId=353</t>
  </si>
  <si>
    <t>https://www.careerindia.com/study-abroad/indian-students-studying-abroad-latest-data-available-034395.html</t>
  </si>
  <si>
    <t>https://wenr.wes.org/2017/10/career-expectations-experiences-and-outcomes-of-u-s-educated-international-students-what-we-learned</t>
  </si>
  <si>
    <t>https://www.universitiesuk.ac.uk/latest/insights-and-analysis/what-did-graduates-do-after-higher</t>
  </si>
  <si>
    <t>https://www.globaldata.com/data-insights/macroeconomic/employment-rate-in-india-2137608/</t>
  </si>
  <si>
    <t>https://www.services.labour.gov.on.ca/labourmarket-ui/jobProfile?nocCode=22222</t>
  </si>
  <si>
    <t>https://www.newindianexpress.com/nation/2023/Mar/30/over-75-lakhindians-opted-to-study-abroad-in-2022-us-canada-uk-preferred-picks-2560893.html</t>
  </si>
  <si>
    <t>https://yourpediaglobal.com/us-universities-with-the-most-indian-students/</t>
  </si>
  <si>
    <t>https://www.newindianexpress.com/nation/2023/mar/30/over-75-lakhindians-opted-to-study-abroad-in-2022-us-canada-uk-preferred-picks-2560893.html</t>
  </si>
  <si>
    <t>https://www.pib.gov.in/PressReleaseIframePage.aspx?PRID=1908966</t>
  </si>
  <si>
    <t>Quantity</t>
  </si>
  <si>
    <t>Value</t>
  </si>
  <si>
    <t>Probability of Graduates choose to study in INDIA</t>
  </si>
  <si>
    <t>Probability of Graduates choose to study in ABROAD</t>
  </si>
  <si>
    <t>Probability of Graduates choose to study MBA in INDIA</t>
  </si>
  <si>
    <t>Probability of Graduates choose to study  Mcom in INDIA</t>
  </si>
  <si>
    <t>Probability of Graduates choose to study MBA in ABROAD</t>
  </si>
  <si>
    <t>Probability of Graduates choose to study in USA</t>
  </si>
  <si>
    <t>Probability of Graduates choose to study in UK</t>
  </si>
  <si>
    <t>Probability of Graduates choose to study in CANADA</t>
  </si>
  <si>
    <t>Probability of Graduates choose to study with PERSONAL FUNDS</t>
  </si>
  <si>
    <t>Probability of Graduates choose to study with STUDENT LOAN</t>
  </si>
  <si>
    <t>Probability of Master students getting a job in INDIA</t>
  </si>
  <si>
    <t>Probability of Master students not getting a job in INDIA</t>
  </si>
  <si>
    <t>Probability of Master students getting a job in USA</t>
  </si>
  <si>
    <t>Probability of Master students not getting a job in USA</t>
  </si>
  <si>
    <t>Probability of Master students getting a job in UK</t>
  </si>
  <si>
    <t>Probability of Master students not getting a job in UK</t>
  </si>
  <si>
    <t>Probability of Master students getting a job in CANADA</t>
  </si>
  <si>
    <t>Probability of Master students not getting a job in CANADA</t>
  </si>
  <si>
    <t>Probability of Graduate students getting a job in INDIA</t>
  </si>
  <si>
    <t>Probability of  Graduate Student getting a an intership in INDIA</t>
  </si>
  <si>
    <t>Probability of Graduates choose to study MS in ABROAD</t>
  </si>
  <si>
    <t>Source</t>
  </si>
  <si>
    <t>India( Fresh Graduate)</t>
  </si>
  <si>
    <t>India(internship)</t>
  </si>
  <si>
    <t>India off campus-job</t>
  </si>
  <si>
    <t>India off campus- intrenship</t>
  </si>
  <si>
    <t>UT_salary</t>
  </si>
  <si>
    <t>Overall Value</t>
  </si>
  <si>
    <t>Probability of Graduate studentsnot  getting a job in INDIA</t>
  </si>
  <si>
    <t>https://www.myshortlister.com/insights/internship-statistics</t>
  </si>
  <si>
    <t>2AE997C0</t>
  </si>
  <si>
    <t>4,0,0,0,0,0,0</t>
  </si>
  <si>
    <t>0,3,1,0,0,Exponential, 0,0,-1,0,-1,-1,.0001</t>
  </si>
  <si>
    <t>VYshu"s Decison?</t>
  </si>
  <si>
    <t>Job in India</t>
  </si>
  <si>
    <t>Place of Study?</t>
  </si>
  <si>
    <t>What To study?</t>
  </si>
  <si>
    <t>Source of Fund?</t>
  </si>
  <si>
    <t>Job Status</t>
  </si>
  <si>
    <t>1,0,0,2,14,17,4,0,0</t>
  </si>
  <si>
    <t>1,0,0,2,15,16,7,0,0</t>
  </si>
  <si>
    <t>4,0,0,0,14,0,0</t>
  </si>
  <si>
    <t>1,0,0,2,18,19,7,0,0</t>
  </si>
  <si>
    <t>4,0,0,0,17,0,0</t>
  </si>
  <si>
    <t>What To Study?</t>
  </si>
  <si>
    <t>1,0,0,2,20,21,2,0,0</t>
  </si>
  <si>
    <t>Country of Study?</t>
  </si>
  <si>
    <t>1,0,0,2,28,31,20,0,0</t>
  </si>
  <si>
    <t>1,0,0,2,29,30,22,0,0</t>
  </si>
  <si>
    <t>4,0,0,0,28,0,0</t>
  </si>
  <si>
    <t>1,0,0,2,32,33,22,0,0</t>
  </si>
  <si>
    <t>4,0,0,0,31,0,0</t>
  </si>
  <si>
    <t>1,0,0,2,34,37,21,0,0</t>
  </si>
  <si>
    <t>1,0,0,2,35,36,25,0,0</t>
  </si>
  <si>
    <t>4,0,0,0,34,0,0</t>
  </si>
  <si>
    <t>1,0,0,2,38,39,25,0,0</t>
  </si>
  <si>
    <t>4,0,0,0,37,0,0</t>
  </si>
  <si>
    <t>1,0,0,2,40,43,20,0,0</t>
  </si>
  <si>
    <t>1,0,0,2,41,42,23,0,0</t>
  </si>
  <si>
    <t>1,0,0,2,44,45,23,0,0</t>
  </si>
  <si>
    <t>4,0,0,0,43,0,0</t>
  </si>
  <si>
    <t>1,0,0,2,46,49,21,0,0</t>
  </si>
  <si>
    <t>1,0,0,2,47,48,26,0,0</t>
  </si>
  <si>
    <t>4,0,0,0,46,0,0</t>
  </si>
  <si>
    <t>1,0,0,2,50,51,26,0,0</t>
  </si>
  <si>
    <t>4,0,0,0,49,0,0</t>
  </si>
  <si>
    <t>1,0,0,2,52,55,20,0,0</t>
  </si>
  <si>
    <t>1,0,0,2,53,54,24,0,0</t>
  </si>
  <si>
    <t>1,0,0,2,56,57,24,0,0</t>
  </si>
  <si>
    <t>4,0,0,0,55,0,0</t>
  </si>
  <si>
    <t>1,0,0,2,58,61,21,0,0</t>
  </si>
  <si>
    <t>1,0,0,2,59,60,27,0,0</t>
  </si>
  <si>
    <t>4,0,0,0,58,0,0</t>
  </si>
  <si>
    <t>1,0,0,2,62,63,27,0,0</t>
  </si>
  <si>
    <t>4,0,0,0,61,0,0</t>
  </si>
  <si>
    <t>1,0,0,2,64,65,1,0,0</t>
  </si>
  <si>
    <t>Type of Placement?</t>
  </si>
  <si>
    <t>1,0,0,3,66,67,68,3,0,0</t>
  </si>
  <si>
    <t>1,0,0,3,69,70,71,3,0,0</t>
  </si>
  <si>
    <t>4,0,0,0,65,0,0</t>
  </si>
  <si>
    <t>2,0,0,2,4,5,1,0,0</t>
  </si>
  <si>
    <t>2,0,0,3,22,23,24,5,0,0</t>
  </si>
  <si>
    <t>2,0,0,3,25,26,27,5,0,0</t>
  </si>
  <si>
    <t>Student loan</t>
  </si>
  <si>
    <t>job</t>
  </si>
  <si>
    <t>No job</t>
  </si>
  <si>
    <t>Mcom</t>
  </si>
  <si>
    <t>Yes</t>
  </si>
  <si>
    <t>No</t>
  </si>
  <si>
    <t>BEST</t>
  </si>
  <si>
    <t>WORST</t>
  </si>
  <si>
    <t>Swing Job Market</t>
  </si>
  <si>
    <t>Swing Quality of life</t>
  </si>
  <si>
    <t>Swing Salary</t>
  </si>
  <si>
    <t>Satisfaction</t>
  </si>
  <si>
    <t>Weights</t>
  </si>
  <si>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</si>
  <si>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hp</t>
    </r>
  </si>
  <si>
    <r>
      <t>Date:</t>
    </r>
    <r>
      <rPr>
        <sz val="8"/>
        <color theme="1"/>
        <rFont val="Tahoma"/>
        <family val="2"/>
      </rPr>
      <t xml:space="preserve"> 25 April 2024 18:39:19</t>
    </r>
  </si>
  <si>
    <r>
      <t>Output:</t>
    </r>
    <r>
      <rPr>
        <sz val="8"/>
        <color theme="1"/>
        <rFont val="Tahoma"/>
        <family val="2"/>
      </rPr>
      <t xml:space="preserve"> Decision Tree 'VYshu"s Decison?' (Expected Value of Entire Model)</t>
    </r>
  </si>
  <si>
    <r>
      <t>Input:</t>
    </r>
    <r>
      <rPr>
        <sz val="8"/>
        <color theme="1"/>
        <rFont val="Tahoma"/>
        <family val="2"/>
      </rPr>
      <t xml:space="preserve"> Weights (L11)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</si>
  <si>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</si>
  <si>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</si>
  <si>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</si>
  <si>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</si>
  <si>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</si>
  <si>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</si>
  <si>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</si>
  <si>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</si>
  <si>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</si>
  <si>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</si>
  <si>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</si>
  <si>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</si>
  <si>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</si>
  <si>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</si>
  <si>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</si>
  <si>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</si>
  <si>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</si>
  <si>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</si>
  <si>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</si>
  <si>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</si>
  <si>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</si>
  <si>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</si>
  <si>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</si>
  <si>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</si>
  <si>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</si>
  <si>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</si>
  <si>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</si>
  <si>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</si>
  <si>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</si>
  <si>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</si>
  <si>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</si>
  <si>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Input</t>
  </si>
  <si>
    <t>Change (%)</t>
  </si>
  <si>
    <t>Output</t>
  </si>
  <si>
    <r>
      <t>Date:</t>
    </r>
    <r>
      <rPr>
        <sz val="8"/>
        <color theme="1"/>
        <rFont val="Tahoma"/>
        <family val="2"/>
      </rPr>
      <t xml:space="preserve"> 25 April 2024 18:39:20</t>
    </r>
  </si>
  <si>
    <r>
      <t>Input:</t>
    </r>
    <r>
      <rPr>
        <sz val="8"/>
        <color theme="1"/>
        <rFont val="Tahoma"/>
        <family val="2"/>
      </rPr>
      <t xml:space="preserve"> (L12)</t>
    </r>
  </si>
  <si>
    <r>
      <t>Date:</t>
    </r>
    <r>
      <rPr>
        <sz val="8"/>
        <color theme="1"/>
        <rFont val="Tahoma"/>
        <family val="2"/>
      </rPr>
      <t xml:space="preserve"> 25 April 2024 18:39:21</t>
    </r>
  </si>
  <si>
    <r>
      <t>Input:</t>
    </r>
    <r>
      <rPr>
        <sz val="8"/>
        <color theme="1"/>
        <rFont val="Tahoma"/>
        <family val="2"/>
      </rPr>
      <t xml:space="preserve"> (L13)</t>
    </r>
  </si>
  <si>
    <t>PrecisionTree Sensitivity Analysis - Strategy Region</t>
  </si>
  <si>
    <r>
      <t>Date:</t>
    </r>
    <r>
      <rPr>
        <sz val="8"/>
        <color theme="1"/>
        <rFont val="Tahoma"/>
        <family val="2"/>
      </rPr>
      <t xml:space="preserve"> 25 April 2024 18:39:22</t>
    </r>
  </si>
  <si>
    <t>Strategy Region Data</t>
  </si>
  <si>
    <r>
      <t>Date:</t>
    </r>
    <r>
      <rPr>
        <sz val="8"/>
        <color theme="1"/>
        <rFont val="Tahoma"/>
        <family val="2"/>
      </rPr>
      <t xml:space="preserve"> 25 April 2024 18:39:23</t>
    </r>
  </si>
  <si>
    <r>
      <t>Date:</t>
    </r>
    <r>
      <rPr>
        <sz val="8"/>
        <color theme="1"/>
        <rFont val="Tahoma"/>
        <family val="2"/>
      </rPr>
      <t xml:space="preserve"> 25 April 2024 18:39:24</t>
    </r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</si>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</sst>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&quot;$&quot;#,##0.00_);[Red]\(&quot;$&quot;#,##0.00\)"/>
    <numFmt numFmtId="165" formatCode="[&gt;0.00001]0.0###%;[=0]0.0%;0.00E+00"/>
  </numFmts>
  <fonts count="15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2" fontId="0" fillId="0" borderId="0" xfId="0" applyNumberFormat="1"/>
    <xf numFmtId="164" fontId="7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164" fontId="7" fillId="0" borderId="5" xfId="0" applyNumberFormat="1" applyFont="1" applyBorder="1"/>
    <xf numFmtId="0" fontId="7" fillId="0" borderId="5" xfId="0" applyFont="1" applyBorder="1"/>
    <xf numFmtId="0" fontId="7" fillId="0" borderId="6" xfId="0" applyFont="1" applyBorder="1"/>
    <xf numFmtId="164" fontId="7" fillId="0" borderId="7" xfId="0" applyNumberFormat="1" applyFont="1" applyBorder="1"/>
    <xf numFmtId="0" fontId="7" fillId="0" borderId="8" xfId="0" applyFont="1" applyBorder="1"/>
    <xf numFmtId="0" fontId="0" fillId="0" borderId="7" xfId="0" applyBorder="1"/>
    <xf numFmtId="0" fontId="0" fillId="4" borderId="0" xfId="0" applyFill="1"/>
    <xf numFmtId="0" fontId="0" fillId="4" borderId="5" xfId="0" applyFill="1" applyBorder="1"/>
    <xf numFmtId="0" fontId="7" fillId="4" borderId="0" xfId="0" applyFont="1" applyFill="1"/>
    <xf numFmtId="0" fontId="7" fillId="4" borderId="5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9" fontId="0" fillId="0" borderId="0" xfId="1" applyFont="1"/>
    <xf numFmtId="9" fontId="0" fillId="0" borderId="0" xfId="0" applyNumberFormat="1"/>
    <xf numFmtId="3" fontId="0" fillId="0" borderId="0" xfId="0" applyNumberFormat="1"/>
    <xf numFmtId="9" fontId="7" fillId="0" borderId="0" xfId="1" applyFont="1"/>
    <xf numFmtId="0" fontId="9" fillId="0" borderId="0" xfId="2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/>
    <xf numFmtId="2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2" applyAlignment="1">
      <alignment horizontal="center"/>
    </xf>
    <xf numFmtId="0" fontId="9" fillId="0" borderId="0" xfId="2" applyBorder="1" applyAlignment="1">
      <alignment horizontal="center"/>
    </xf>
    <xf numFmtId="0" fontId="11" fillId="5" borderId="0" xfId="0" applyFont="1" applyFill="1" applyBorder="1"/>
    <xf numFmtId="0" fontId="10" fillId="5" borderId="0" xfId="0" applyFont="1" applyFill="1" applyBorder="1"/>
    <xf numFmtId="0" fontId="10" fillId="5" borderId="13" xfId="0" applyFont="1" applyFill="1" applyBorder="1"/>
    <xf numFmtId="0" fontId="11" fillId="5" borderId="0" xfId="0" quotePrefix="1" applyFont="1" applyFill="1" applyBorder="1"/>
    <xf numFmtId="0" fontId="12" fillId="5" borderId="0" xfId="0" applyFont="1" applyFill="1" applyBorder="1"/>
    <xf numFmtId="0" fontId="12" fillId="5" borderId="13" xfId="0" applyFont="1" applyFill="1" applyBorder="1"/>
    <xf numFmtId="0" fontId="13" fillId="6" borderId="16" xfId="0" quotePrefix="1" applyNumberFormat="1" applyFont="1" applyFill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4" fillId="0" borderId="12" xfId="0" applyNumberFormat="1" applyFont="1" applyBorder="1" applyAlignment="1">
      <alignment horizontal="center"/>
    </xf>
    <xf numFmtId="0" fontId="14" fillId="0" borderId="21" xfId="0" applyNumberFormat="1" applyFont="1" applyBorder="1" applyAlignment="1">
      <alignment horizontal="center"/>
    </xf>
    <xf numFmtId="0" fontId="14" fillId="0" borderId="22" xfId="0" applyNumberFormat="1" applyFont="1" applyBorder="1" applyAlignment="1">
      <alignment horizontal="left"/>
    </xf>
    <xf numFmtId="0" fontId="14" fillId="0" borderId="23" xfId="0" applyNumberFormat="1" applyFont="1" applyBorder="1" applyAlignment="1">
      <alignment horizontal="left"/>
    </xf>
    <xf numFmtId="0" fontId="14" fillId="0" borderId="24" xfId="0" applyNumberFormat="1" applyFont="1" applyBorder="1" applyAlignment="1">
      <alignment horizontal="center" vertical="top"/>
    </xf>
    <xf numFmtId="0" fontId="14" fillId="0" borderId="25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right" vertical="top"/>
    </xf>
    <xf numFmtId="0" fontId="2" fillId="0" borderId="19" xfId="0" applyNumberFormat="1" applyFont="1" applyBorder="1" applyAlignment="1">
      <alignment horizontal="right" vertical="top"/>
    </xf>
    <xf numFmtId="0" fontId="14" fillId="0" borderId="26" xfId="0" applyNumberFormat="1" applyFont="1" applyBorder="1" applyAlignment="1">
      <alignment horizontal="center"/>
    </xf>
    <xf numFmtId="0" fontId="14" fillId="0" borderId="27" xfId="0" applyNumberFormat="1" applyFont="1" applyBorder="1" applyAlignment="1">
      <alignment horizontal="center"/>
    </xf>
    <xf numFmtId="0" fontId="14" fillId="0" borderId="28" xfId="0" applyNumberFormat="1" applyFont="1" applyBorder="1" applyAlignment="1">
      <alignment horizontal="center"/>
    </xf>
    <xf numFmtId="10" fontId="2" fillId="0" borderId="29" xfId="0" applyNumberFormat="1" applyFont="1" applyBorder="1" applyAlignment="1">
      <alignment horizontal="right" vertical="top"/>
    </xf>
    <xf numFmtId="10" fontId="2" fillId="0" borderId="30" xfId="0" applyNumberFormat="1" applyFont="1" applyBorder="1" applyAlignment="1">
      <alignment horizontal="right" vertical="top"/>
    </xf>
    <xf numFmtId="0" fontId="14" fillId="0" borderId="31" xfId="0" applyNumberFormat="1" applyFont="1" applyBorder="1" applyAlignment="1">
      <alignment horizontal="center"/>
    </xf>
    <xf numFmtId="0" fontId="14" fillId="0" borderId="15" xfId="0" applyNumberFormat="1" applyFont="1" applyBorder="1" applyAlignment="1">
      <alignment horizontal="center"/>
    </xf>
    <xf numFmtId="10" fontId="2" fillId="0" borderId="14" xfId="0" applyNumberFormat="1" applyFont="1" applyBorder="1" applyAlignment="1">
      <alignment horizontal="right" vertical="top"/>
    </xf>
    <xf numFmtId="10" fontId="2" fillId="0" borderId="20" xfId="0" applyNumberFormat="1" applyFont="1" applyBorder="1" applyAlignment="1">
      <alignment horizontal="right" vertical="top"/>
    </xf>
    <xf numFmtId="8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Sensitivity of Decision Tree 'VYshu"s Decison?'</a:t>
            </a:r>
            <a:r>
              <a:rPr lang="en-IN" sz="800" b="0"/>
              <a:t>
Expected Value of Node 'Decision' (C132)
With Variation of Weights (L11)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7318812872802956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L11'!$C$32:$C$61</c:f>
              <c:numCache>
                <c:formatCode>General</c:formatCode>
                <c:ptCount val="30"/>
                <c:pt idx="0">
                  <c:v>-7.0744191754679164E-18</c:v>
                </c:pt>
                <c:pt idx="1">
                  <c:v>2.3448275862068959E-2</c:v>
                </c:pt>
                <c:pt idx="2">
                  <c:v>4.6896551724137925E-2</c:v>
                </c:pt>
                <c:pt idx="3">
                  <c:v>7.0344827586206901E-2</c:v>
                </c:pt>
                <c:pt idx="4">
                  <c:v>9.3793103448275864E-2</c:v>
                </c:pt>
                <c:pt idx="5">
                  <c:v>0.11724137931034483</c:v>
                </c:pt>
                <c:pt idx="6">
                  <c:v>0.1406896551724138</c:v>
                </c:pt>
                <c:pt idx="7">
                  <c:v>0.16413793103448276</c:v>
                </c:pt>
                <c:pt idx="8">
                  <c:v>0.18758620689655173</c:v>
                </c:pt>
                <c:pt idx="9">
                  <c:v>0.21103448275862069</c:v>
                </c:pt>
                <c:pt idx="10">
                  <c:v>0.23448275862068968</c:v>
                </c:pt>
                <c:pt idx="11">
                  <c:v>0.25793103448275861</c:v>
                </c:pt>
                <c:pt idx="12">
                  <c:v>0.2813793103448276</c:v>
                </c:pt>
                <c:pt idx="13">
                  <c:v>0.30482758620689659</c:v>
                </c:pt>
                <c:pt idx="14">
                  <c:v>0.32827586206896553</c:v>
                </c:pt>
                <c:pt idx="15">
                  <c:v>0.35172413793103452</c:v>
                </c:pt>
                <c:pt idx="16">
                  <c:v>0.37517241379310345</c:v>
                </c:pt>
                <c:pt idx="17">
                  <c:v>0.39862068965517244</c:v>
                </c:pt>
                <c:pt idx="18">
                  <c:v>0.42206896551724143</c:v>
                </c:pt>
                <c:pt idx="19">
                  <c:v>0.44551724137931037</c:v>
                </c:pt>
                <c:pt idx="20">
                  <c:v>0.46896551724137936</c:v>
                </c:pt>
                <c:pt idx="21">
                  <c:v>0.49241379310344829</c:v>
                </c:pt>
                <c:pt idx="22">
                  <c:v>0.51586206896551723</c:v>
                </c:pt>
                <c:pt idx="23">
                  <c:v>0.53931034482758622</c:v>
                </c:pt>
                <c:pt idx="24">
                  <c:v>0.56275862068965521</c:v>
                </c:pt>
                <c:pt idx="25">
                  <c:v>0.5862068965517242</c:v>
                </c:pt>
                <c:pt idx="26">
                  <c:v>0.60965517241379319</c:v>
                </c:pt>
                <c:pt idx="27">
                  <c:v>0.63310344827586207</c:v>
                </c:pt>
                <c:pt idx="28">
                  <c:v>0.65655172413793106</c:v>
                </c:pt>
                <c:pt idx="29">
                  <c:v>0.68</c:v>
                </c:pt>
              </c:numCache>
            </c:numRef>
          </c:xVal>
          <c:yVal>
            <c:numRef>
              <c:f>'Sensitivity L11'!$E$32:$E$61</c:f>
              <c:numCache>
                <c:formatCode>General</c:formatCode>
                <c:ptCount val="30"/>
                <c:pt idx="0">
                  <c:v>97.038095238095252</c:v>
                </c:pt>
                <c:pt idx="1">
                  <c:v>97.038095238095252</c:v>
                </c:pt>
                <c:pt idx="2">
                  <c:v>97.038095238095252</c:v>
                </c:pt>
                <c:pt idx="3">
                  <c:v>97.038095238095252</c:v>
                </c:pt>
                <c:pt idx="4">
                  <c:v>97.038095238095252</c:v>
                </c:pt>
                <c:pt idx="5">
                  <c:v>97.038095238095252</c:v>
                </c:pt>
                <c:pt idx="6">
                  <c:v>97.038095238095252</c:v>
                </c:pt>
                <c:pt idx="7">
                  <c:v>97.038095238095252</c:v>
                </c:pt>
                <c:pt idx="8">
                  <c:v>97.038095238095252</c:v>
                </c:pt>
                <c:pt idx="9">
                  <c:v>97.038095238095252</c:v>
                </c:pt>
                <c:pt idx="10">
                  <c:v>97.038095238095252</c:v>
                </c:pt>
                <c:pt idx="11">
                  <c:v>97.038095238095252</c:v>
                </c:pt>
                <c:pt idx="12">
                  <c:v>97.038095238095252</c:v>
                </c:pt>
                <c:pt idx="13">
                  <c:v>97.038095238095252</c:v>
                </c:pt>
                <c:pt idx="14">
                  <c:v>97.038095238095252</c:v>
                </c:pt>
                <c:pt idx="15">
                  <c:v>97.038095238095252</c:v>
                </c:pt>
                <c:pt idx="16">
                  <c:v>97.038095238095252</c:v>
                </c:pt>
                <c:pt idx="17">
                  <c:v>97.038095238095252</c:v>
                </c:pt>
                <c:pt idx="18">
                  <c:v>97.038095238095252</c:v>
                </c:pt>
                <c:pt idx="19">
                  <c:v>97.038095238095252</c:v>
                </c:pt>
                <c:pt idx="20">
                  <c:v>97.038095238095252</c:v>
                </c:pt>
                <c:pt idx="21">
                  <c:v>97.038095238095252</c:v>
                </c:pt>
                <c:pt idx="22">
                  <c:v>97.038095238095252</c:v>
                </c:pt>
                <c:pt idx="23">
                  <c:v>97.038095238095252</c:v>
                </c:pt>
                <c:pt idx="24">
                  <c:v>97.038095238095252</c:v>
                </c:pt>
                <c:pt idx="25">
                  <c:v>97.038095238095252</c:v>
                </c:pt>
                <c:pt idx="26">
                  <c:v>97.038095238095252</c:v>
                </c:pt>
                <c:pt idx="27">
                  <c:v>97.038095238095252</c:v>
                </c:pt>
                <c:pt idx="28">
                  <c:v>97.038095238095252</c:v>
                </c:pt>
                <c:pt idx="29">
                  <c:v>97.038095238095252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4-4373-91B6-7F728FF9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9919"/>
        <c:axId val="1462491919"/>
      </c:scatterChart>
      <c:valAx>
        <c:axId val="1462479919"/>
        <c:scaling>
          <c:orientation val="minMax"/>
          <c:max val="0.70000000000000007"/>
          <c:min val="-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Weights (L11)</a:t>
                </a:r>
              </a:p>
            </c:rich>
          </c:tx>
          <c:layout>
            <c:manualLayout>
              <c:xMode val="edge"/>
              <c:yMode val="edge"/>
              <c:x val="0.44060158952093603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62491919"/>
        <c:crossesAt val="-1.0000000000000001E+300"/>
        <c:crossBetween val="midCat"/>
        <c:majorUnit val="0.1"/>
      </c:valAx>
      <c:valAx>
        <c:axId val="1462491919"/>
        <c:scaling>
          <c:orientation val="minMax"/>
          <c:max val="97.600000000000009"/>
          <c:min val="96.4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62479919"/>
        <c:crossesAt val="-1.0000000000000001E+300"/>
        <c:crossBetween val="midCat"/>
        <c:majorUnit val="0.20000000000000048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Sensitivity of Decision Tree 'VYshu"s Decison?'</a:t>
            </a:r>
            <a:r>
              <a:rPr lang="en-IN" sz="800" b="0"/>
              <a:t>
Expected Value of Node 'Decision' (C132)
With Variation of (L12)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6689465406754596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L12'!$C$32:$C$61</c:f>
              <c:numCache>
                <c:formatCode>General</c:formatCode>
                <c:ptCount val="30"/>
                <c:pt idx="0">
                  <c:v>-5.4210108624275222E-18</c:v>
                </c:pt>
                <c:pt idx="1">
                  <c:v>1.7931034482758616E-2</c:v>
                </c:pt>
                <c:pt idx="2">
                  <c:v>3.5862068965517239E-2</c:v>
                </c:pt>
                <c:pt idx="3">
                  <c:v>5.3793103448275856E-2</c:v>
                </c:pt>
                <c:pt idx="4">
                  <c:v>7.1724137931034479E-2</c:v>
                </c:pt>
                <c:pt idx="5">
                  <c:v>8.9655172413793102E-2</c:v>
                </c:pt>
                <c:pt idx="6">
                  <c:v>0.10758620689655173</c:v>
                </c:pt>
                <c:pt idx="7">
                  <c:v>0.12551724137931033</c:v>
                </c:pt>
                <c:pt idx="8">
                  <c:v>0.14344827586206896</c:v>
                </c:pt>
                <c:pt idx="9">
                  <c:v>0.16137931034482758</c:v>
                </c:pt>
                <c:pt idx="10">
                  <c:v>0.1793103448275862</c:v>
                </c:pt>
                <c:pt idx="11">
                  <c:v>0.19724137931034483</c:v>
                </c:pt>
                <c:pt idx="12">
                  <c:v>0.21517241379310345</c:v>
                </c:pt>
                <c:pt idx="13">
                  <c:v>0.23310344827586207</c:v>
                </c:pt>
                <c:pt idx="14">
                  <c:v>0.25103448275862067</c:v>
                </c:pt>
                <c:pt idx="15">
                  <c:v>0.26896551724137929</c:v>
                </c:pt>
                <c:pt idx="16">
                  <c:v>0.28689655172413792</c:v>
                </c:pt>
                <c:pt idx="17">
                  <c:v>0.30482758620689654</c:v>
                </c:pt>
                <c:pt idx="18">
                  <c:v>0.32275862068965516</c:v>
                </c:pt>
                <c:pt idx="19">
                  <c:v>0.34068965517241379</c:v>
                </c:pt>
                <c:pt idx="20">
                  <c:v>0.35862068965517241</c:v>
                </c:pt>
                <c:pt idx="21">
                  <c:v>0.37655172413793103</c:v>
                </c:pt>
                <c:pt idx="22">
                  <c:v>0.39448275862068966</c:v>
                </c:pt>
                <c:pt idx="23">
                  <c:v>0.41241379310344828</c:v>
                </c:pt>
                <c:pt idx="24">
                  <c:v>0.4303448275862069</c:v>
                </c:pt>
                <c:pt idx="25">
                  <c:v>0.44827586206896552</c:v>
                </c:pt>
                <c:pt idx="26">
                  <c:v>0.46620689655172415</c:v>
                </c:pt>
                <c:pt idx="27">
                  <c:v>0.48413793103448277</c:v>
                </c:pt>
                <c:pt idx="28">
                  <c:v>0.50206896551724145</c:v>
                </c:pt>
                <c:pt idx="29">
                  <c:v>0.52</c:v>
                </c:pt>
              </c:numCache>
            </c:numRef>
          </c:xVal>
          <c:yVal>
            <c:numRef>
              <c:f>'Sensitivity L12'!$E$32:$E$61</c:f>
              <c:numCache>
                <c:formatCode>General</c:formatCode>
                <c:ptCount val="30"/>
                <c:pt idx="0">
                  <c:v>97.038095238095252</c:v>
                </c:pt>
                <c:pt idx="1">
                  <c:v>97.038095238095252</c:v>
                </c:pt>
                <c:pt idx="2">
                  <c:v>97.038095238095252</c:v>
                </c:pt>
                <c:pt idx="3">
                  <c:v>97.038095238095252</c:v>
                </c:pt>
                <c:pt idx="4">
                  <c:v>97.038095238095252</c:v>
                </c:pt>
                <c:pt idx="5">
                  <c:v>97.038095238095252</c:v>
                </c:pt>
                <c:pt idx="6">
                  <c:v>97.038095238095252</c:v>
                </c:pt>
                <c:pt idx="7">
                  <c:v>97.038095238095252</c:v>
                </c:pt>
                <c:pt idx="8">
                  <c:v>97.038095238095252</c:v>
                </c:pt>
                <c:pt idx="9">
                  <c:v>97.038095238095252</c:v>
                </c:pt>
                <c:pt idx="10">
                  <c:v>97.038095238095252</c:v>
                </c:pt>
                <c:pt idx="11">
                  <c:v>97.038095238095252</c:v>
                </c:pt>
                <c:pt idx="12">
                  <c:v>97.038095238095252</c:v>
                </c:pt>
                <c:pt idx="13">
                  <c:v>97.038095238095252</c:v>
                </c:pt>
                <c:pt idx="14">
                  <c:v>97.038095238095252</c:v>
                </c:pt>
                <c:pt idx="15">
                  <c:v>97.038095238095252</c:v>
                </c:pt>
                <c:pt idx="16">
                  <c:v>97.038095238095252</c:v>
                </c:pt>
                <c:pt idx="17">
                  <c:v>97.038095238095252</c:v>
                </c:pt>
                <c:pt idx="18">
                  <c:v>97.038095238095252</c:v>
                </c:pt>
                <c:pt idx="19">
                  <c:v>97.038095238095252</c:v>
                </c:pt>
                <c:pt idx="20">
                  <c:v>97.038095238095252</c:v>
                </c:pt>
                <c:pt idx="21">
                  <c:v>97.038095238095252</c:v>
                </c:pt>
                <c:pt idx="22">
                  <c:v>97.038095238095252</c:v>
                </c:pt>
                <c:pt idx="23">
                  <c:v>97.038095238095252</c:v>
                </c:pt>
                <c:pt idx="24">
                  <c:v>97.038095238095252</c:v>
                </c:pt>
                <c:pt idx="25">
                  <c:v>97.038095238095252</c:v>
                </c:pt>
                <c:pt idx="26">
                  <c:v>97.038095238095252</c:v>
                </c:pt>
                <c:pt idx="27">
                  <c:v>97.038095238095252</c:v>
                </c:pt>
                <c:pt idx="28">
                  <c:v>97.038095238095252</c:v>
                </c:pt>
                <c:pt idx="29">
                  <c:v>97.038095238095252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2-4B8C-B804-5DB23DD0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98639"/>
        <c:axId val="1462494319"/>
      </c:scatterChart>
      <c:valAx>
        <c:axId val="1462498639"/>
        <c:scaling>
          <c:orientation val="minMax"/>
          <c:max val="0.6"/>
          <c:min val="-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(L12)</a:t>
                </a:r>
              </a:p>
            </c:rich>
          </c:tx>
          <c:layout>
            <c:manualLayout>
              <c:xMode val="edge"/>
              <c:yMode val="edge"/>
              <c:x val="0.47391934653028184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62494319"/>
        <c:crossesAt val="-1.0000000000000001E+300"/>
        <c:crossBetween val="midCat"/>
        <c:majorUnit val="9.9999999999999992E-2"/>
      </c:valAx>
      <c:valAx>
        <c:axId val="1462494319"/>
        <c:scaling>
          <c:orientation val="minMax"/>
          <c:max val="97.600000000000009"/>
          <c:min val="96.4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62498639"/>
        <c:crossesAt val="-1.0000000000000001E+300"/>
        <c:crossBetween val="midCat"/>
        <c:majorUnit val="0.20000000000000048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Sensitivity of Decision Tree 'VYshu"s Decison?'</a:t>
            </a:r>
            <a:r>
              <a:rPr lang="en-IN" sz="800" b="0"/>
              <a:t>
Expected Value of Node 'Decision' (C132)
With Variation of (L13)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7318812872802956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L13'!$C$32:$C$61</c:f>
              <c:numCache>
                <c:formatCode>General</c:formatCode>
                <c:ptCount val="30"/>
                <c:pt idx="0">
                  <c:v>-8.3212516738262465E-18</c:v>
                </c:pt>
                <c:pt idx="1">
                  <c:v>2.7586206896551717E-2</c:v>
                </c:pt>
                <c:pt idx="2">
                  <c:v>5.5172413793103441E-2</c:v>
                </c:pt>
                <c:pt idx="3">
                  <c:v>8.2758620689655171E-2</c:v>
                </c:pt>
                <c:pt idx="4">
                  <c:v>0.1103448275862069</c:v>
                </c:pt>
                <c:pt idx="5">
                  <c:v>0.13793103448275862</c:v>
                </c:pt>
                <c:pt idx="6">
                  <c:v>0.16551724137931034</c:v>
                </c:pt>
                <c:pt idx="7">
                  <c:v>0.19310344827586207</c:v>
                </c:pt>
                <c:pt idx="8">
                  <c:v>0.22068965517241379</c:v>
                </c:pt>
                <c:pt idx="9">
                  <c:v>0.24827586206896551</c:v>
                </c:pt>
                <c:pt idx="10">
                  <c:v>0.27586206896551724</c:v>
                </c:pt>
                <c:pt idx="11">
                  <c:v>0.30344827586206896</c:v>
                </c:pt>
                <c:pt idx="12">
                  <c:v>0.33103448275862069</c:v>
                </c:pt>
                <c:pt idx="13">
                  <c:v>0.35862068965517241</c:v>
                </c:pt>
                <c:pt idx="14">
                  <c:v>0.38620689655172413</c:v>
                </c:pt>
                <c:pt idx="15">
                  <c:v>0.41379310344827586</c:v>
                </c:pt>
                <c:pt idx="16">
                  <c:v>0.44137931034482758</c:v>
                </c:pt>
                <c:pt idx="17">
                  <c:v>0.46896551724137936</c:v>
                </c:pt>
                <c:pt idx="18">
                  <c:v>0.49655172413793108</c:v>
                </c:pt>
                <c:pt idx="19">
                  <c:v>0.52413793103448281</c:v>
                </c:pt>
                <c:pt idx="20">
                  <c:v>0.55172413793103448</c:v>
                </c:pt>
                <c:pt idx="21">
                  <c:v>0.57931034482758625</c:v>
                </c:pt>
                <c:pt idx="22">
                  <c:v>0.60689655172413792</c:v>
                </c:pt>
                <c:pt idx="23">
                  <c:v>0.6344827586206897</c:v>
                </c:pt>
                <c:pt idx="24">
                  <c:v>0.66206896551724137</c:v>
                </c:pt>
                <c:pt idx="25">
                  <c:v>0.68965517241379315</c:v>
                </c:pt>
                <c:pt idx="26">
                  <c:v>0.71724137931034482</c:v>
                </c:pt>
                <c:pt idx="27">
                  <c:v>0.7448275862068966</c:v>
                </c:pt>
                <c:pt idx="28">
                  <c:v>0.77241379310344827</c:v>
                </c:pt>
                <c:pt idx="29">
                  <c:v>0.8</c:v>
                </c:pt>
              </c:numCache>
            </c:numRef>
          </c:xVal>
          <c:yVal>
            <c:numRef>
              <c:f>'Sensitivity L13'!$E$32:$E$61</c:f>
              <c:numCache>
                <c:formatCode>General</c:formatCode>
                <c:ptCount val="30"/>
                <c:pt idx="0">
                  <c:v>97.038095238095252</c:v>
                </c:pt>
                <c:pt idx="1">
                  <c:v>97.038095238095252</c:v>
                </c:pt>
                <c:pt idx="2">
                  <c:v>97.038095238095252</c:v>
                </c:pt>
                <c:pt idx="3">
                  <c:v>97.038095238095252</c:v>
                </c:pt>
                <c:pt idx="4">
                  <c:v>97.038095238095252</c:v>
                </c:pt>
                <c:pt idx="5">
                  <c:v>97.038095238095252</c:v>
                </c:pt>
                <c:pt idx="6">
                  <c:v>97.038095238095252</c:v>
                </c:pt>
                <c:pt idx="7">
                  <c:v>97.038095238095252</c:v>
                </c:pt>
                <c:pt idx="8">
                  <c:v>97.038095238095252</c:v>
                </c:pt>
                <c:pt idx="9">
                  <c:v>97.038095238095252</c:v>
                </c:pt>
                <c:pt idx="10">
                  <c:v>97.038095238095252</c:v>
                </c:pt>
                <c:pt idx="11">
                  <c:v>97.038095238095252</c:v>
                </c:pt>
                <c:pt idx="12">
                  <c:v>97.038095238095252</c:v>
                </c:pt>
                <c:pt idx="13">
                  <c:v>97.038095238095252</c:v>
                </c:pt>
                <c:pt idx="14">
                  <c:v>97.038095238095252</c:v>
                </c:pt>
                <c:pt idx="15">
                  <c:v>97.038095238095252</c:v>
                </c:pt>
                <c:pt idx="16">
                  <c:v>97.038095238095252</c:v>
                </c:pt>
                <c:pt idx="17">
                  <c:v>97.038095238095252</c:v>
                </c:pt>
                <c:pt idx="18">
                  <c:v>97.038095238095252</c:v>
                </c:pt>
                <c:pt idx="19">
                  <c:v>97.038095238095252</c:v>
                </c:pt>
                <c:pt idx="20">
                  <c:v>97.038095238095252</c:v>
                </c:pt>
                <c:pt idx="21">
                  <c:v>97.038095238095252</c:v>
                </c:pt>
                <c:pt idx="22">
                  <c:v>97.038095238095252</c:v>
                </c:pt>
                <c:pt idx="23">
                  <c:v>97.038095238095252</c:v>
                </c:pt>
                <c:pt idx="24">
                  <c:v>97.038095238095252</c:v>
                </c:pt>
                <c:pt idx="25">
                  <c:v>97.038095238095252</c:v>
                </c:pt>
                <c:pt idx="26">
                  <c:v>97.038095238095252</c:v>
                </c:pt>
                <c:pt idx="27">
                  <c:v>97.038095238095252</c:v>
                </c:pt>
                <c:pt idx="28">
                  <c:v>97.038095238095252</c:v>
                </c:pt>
                <c:pt idx="29">
                  <c:v>97.038095238095252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2-49AA-A43D-F23DD955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82799"/>
        <c:axId val="1462492879"/>
      </c:scatterChart>
      <c:valAx>
        <c:axId val="1462482799"/>
        <c:scaling>
          <c:orientation val="minMax"/>
          <c:max val="0.9"/>
          <c:min val="-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(L13)</a:t>
                </a:r>
              </a:p>
            </c:rich>
          </c:tx>
          <c:layout>
            <c:manualLayout>
              <c:xMode val="edge"/>
              <c:yMode val="edge"/>
              <c:x val="0.47391934653028184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62492879"/>
        <c:crossesAt val="-1.0000000000000001E+300"/>
        <c:crossBetween val="midCat"/>
        <c:majorUnit val="0.1"/>
      </c:valAx>
      <c:valAx>
        <c:axId val="1462492879"/>
        <c:scaling>
          <c:orientation val="minMax"/>
          <c:max val="97.600000000000009"/>
          <c:min val="96.4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62482799"/>
        <c:crossesAt val="-1.0000000000000001E+300"/>
        <c:crossBetween val="midCat"/>
        <c:majorUnit val="0.20000000000000048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of Decision Tree 'VYshu"s Decison?'</a:t>
            </a:r>
            <a:r>
              <a:rPr lang="en-IN" sz="800" b="0"/>
              <a:t>
Expected Value of Node 'Decision' (C132)
With Variation of Weights (L11)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3401777172713223"/>
          <c:h val="0.73188128728029567"/>
        </c:manualLayout>
      </c:layout>
      <c:scatterChart>
        <c:scatterStyle val="lineMarker"/>
        <c:varyColors val="0"/>
        <c:ser>
          <c:idx val="0"/>
          <c:order val="0"/>
          <c:tx>
            <c:v>Higher Education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L11'!$C$32:$C$61</c:f>
              <c:numCache>
                <c:formatCode>General</c:formatCode>
                <c:ptCount val="30"/>
                <c:pt idx="0">
                  <c:v>-7.0744191754679164E-18</c:v>
                </c:pt>
                <c:pt idx="1">
                  <c:v>2.3448275862068959E-2</c:v>
                </c:pt>
                <c:pt idx="2">
                  <c:v>4.6896551724137925E-2</c:v>
                </c:pt>
                <c:pt idx="3">
                  <c:v>7.0344827586206901E-2</c:v>
                </c:pt>
                <c:pt idx="4">
                  <c:v>9.3793103448275864E-2</c:v>
                </c:pt>
                <c:pt idx="5">
                  <c:v>0.11724137931034483</c:v>
                </c:pt>
                <c:pt idx="6">
                  <c:v>0.1406896551724138</c:v>
                </c:pt>
                <c:pt idx="7">
                  <c:v>0.16413793103448276</c:v>
                </c:pt>
                <c:pt idx="8">
                  <c:v>0.18758620689655173</c:v>
                </c:pt>
                <c:pt idx="9">
                  <c:v>0.21103448275862069</c:v>
                </c:pt>
                <c:pt idx="10">
                  <c:v>0.23448275862068968</c:v>
                </c:pt>
                <c:pt idx="11">
                  <c:v>0.25793103448275861</c:v>
                </c:pt>
                <c:pt idx="12">
                  <c:v>0.2813793103448276</c:v>
                </c:pt>
                <c:pt idx="13">
                  <c:v>0.30482758620689659</c:v>
                </c:pt>
                <c:pt idx="14">
                  <c:v>0.32827586206896553</c:v>
                </c:pt>
                <c:pt idx="15">
                  <c:v>0.35172413793103452</c:v>
                </c:pt>
                <c:pt idx="16">
                  <c:v>0.37517241379310345</c:v>
                </c:pt>
                <c:pt idx="17">
                  <c:v>0.39862068965517244</c:v>
                </c:pt>
                <c:pt idx="18">
                  <c:v>0.42206896551724143</c:v>
                </c:pt>
                <c:pt idx="19">
                  <c:v>0.44551724137931037</c:v>
                </c:pt>
                <c:pt idx="20">
                  <c:v>0.46896551724137936</c:v>
                </c:pt>
                <c:pt idx="21">
                  <c:v>0.49241379310344829</c:v>
                </c:pt>
                <c:pt idx="22">
                  <c:v>0.51586206896551723</c:v>
                </c:pt>
                <c:pt idx="23">
                  <c:v>0.53931034482758622</c:v>
                </c:pt>
                <c:pt idx="24">
                  <c:v>0.56275862068965521</c:v>
                </c:pt>
                <c:pt idx="25">
                  <c:v>0.5862068965517242</c:v>
                </c:pt>
                <c:pt idx="26">
                  <c:v>0.60965517241379319</c:v>
                </c:pt>
                <c:pt idx="27">
                  <c:v>0.63310344827586207</c:v>
                </c:pt>
                <c:pt idx="28">
                  <c:v>0.65655172413793106</c:v>
                </c:pt>
                <c:pt idx="29">
                  <c:v>0.68</c:v>
                </c:pt>
              </c:numCache>
            </c:numRef>
          </c:xVal>
          <c:yVal>
            <c:numRef>
              <c:f>'Strategy L11'!$E$32:$E$61</c:f>
              <c:numCache>
                <c:formatCode>General</c:formatCode>
                <c:ptCount val="30"/>
                <c:pt idx="0">
                  <c:v>97.038095238095252</c:v>
                </c:pt>
                <c:pt idx="1">
                  <c:v>97.038095238095252</c:v>
                </c:pt>
                <c:pt idx="2">
                  <c:v>97.038095238095252</c:v>
                </c:pt>
                <c:pt idx="3">
                  <c:v>97.038095238095252</c:v>
                </c:pt>
                <c:pt idx="4">
                  <c:v>97.038095238095252</c:v>
                </c:pt>
                <c:pt idx="5">
                  <c:v>97.038095238095252</c:v>
                </c:pt>
                <c:pt idx="6">
                  <c:v>97.038095238095252</c:v>
                </c:pt>
                <c:pt idx="7">
                  <c:v>97.038095238095252</c:v>
                </c:pt>
                <c:pt idx="8">
                  <c:v>97.038095238095252</c:v>
                </c:pt>
                <c:pt idx="9">
                  <c:v>97.038095238095252</c:v>
                </c:pt>
                <c:pt idx="10">
                  <c:v>97.038095238095252</c:v>
                </c:pt>
                <c:pt idx="11">
                  <c:v>97.038095238095252</c:v>
                </c:pt>
                <c:pt idx="12">
                  <c:v>97.038095238095252</c:v>
                </c:pt>
                <c:pt idx="13">
                  <c:v>97.038095238095252</c:v>
                </c:pt>
                <c:pt idx="14">
                  <c:v>97.038095238095252</c:v>
                </c:pt>
                <c:pt idx="15">
                  <c:v>97.038095238095252</c:v>
                </c:pt>
                <c:pt idx="16">
                  <c:v>97.038095238095252</c:v>
                </c:pt>
                <c:pt idx="17">
                  <c:v>97.038095238095252</c:v>
                </c:pt>
                <c:pt idx="18">
                  <c:v>97.038095238095252</c:v>
                </c:pt>
                <c:pt idx="19">
                  <c:v>97.038095238095252</c:v>
                </c:pt>
                <c:pt idx="20">
                  <c:v>97.038095238095252</c:v>
                </c:pt>
                <c:pt idx="21">
                  <c:v>97.038095238095252</c:v>
                </c:pt>
                <c:pt idx="22">
                  <c:v>97.038095238095252</c:v>
                </c:pt>
                <c:pt idx="23">
                  <c:v>97.038095238095252</c:v>
                </c:pt>
                <c:pt idx="24">
                  <c:v>97.038095238095252</c:v>
                </c:pt>
                <c:pt idx="25">
                  <c:v>97.038095238095252</c:v>
                </c:pt>
                <c:pt idx="26">
                  <c:v>97.038095238095252</c:v>
                </c:pt>
                <c:pt idx="27">
                  <c:v>97.038095238095252</c:v>
                </c:pt>
                <c:pt idx="28">
                  <c:v>97.038095238095252</c:v>
                </c:pt>
                <c:pt idx="29">
                  <c:v>97.038095238095252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4-4ECF-9C23-77F09C2B9467}"/>
            </c:ext>
          </c:extLst>
        </c:ser>
        <c:ser>
          <c:idx val="1"/>
          <c:order val="1"/>
          <c:tx>
            <c:v>Job in India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L11'!$C$32:$C$61</c:f>
              <c:numCache>
                <c:formatCode>General</c:formatCode>
                <c:ptCount val="30"/>
                <c:pt idx="0">
                  <c:v>-7.0744191754679164E-18</c:v>
                </c:pt>
                <c:pt idx="1">
                  <c:v>2.3448275862068959E-2</c:v>
                </c:pt>
                <c:pt idx="2">
                  <c:v>4.6896551724137925E-2</c:v>
                </c:pt>
                <c:pt idx="3">
                  <c:v>7.0344827586206901E-2</c:v>
                </c:pt>
                <c:pt idx="4">
                  <c:v>9.3793103448275864E-2</c:v>
                </c:pt>
                <c:pt idx="5">
                  <c:v>0.11724137931034483</c:v>
                </c:pt>
                <c:pt idx="6">
                  <c:v>0.1406896551724138</c:v>
                </c:pt>
                <c:pt idx="7">
                  <c:v>0.16413793103448276</c:v>
                </c:pt>
                <c:pt idx="8">
                  <c:v>0.18758620689655173</c:v>
                </c:pt>
                <c:pt idx="9">
                  <c:v>0.21103448275862069</c:v>
                </c:pt>
                <c:pt idx="10">
                  <c:v>0.23448275862068968</c:v>
                </c:pt>
                <c:pt idx="11">
                  <c:v>0.25793103448275861</c:v>
                </c:pt>
                <c:pt idx="12">
                  <c:v>0.2813793103448276</c:v>
                </c:pt>
                <c:pt idx="13">
                  <c:v>0.30482758620689659</c:v>
                </c:pt>
                <c:pt idx="14">
                  <c:v>0.32827586206896553</c:v>
                </c:pt>
                <c:pt idx="15">
                  <c:v>0.35172413793103452</c:v>
                </c:pt>
                <c:pt idx="16">
                  <c:v>0.37517241379310345</c:v>
                </c:pt>
                <c:pt idx="17">
                  <c:v>0.39862068965517244</c:v>
                </c:pt>
                <c:pt idx="18">
                  <c:v>0.42206896551724143</c:v>
                </c:pt>
                <c:pt idx="19">
                  <c:v>0.44551724137931037</c:v>
                </c:pt>
                <c:pt idx="20">
                  <c:v>0.46896551724137936</c:v>
                </c:pt>
                <c:pt idx="21">
                  <c:v>0.49241379310344829</c:v>
                </c:pt>
                <c:pt idx="22">
                  <c:v>0.51586206896551723</c:v>
                </c:pt>
                <c:pt idx="23">
                  <c:v>0.53931034482758622</c:v>
                </c:pt>
                <c:pt idx="24">
                  <c:v>0.56275862068965521</c:v>
                </c:pt>
                <c:pt idx="25">
                  <c:v>0.5862068965517242</c:v>
                </c:pt>
                <c:pt idx="26">
                  <c:v>0.60965517241379319</c:v>
                </c:pt>
                <c:pt idx="27">
                  <c:v>0.63310344827586207</c:v>
                </c:pt>
                <c:pt idx="28">
                  <c:v>0.65655172413793106</c:v>
                </c:pt>
                <c:pt idx="29">
                  <c:v>0.68</c:v>
                </c:pt>
              </c:numCache>
            </c:numRef>
          </c:xVal>
          <c:yVal>
            <c:numRef>
              <c:f>'Strategy L11'!$G$32:$G$61</c:f>
              <c:numCache>
                <c:formatCode>General</c:formatCode>
                <c:ptCount val="30"/>
                <c:pt idx="0">
                  <c:v>1.0076156074285716</c:v>
                </c:pt>
                <c:pt idx="1">
                  <c:v>1.0076156074285716</c:v>
                </c:pt>
                <c:pt idx="2">
                  <c:v>1.0076156074285716</c:v>
                </c:pt>
                <c:pt idx="3">
                  <c:v>1.0076156074285716</c:v>
                </c:pt>
                <c:pt idx="4">
                  <c:v>1.0076156074285716</c:v>
                </c:pt>
                <c:pt idx="5">
                  <c:v>1.0076156074285716</c:v>
                </c:pt>
                <c:pt idx="6">
                  <c:v>1.0076156074285716</c:v>
                </c:pt>
                <c:pt idx="7">
                  <c:v>1.0076156074285716</c:v>
                </c:pt>
                <c:pt idx="8">
                  <c:v>1.0076156074285716</c:v>
                </c:pt>
                <c:pt idx="9">
                  <c:v>1.0076156074285716</c:v>
                </c:pt>
                <c:pt idx="10">
                  <c:v>1.0076156074285716</c:v>
                </c:pt>
                <c:pt idx="11">
                  <c:v>1.0076156074285716</c:v>
                </c:pt>
                <c:pt idx="12">
                  <c:v>1.0076156074285716</c:v>
                </c:pt>
                <c:pt idx="13">
                  <c:v>1.0076156074285716</c:v>
                </c:pt>
                <c:pt idx="14">
                  <c:v>1.0076156074285716</c:v>
                </c:pt>
                <c:pt idx="15">
                  <c:v>1.0076156074285716</c:v>
                </c:pt>
                <c:pt idx="16">
                  <c:v>1.0076156074285716</c:v>
                </c:pt>
                <c:pt idx="17">
                  <c:v>1.0076156074285716</c:v>
                </c:pt>
                <c:pt idx="18">
                  <c:v>1.0076156074285716</c:v>
                </c:pt>
                <c:pt idx="19">
                  <c:v>1.0076156074285716</c:v>
                </c:pt>
                <c:pt idx="20">
                  <c:v>1.0076156074285716</c:v>
                </c:pt>
                <c:pt idx="21">
                  <c:v>1.0076156074285716</c:v>
                </c:pt>
                <c:pt idx="22">
                  <c:v>1.0076156074285716</c:v>
                </c:pt>
                <c:pt idx="23">
                  <c:v>1.0076156074285716</c:v>
                </c:pt>
                <c:pt idx="24">
                  <c:v>1.0076156074285716</c:v>
                </c:pt>
                <c:pt idx="25">
                  <c:v>1.0076156074285716</c:v>
                </c:pt>
                <c:pt idx="26">
                  <c:v>1.0076156074285716</c:v>
                </c:pt>
                <c:pt idx="27">
                  <c:v>1.0076156074285716</c:v>
                </c:pt>
                <c:pt idx="28">
                  <c:v>1.0076156074285716</c:v>
                </c:pt>
                <c:pt idx="29">
                  <c:v>1.0076156074285716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4-4ECF-9C23-77F09C2B9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82799"/>
        <c:axId val="1462475119"/>
      </c:scatterChart>
      <c:valAx>
        <c:axId val="1462482799"/>
        <c:scaling>
          <c:orientation val="minMax"/>
          <c:max val="0.70000000000000007"/>
          <c:min val="-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Weights (L11)</a:t>
                </a:r>
              </a:p>
            </c:rich>
          </c:tx>
          <c:layout>
            <c:manualLayout>
              <c:xMode val="edge"/>
              <c:yMode val="edge"/>
              <c:x val="0.33331150195010673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62475119"/>
        <c:crossesAt val="-1.0000000000000001E+300"/>
        <c:crossBetween val="midCat"/>
        <c:majorUnit val="0.1"/>
      </c:valAx>
      <c:valAx>
        <c:axId val="1462475119"/>
        <c:scaling>
          <c:orientation val="minMax"/>
          <c:max val="10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62482799"/>
        <c:crossesAt val="-1.0000000000000001E+300"/>
        <c:crossBetween val="midCat"/>
        <c:majorUnit val="1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of Decision Tree 'VYshu"s Decison?'</a:t>
            </a:r>
            <a:r>
              <a:rPr lang="en-IN" sz="800" b="0"/>
              <a:t>
Expected Value of Node 'Decision' (C132)
With Variation of (L12)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3401777172713223"/>
          <c:h val="0.66894654067545967"/>
        </c:manualLayout>
      </c:layout>
      <c:scatterChart>
        <c:scatterStyle val="lineMarker"/>
        <c:varyColors val="0"/>
        <c:ser>
          <c:idx val="0"/>
          <c:order val="0"/>
          <c:tx>
            <c:v>Higher Education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L12'!$C$32:$C$61</c:f>
              <c:numCache>
                <c:formatCode>General</c:formatCode>
                <c:ptCount val="30"/>
                <c:pt idx="0">
                  <c:v>-5.4210108624275222E-18</c:v>
                </c:pt>
                <c:pt idx="1">
                  <c:v>1.7931034482758616E-2</c:v>
                </c:pt>
                <c:pt idx="2">
                  <c:v>3.5862068965517239E-2</c:v>
                </c:pt>
                <c:pt idx="3">
                  <c:v>5.3793103448275856E-2</c:v>
                </c:pt>
                <c:pt idx="4">
                  <c:v>7.1724137931034479E-2</c:v>
                </c:pt>
                <c:pt idx="5">
                  <c:v>8.9655172413793102E-2</c:v>
                </c:pt>
                <c:pt idx="6">
                  <c:v>0.10758620689655173</c:v>
                </c:pt>
                <c:pt idx="7">
                  <c:v>0.12551724137931033</c:v>
                </c:pt>
                <c:pt idx="8">
                  <c:v>0.14344827586206896</c:v>
                </c:pt>
                <c:pt idx="9">
                  <c:v>0.16137931034482758</c:v>
                </c:pt>
                <c:pt idx="10">
                  <c:v>0.1793103448275862</c:v>
                </c:pt>
                <c:pt idx="11">
                  <c:v>0.19724137931034483</c:v>
                </c:pt>
                <c:pt idx="12">
                  <c:v>0.21517241379310345</c:v>
                </c:pt>
                <c:pt idx="13">
                  <c:v>0.23310344827586207</c:v>
                </c:pt>
                <c:pt idx="14">
                  <c:v>0.25103448275862067</c:v>
                </c:pt>
                <c:pt idx="15">
                  <c:v>0.26896551724137929</c:v>
                </c:pt>
                <c:pt idx="16">
                  <c:v>0.28689655172413792</c:v>
                </c:pt>
                <c:pt idx="17">
                  <c:v>0.30482758620689654</c:v>
                </c:pt>
                <c:pt idx="18">
                  <c:v>0.32275862068965516</c:v>
                </c:pt>
                <c:pt idx="19">
                  <c:v>0.34068965517241379</c:v>
                </c:pt>
                <c:pt idx="20">
                  <c:v>0.35862068965517241</c:v>
                </c:pt>
                <c:pt idx="21">
                  <c:v>0.37655172413793103</c:v>
                </c:pt>
                <c:pt idx="22">
                  <c:v>0.39448275862068966</c:v>
                </c:pt>
                <c:pt idx="23">
                  <c:v>0.41241379310344828</c:v>
                </c:pt>
                <c:pt idx="24">
                  <c:v>0.4303448275862069</c:v>
                </c:pt>
                <c:pt idx="25">
                  <c:v>0.44827586206896552</c:v>
                </c:pt>
                <c:pt idx="26">
                  <c:v>0.46620689655172415</c:v>
                </c:pt>
                <c:pt idx="27">
                  <c:v>0.48413793103448277</c:v>
                </c:pt>
                <c:pt idx="28">
                  <c:v>0.50206896551724145</c:v>
                </c:pt>
                <c:pt idx="29">
                  <c:v>0.52</c:v>
                </c:pt>
              </c:numCache>
            </c:numRef>
          </c:xVal>
          <c:yVal>
            <c:numRef>
              <c:f>'Strategy L12'!$E$32:$E$61</c:f>
              <c:numCache>
                <c:formatCode>General</c:formatCode>
                <c:ptCount val="30"/>
                <c:pt idx="0">
                  <c:v>97.038095238095252</c:v>
                </c:pt>
                <c:pt idx="1">
                  <c:v>97.038095238095252</c:v>
                </c:pt>
                <c:pt idx="2">
                  <c:v>97.038095238095252</c:v>
                </c:pt>
                <c:pt idx="3">
                  <c:v>97.038095238095252</c:v>
                </c:pt>
                <c:pt idx="4">
                  <c:v>97.038095238095252</c:v>
                </c:pt>
                <c:pt idx="5">
                  <c:v>97.038095238095252</c:v>
                </c:pt>
                <c:pt idx="6">
                  <c:v>97.038095238095252</c:v>
                </c:pt>
                <c:pt idx="7">
                  <c:v>97.038095238095252</c:v>
                </c:pt>
                <c:pt idx="8">
                  <c:v>97.038095238095252</c:v>
                </c:pt>
                <c:pt idx="9">
                  <c:v>97.038095238095252</c:v>
                </c:pt>
                <c:pt idx="10">
                  <c:v>97.038095238095252</c:v>
                </c:pt>
                <c:pt idx="11">
                  <c:v>97.038095238095252</c:v>
                </c:pt>
                <c:pt idx="12">
                  <c:v>97.038095238095252</c:v>
                </c:pt>
                <c:pt idx="13">
                  <c:v>97.038095238095252</c:v>
                </c:pt>
                <c:pt idx="14">
                  <c:v>97.038095238095252</c:v>
                </c:pt>
                <c:pt idx="15">
                  <c:v>97.038095238095252</c:v>
                </c:pt>
                <c:pt idx="16">
                  <c:v>97.038095238095252</c:v>
                </c:pt>
                <c:pt idx="17">
                  <c:v>97.038095238095252</c:v>
                </c:pt>
                <c:pt idx="18">
                  <c:v>97.038095238095252</c:v>
                </c:pt>
                <c:pt idx="19">
                  <c:v>97.038095238095252</c:v>
                </c:pt>
                <c:pt idx="20">
                  <c:v>97.038095238095252</c:v>
                </c:pt>
                <c:pt idx="21">
                  <c:v>97.038095238095252</c:v>
                </c:pt>
                <c:pt idx="22">
                  <c:v>97.038095238095252</c:v>
                </c:pt>
                <c:pt idx="23">
                  <c:v>97.038095238095252</c:v>
                </c:pt>
                <c:pt idx="24">
                  <c:v>97.038095238095252</c:v>
                </c:pt>
                <c:pt idx="25">
                  <c:v>97.038095238095252</c:v>
                </c:pt>
                <c:pt idx="26">
                  <c:v>97.038095238095252</c:v>
                </c:pt>
                <c:pt idx="27">
                  <c:v>97.038095238095252</c:v>
                </c:pt>
                <c:pt idx="28">
                  <c:v>97.038095238095252</c:v>
                </c:pt>
                <c:pt idx="29">
                  <c:v>97.038095238095252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5-46F6-B1BC-B8EBA3F87961}"/>
            </c:ext>
          </c:extLst>
        </c:ser>
        <c:ser>
          <c:idx val="1"/>
          <c:order val="1"/>
          <c:tx>
            <c:v>Job in India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L12'!$C$32:$C$61</c:f>
              <c:numCache>
                <c:formatCode>General</c:formatCode>
                <c:ptCount val="30"/>
                <c:pt idx="0">
                  <c:v>-5.4210108624275222E-18</c:v>
                </c:pt>
                <c:pt idx="1">
                  <c:v>1.7931034482758616E-2</c:v>
                </c:pt>
                <c:pt idx="2">
                  <c:v>3.5862068965517239E-2</c:v>
                </c:pt>
                <c:pt idx="3">
                  <c:v>5.3793103448275856E-2</c:v>
                </c:pt>
                <c:pt idx="4">
                  <c:v>7.1724137931034479E-2</c:v>
                </c:pt>
                <c:pt idx="5">
                  <c:v>8.9655172413793102E-2</c:v>
                </c:pt>
                <c:pt idx="6">
                  <c:v>0.10758620689655173</c:v>
                </c:pt>
                <c:pt idx="7">
                  <c:v>0.12551724137931033</c:v>
                </c:pt>
                <c:pt idx="8">
                  <c:v>0.14344827586206896</c:v>
                </c:pt>
                <c:pt idx="9">
                  <c:v>0.16137931034482758</c:v>
                </c:pt>
                <c:pt idx="10">
                  <c:v>0.1793103448275862</c:v>
                </c:pt>
                <c:pt idx="11">
                  <c:v>0.19724137931034483</c:v>
                </c:pt>
                <c:pt idx="12">
                  <c:v>0.21517241379310345</c:v>
                </c:pt>
                <c:pt idx="13">
                  <c:v>0.23310344827586207</c:v>
                </c:pt>
                <c:pt idx="14">
                  <c:v>0.25103448275862067</c:v>
                </c:pt>
                <c:pt idx="15">
                  <c:v>0.26896551724137929</c:v>
                </c:pt>
                <c:pt idx="16">
                  <c:v>0.28689655172413792</c:v>
                </c:pt>
                <c:pt idx="17">
                  <c:v>0.30482758620689654</c:v>
                </c:pt>
                <c:pt idx="18">
                  <c:v>0.32275862068965516</c:v>
                </c:pt>
                <c:pt idx="19">
                  <c:v>0.34068965517241379</c:v>
                </c:pt>
                <c:pt idx="20">
                  <c:v>0.35862068965517241</c:v>
                </c:pt>
                <c:pt idx="21">
                  <c:v>0.37655172413793103</c:v>
                </c:pt>
                <c:pt idx="22">
                  <c:v>0.39448275862068966</c:v>
                </c:pt>
                <c:pt idx="23">
                  <c:v>0.41241379310344828</c:v>
                </c:pt>
                <c:pt idx="24">
                  <c:v>0.4303448275862069</c:v>
                </c:pt>
                <c:pt idx="25">
                  <c:v>0.44827586206896552</c:v>
                </c:pt>
                <c:pt idx="26">
                  <c:v>0.46620689655172415</c:v>
                </c:pt>
                <c:pt idx="27">
                  <c:v>0.48413793103448277</c:v>
                </c:pt>
                <c:pt idx="28">
                  <c:v>0.50206896551724145</c:v>
                </c:pt>
                <c:pt idx="29">
                  <c:v>0.52</c:v>
                </c:pt>
              </c:numCache>
            </c:numRef>
          </c:xVal>
          <c:yVal>
            <c:numRef>
              <c:f>'Strategy L12'!$G$32:$G$61</c:f>
              <c:numCache>
                <c:formatCode>General</c:formatCode>
                <c:ptCount val="30"/>
                <c:pt idx="0">
                  <c:v>1.0076156074285716</c:v>
                </c:pt>
                <c:pt idx="1">
                  <c:v>1.0076156074285716</c:v>
                </c:pt>
                <c:pt idx="2">
                  <c:v>1.0076156074285716</c:v>
                </c:pt>
                <c:pt idx="3">
                  <c:v>1.0076156074285716</c:v>
                </c:pt>
                <c:pt idx="4">
                  <c:v>1.0076156074285716</c:v>
                </c:pt>
                <c:pt idx="5">
                  <c:v>1.0076156074285716</c:v>
                </c:pt>
                <c:pt idx="6">
                  <c:v>1.0076156074285716</c:v>
                </c:pt>
                <c:pt idx="7">
                  <c:v>1.0076156074285716</c:v>
                </c:pt>
                <c:pt idx="8">
                  <c:v>1.0076156074285716</c:v>
                </c:pt>
                <c:pt idx="9">
                  <c:v>1.0076156074285716</c:v>
                </c:pt>
                <c:pt idx="10">
                  <c:v>1.0076156074285716</c:v>
                </c:pt>
                <c:pt idx="11">
                  <c:v>1.0076156074285716</c:v>
                </c:pt>
                <c:pt idx="12">
                  <c:v>1.0076156074285716</c:v>
                </c:pt>
                <c:pt idx="13">
                  <c:v>1.0076156074285716</c:v>
                </c:pt>
                <c:pt idx="14">
                  <c:v>1.0076156074285716</c:v>
                </c:pt>
                <c:pt idx="15">
                  <c:v>1.0076156074285716</c:v>
                </c:pt>
                <c:pt idx="16">
                  <c:v>1.0076156074285716</c:v>
                </c:pt>
                <c:pt idx="17">
                  <c:v>1.0076156074285716</c:v>
                </c:pt>
                <c:pt idx="18">
                  <c:v>1.0076156074285716</c:v>
                </c:pt>
                <c:pt idx="19">
                  <c:v>1.0076156074285716</c:v>
                </c:pt>
                <c:pt idx="20">
                  <c:v>1.0076156074285716</c:v>
                </c:pt>
                <c:pt idx="21">
                  <c:v>1.0076156074285716</c:v>
                </c:pt>
                <c:pt idx="22">
                  <c:v>1.0076156074285716</c:v>
                </c:pt>
                <c:pt idx="23">
                  <c:v>1.0076156074285716</c:v>
                </c:pt>
                <c:pt idx="24">
                  <c:v>1.0076156074285716</c:v>
                </c:pt>
                <c:pt idx="25">
                  <c:v>1.0076156074285716</c:v>
                </c:pt>
                <c:pt idx="26">
                  <c:v>1.0076156074285716</c:v>
                </c:pt>
                <c:pt idx="27">
                  <c:v>1.0076156074285716</c:v>
                </c:pt>
                <c:pt idx="28">
                  <c:v>1.0076156074285716</c:v>
                </c:pt>
                <c:pt idx="29">
                  <c:v>1.0076156074285716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6F6-B1BC-B8EBA3F8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82799"/>
        <c:axId val="1462497679"/>
      </c:scatterChart>
      <c:valAx>
        <c:axId val="1462482799"/>
        <c:scaling>
          <c:orientation val="minMax"/>
          <c:max val="0.6"/>
          <c:min val="-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(L12)</a:t>
                </a:r>
              </a:p>
            </c:rich>
          </c:tx>
          <c:layout>
            <c:manualLayout>
              <c:xMode val="edge"/>
              <c:yMode val="edge"/>
              <c:x val="0.36662925895945248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62497679"/>
        <c:crossesAt val="-1.0000000000000001E+300"/>
        <c:crossBetween val="midCat"/>
        <c:majorUnit val="9.9999999999999992E-2"/>
      </c:valAx>
      <c:valAx>
        <c:axId val="1462497679"/>
        <c:scaling>
          <c:orientation val="minMax"/>
          <c:max val="10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62482799"/>
        <c:crossesAt val="-1.0000000000000001E+300"/>
        <c:crossBetween val="midCat"/>
        <c:majorUnit val="1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IN"/>
              <a:t>Strategy Region of Decision Tree 'VYshu"s Decison?'</a:t>
            </a:r>
            <a:r>
              <a:rPr lang="en-IN" sz="800" b="0"/>
              <a:t>
Expected Value of Node 'Decision' (C132)
With Variation of (L13)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3401777172713223"/>
          <c:h val="0.73188128728029567"/>
        </c:manualLayout>
      </c:layout>
      <c:scatterChart>
        <c:scatterStyle val="lineMarker"/>
        <c:varyColors val="0"/>
        <c:ser>
          <c:idx val="0"/>
          <c:order val="0"/>
          <c:tx>
            <c:v>Higher Education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L13'!$C$32:$C$61</c:f>
              <c:numCache>
                <c:formatCode>General</c:formatCode>
                <c:ptCount val="30"/>
                <c:pt idx="0">
                  <c:v>-8.3212516738262465E-18</c:v>
                </c:pt>
                <c:pt idx="1">
                  <c:v>2.7586206896551717E-2</c:v>
                </c:pt>
                <c:pt idx="2">
                  <c:v>5.5172413793103441E-2</c:v>
                </c:pt>
                <c:pt idx="3">
                  <c:v>8.2758620689655171E-2</c:v>
                </c:pt>
                <c:pt idx="4">
                  <c:v>0.1103448275862069</c:v>
                </c:pt>
                <c:pt idx="5">
                  <c:v>0.13793103448275862</c:v>
                </c:pt>
                <c:pt idx="6">
                  <c:v>0.16551724137931034</c:v>
                </c:pt>
                <c:pt idx="7">
                  <c:v>0.19310344827586207</c:v>
                </c:pt>
                <c:pt idx="8">
                  <c:v>0.22068965517241379</c:v>
                </c:pt>
                <c:pt idx="9">
                  <c:v>0.24827586206896551</c:v>
                </c:pt>
                <c:pt idx="10">
                  <c:v>0.27586206896551724</c:v>
                </c:pt>
                <c:pt idx="11">
                  <c:v>0.30344827586206896</c:v>
                </c:pt>
                <c:pt idx="12">
                  <c:v>0.33103448275862069</c:v>
                </c:pt>
                <c:pt idx="13">
                  <c:v>0.35862068965517241</c:v>
                </c:pt>
                <c:pt idx="14">
                  <c:v>0.38620689655172413</c:v>
                </c:pt>
                <c:pt idx="15">
                  <c:v>0.41379310344827586</c:v>
                </c:pt>
                <c:pt idx="16">
                  <c:v>0.44137931034482758</c:v>
                </c:pt>
                <c:pt idx="17">
                  <c:v>0.46896551724137936</c:v>
                </c:pt>
                <c:pt idx="18">
                  <c:v>0.49655172413793108</c:v>
                </c:pt>
                <c:pt idx="19">
                  <c:v>0.52413793103448281</c:v>
                </c:pt>
                <c:pt idx="20">
                  <c:v>0.55172413793103448</c:v>
                </c:pt>
                <c:pt idx="21">
                  <c:v>0.57931034482758625</c:v>
                </c:pt>
                <c:pt idx="22">
                  <c:v>0.60689655172413792</c:v>
                </c:pt>
                <c:pt idx="23">
                  <c:v>0.6344827586206897</c:v>
                </c:pt>
                <c:pt idx="24">
                  <c:v>0.66206896551724137</c:v>
                </c:pt>
                <c:pt idx="25">
                  <c:v>0.68965517241379315</c:v>
                </c:pt>
                <c:pt idx="26">
                  <c:v>0.71724137931034482</c:v>
                </c:pt>
                <c:pt idx="27">
                  <c:v>0.7448275862068966</c:v>
                </c:pt>
                <c:pt idx="28">
                  <c:v>0.77241379310344827</c:v>
                </c:pt>
                <c:pt idx="29">
                  <c:v>0.8</c:v>
                </c:pt>
              </c:numCache>
            </c:numRef>
          </c:xVal>
          <c:yVal>
            <c:numRef>
              <c:f>'Strategy L13'!$E$32:$E$61</c:f>
              <c:numCache>
                <c:formatCode>General</c:formatCode>
                <c:ptCount val="30"/>
                <c:pt idx="0">
                  <c:v>97.038095238095252</c:v>
                </c:pt>
                <c:pt idx="1">
                  <c:v>97.038095238095252</c:v>
                </c:pt>
                <c:pt idx="2">
                  <c:v>97.038095238095252</c:v>
                </c:pt>
                <c:pt idx="3">
                  <c:v>97.038095238095252</c:v>
                </c:pt>
                <c:pt idx="4">
                  <c:v>97.038095238095252</c:v>
                </c:pt>
                <c:pt idx="5">
                  <c:v>97.038095238095252</c:v>
                </c:pt>
                <c:pt idx="6">
                  <c:v>97.038095238095252</c:v>
                </c:pt>
                <c:pt idx="7">
                  <c:v>97.038095238095252</c:v>
                </c:pt>
                <c:pt idx="8">
                  <c:v>97.038095238095252</c:v>
                </c:pt>
                <c:pt idx="9">
                  <c:v>97.038095238095252</c:v>
                </c:pt>
                <c:pt idx="10">
                  <c:v>97.038095238095252</c:v>
                </c:pt>
                <c:pt idx="11">
                  <c:v>97.038095238095252</c:v>
                </c:pt>
                <c:pt idx="12">
                  <c:v>97.038095238095252</c:v>
                </c:pt>
                <c:pt idx="13">
                  <c:v>97.038095238095252</c:v>
                </c:pt>
                <c:pt idx="14">
                  <c:v>97.038095238095252</c:v>
                </c:pt>
                <c:pt idx="15">
                  <c:v>97.038095238095252</c:v>
                </c:pt>
                <c:pt idx="16">
                  <c:v>97.038095238095252</c:v>
                </c:pt>
                <c:pt idx="17">
                  <c:v>97.038095238095252</c:v>
                </c:pt>
                <c:pt idx="18">
                  <c:v>97.038095238095252</c:v>
                </c:pt>
                <c:pt idx="19">
                  <c:v>97.038095238095252</c:v>
                </c:pt>
                <c:pt idx="20">
                  <c:v>97.038095238095252</c:v>
                </c:pt>
                <c:pt idx="21">
                  <c:v>97.038095238095252</c:v>
                </c:pt>
                <c:pt idx="22">
                  <c:v>97.038095238095252</c:v>
                </c:pt>
                <c:pt idx="23">
                  <c:v>97.038095238095252</c:v>
                </c:pt>
                <c:pt idx="24">
                  <c:v>97.038095238095252</c:v>
                </c:pt>
                <c:pt idx="25">
                  <c:v>97.038095238095252</c:v>
                </c:pt>
                <c:pt idx="26">
                  <c:v>97.038095238095252</c:v>
                </c:pt>
                <c:pt idx="27">
                  <c:v>97.038095238095252</c:v>
                </c:pt>
                <c:pt idx="28">
                  <c:v>97.038095238095252</c:v>
                </c:pt>
                <c:pt idx="29">
                  <c:v>97.038095238095252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F-4533-B04E-6414C666C51B}"/>
            </c:ext>
          </c:extLst>
        </c:ser>
        <c:ser>
          <c:idx val="1"/>
          <c:order val="1"/>
          <c:tx>
            <c:v>Job in India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L13'!$C$32:$C$61</c:f>
              <c:numCache>
                <c:formatCode>General</c:formatCode>
                <c:ptCount val="30"/>
                <c:pt idx="0">
                  <c:v>-8.3212516738262465E-18</c:v>
                </c:pt>
                <c:pt idx="1">
                  <c:v>2.7586206896551717E-2</c:v>
                </c:pt>
                <c:pt idx="2">
                  <c:v>5.5172413793103441E-2</c:v>
                </c:pt>
                <c:pt idx="3">
                  <c:v>8.2758620689655171E-2</c:v>
                </c:pt>
                <c:pt idx="4">
                  <c:v>0.1103448275862069</c:v>
                </c:pt>
                <c:pt idx="5">
                  <c:v>0.13793103448275862</c:v>
                </c:pt>
                <c:pt idx="6">
                  <c:v>0.16551724137931034</c:v>
                </c:pt>
                <c:pt idx="7">
                  <c:v>0.19310344827586207</c:v>
                </c:pt>
                <c:pt idx="8">
                  <c:v>0.22068965517241379</c:v>
                </c:pt>
                <c:pt idx="9">
                  <c:v>0.24827586206896551</c:v>
                </c:pt>
                <c:pt idx="10">
                  <c:v>0.27586206896551724</c:v>
                </c:pt>
                <c:pt idx="11">
                  <c:v>0.30344827586206896</c:v>
                </c:pt>
                <c:pt idx="12">
                  <c:v>0.33103448275862069</c:v>
                </c:pt>
                <c:pt idx="13">
                  <c:v>0.35862068965517241</c:v>
                </c:pt>
                <c:pt idx="14">
                  <c:v>0.38620689655172413</c:v>
                </c:pt>
                <c:pt idx="15">
                  <c:v>0.41379310344827586</c:v>
                </c:pt>
                <c:pt idx="16">
                  <c:v>0.44137931034482758</c:v>
                </c:pt>
                <c:pt idx="17">
                  <c:v>0.46896551724137936</c:v>
                </c:pt>
                <c:pt idx="18">
                  <c:v>0.49655172413793108</c:v>
                </c:pt>
                <c:pt idx="19">
                  <c:v>0.52413793103448281</c:v>
                </c:pt>
                <c:pt idx="20">
                  <c:v>0.55172413793103448</c:v>
                </c:pt>
                <c:pt idx="21">
                  <c:v>0.57931034482758625</c:v>
                </c:pt>
                <c:pt idx="22">
                  <c:v>0.60689655172413792</c:v>
                </c:pt>
                <c:pt idx="23">
                  <c:v>0.6344827586206897</c:v>
                </c:pt>
                <c:pt idx="24">
                  <c:v>0.66206896551724137</c:v>
                </c:pt>
                <c:pt idx="25">
                  <c:v>0.68965517241379315</c:v>
                </c:pt>
                <c:pt idx="26">
                  <c:v>0.71724137931034482</c:v>
                </c:pt>
                <c:pt idx="27">
                  <c:v>0.7448275862068966</c:v>
                </c:pt>
                <c:pt idx="28">
                  <c:v>0.77241379310344827</c:v>
                </c:pt>
                <c:pt idx="29">
                  <c:v>0.8</c:v>
                </c:pt>
              </c:numCache>
            </c:numRef>
          </c:xVal>
          <c:yVal>
            <c:numRef>
              <c:f>'Strategy L13'!$G$32:$G$61</c:f>
              <c:numCache>
                <c:formatCode>General</c:formatCode>
                <c:ptCount val="30"/>
                <c:pt idx="0">
                  <c:v>1.0076156074285716</c:v>
                </c:pt>
                <c:pt idx="1">
                  <c:v>1.0076156074285716</c:v>
                </c:pt>
                <c:pt idx="2">
                  <c:v>1.0076156074285716</c:v>
                </c:pt>
                <c:pt idx="3">
                  <c:v>1.0076156074285716</c:v>
                </c:pt>
                <c:pt idx="4">
                  <c:v>1.0076156074285716</c:v>
                </c:pt>
                <c:pt idx="5">
                  <c:v>1.0076156074285716</c:v>
                </c:pt>
                <c:pt idx="6">
                  <c:v>1.0076156074285716</c:v>
                </c:pt>
                <c:pt idx="7">
                  <c:v>1.0076156074285716</c:v>
                </c:pt>
                <c:pt idx="8">
                  <c:v>1.0076156074285716</c:v>
                </c:pt>
                <c:pt idx="9">
                  <c:v>1.0076156074285716</c:v>
                </c:pt>
                <c:pt idx="10">
                  <c:v>1.0076156074285716</c:v>
                </c:pt>
                <c:pt idx="11">
                  <c:v>1.0076156074285716</c:v>
                </c:pt>
                <c:pt idx="12">
                  <c:v>1.0076156074285716</c:v>
                </c:pt>
                <c:pt idx="13">
                  <c:v>1.0076156074285716</c:v>
                </c:pt>
                <c:pt idx="14">
                  <c:v>1.0076156074285716</c:v>
                </c:pt>
                <c:pt idx="15">
                  <c:v>1.0076156074285716</c:v>
                </c:pt>
                <c:pt idx="16">
                  <c:v>1.0076156074285716</c:v>
                </c:pt>
                <c:pt idx="17">
                  <c:v>1.0076156074285716</c:v>
                </c:pt>
                <c:pt idx="18">
                  <c:v>1.0076156074285716</c:v>
                </c:pt>
                <c:pt idx="19">
                  <c:v>1.0076156074285716</c:v>
                </c:pt>
                <c:pt idx="20">
                  <c:v>1.0076156074285716</c:v>
                </c:pt>
                <c:pt idx="21">
                  <c:v>1.0076156074285716</c:v>
                </c:pt>
                <c:pt idx="22">
                  <c:v>1.0076156074285716</c:v>
                </c:pt>
                <c:pt idx="23">
                  <c:v>1.0076156074285716</c:v>
                </c:pt>
                <c:pt idx="24">
                  <c:v>1.0076156074285716</c:v>
                </c:pt>
                <c:pt idx="25">
                  <c:v>1.0076156074285716</c:v>
                </c:pt>
                <c:pt idx="26">
                  <c:v>1.0076156074285716</c:v>
                </c:pt>
                <c:pt idx="27">
                  <c:v>1.0076156074285716</c:v>
                </c:pt>
                <c:pt idx="28">
                  <c:v>1.0076156074285716</c:v>
                </c:pt>
                <c:pt idx="29">
                  <c:v>1.0076156074285716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F-4533-B04E-6414C666C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83759"/>
        <c:axId val="1462486639"/>
      </c:scatterChart>
      <c:valAx>
        <c:axId val="1462483759"/>
        <c:scaling>
          <c:orientation val="minMax"/>
          <c:max val="0.9"/>
          <c:min val="-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(L13)</a:t>
                </a:r>
              </a:p>
            </c:rich>
          </c:tx>
          <c:layout>
            <c:manualLayout>
              <c:xMode val="edge"/>
              <c:yMode val="edge"/>
              <c:x val="0.36662925895945248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62486639"/>
        <c:crossesAt val="-1.0000000000000001E+300"/>
        <c:crossBetween val="midCat"/>
        <c:majorUnit val="0.1"/>
      </c:valAx>
      <c:valAx>
        <c:axId val="1462486639"/>
        <c:scaling>
          <c:orientation val="minMax"/>
          <c:max val="10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IN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62483759"/>
        <c:crossesAt val="-1.0000000000000001E+300"/>
        <c:crossBetween val="midCat"/>
        <c:majorUnit val="1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238887</xdr:colOff>
      <xdr:row>122</xdr:row>
      <xdr:rowOff>177801</xdr:rowOff>
    </xdr:from>
    <xdr:to>
      <xdr:col>6</xdr:col>
      <xdr:colOff>127</xdr:colOff>
      <xdr:row>122</xdr:row>
      <xdr:rowOff>177801</xdr:rowOff>
    </xdr:to>
    <xdr:cxnSp macro="_xll.PtreeEvent_ObjectClick">
      <xdr:nvCxnSpPr>
        <xdr:cNvPr id="434" name="PTObj_DBranchHLine_3_27">
          <a:extLst>
            <a:ext uri="{FF2B5EF4-FFF2-40B4-BE49-F238E27FC236}">
              <a16:creationId xmlns:a16="http://schemas.microsoft.com/office/drawing/2014/main" id="{C9BE5DCE-80AD-742A-0BAD-81B6D91BAC09}"/>
            </a:ext>
          </a:extLst>
        </xdr:cNvPr>
        <xdr:cNvCxnSpPr/>
      </xdr:nvCxnSpPr>
      <xdr:spPr>
        <a:xfrm>
          <a:off x="6952107" y="224891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100</xdr:row>
      <xdr:rowOff>172721</xdr:rowOff>
    </xdr:from>
    <xdr:to>
      <xdr:col>5</xdr:col>
      <xdr:colOff>238887</xdr:colOff>
      <xdr:row>122</xdr:row>
      <xdr:rowOff>177801</xdr:rowOff>
    </xdr:to>
    <xdr:cxnSp macro="_xll.PtreeEvent_ObjectClick">
      <xdr:nvCxnSpPr>
        <xdr:cNvPr id="433" name="PTObj_DBranchDLine_3_27">
          <a:extLst>
            <a:ext uri="{FF2B5EF4-FFF2-40B4-BE49-F238E27FC236}">
              <a16:creationId xmlns:a16="http://schemas.microsoft.com/office/drawing/2014/main" id="{00F647A4-DFCF-E69C-0BFB-4A710C81921E}"/>
            </a:ext>
          </a:extLst>
        </xdr:cNvPr>
        <xdr:cNvCxnSpPr/>
      </xdr:nvCxnSpPr>
      <xdr:spPr>
        <a:xfrm>
          <a:off x="6799707" y="18460721"/>
          <a:ext cx="152400" cy="4028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108</xdr:row>
      <xdr:rowOff>177799</xdr:rowOff>
    </xdr:from>
    <xdr:to>
      <xdr:col>6</xdr:col>
      <xdr:colOff>127</xdr:colOff>
      <xdr:row>108</xdr:row>
      <xdr:rowOff>177799</xdr:rowOff>
    </xdr:to>
    <xdr:cxnSp macro="_xll.PtreeEvent_ObjectClick">
      <xdr:nvCxnSpPr>
        <xdr:cNvPr id="431" name="PTObj_DBranchHLine_3_26">
          <a:extLst>
            <a:ext uri="{FF2B5EF4-FFF2-40B4-BE49-F238E27FC236}">
              <a16:creationId xmlns:a16="http://schemas.microsoft.com/office/drawing/2014/main" id="{B1D96DBF-A2E4-EE91-BAB6-A4CEB6844239}"/>
            </a:ext>
          </a:extLst>
        </xdr:cNvPr>
        <xdr:cNvCxnSpPr/>
      </xdr:nvCxnSpPr>
      <xdr:spPr>
        <a:xfrm>
          <a:off x="6952107" y="19928839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100</xdr:row>
      <xdr:rowOff>172721</xdr:rowOff>
    </xdr:from>
    <xdr:to>
      <xdr:col>5</xdr:col>
      <xdr:colOff>238887</xdr:colOff>
      <xdr:row>108</xdr:row>
      <xdr:rowOff>177799</xdr:rowOff>
    </xdr:to>
    <xdr:cxnSp macro="_xll.PtreeEvent_ObjectClick">
      <xdr:nvCxnSpPr>
        <xdr:cNvPr id="430" name="PTObj_DBranchDLine_3_26">
          <a:extLst>
            <a:ext uri="{FF2B5EF4-FFF2-40B4-BE49-F238E27FC236}">
              <a16:creationId xmlns:a16="http://schemas.microsoft.com/office/drawing/2014/main" id="{91CB7D93-86BF-C0C0-7A47-75571C1D6E25}"/>
            </a:ext>
          </a:extLst>
        </xdr:cNvPr>
        <xdr:cNvCxnSpPr/>
      </xdr:nvCxnSpPr>
      <xdr:spPr>
        <a:xfrm>
          <a:off x="6799707" y="18460721"/>
          <a:ext cx="152400" cy="146811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92</xdr:row>
      <xdr:rowOff>177801</xdr:rowOff>
    </xdr:from>
    <xdr:to>
      <xdr:col>6</xdr:col>
      <xdr:colOff>127</xdr:colOff>
      <xdr:row>92</xdr:row>
      <xdr:rowOff>177801</xdr:rowOff>
    </xdr:to>
    <xdr:cxnSp macro="_xll.PtreeEvent_ObjectClick">
      <xdr:nvCxnSpPr>
        <xdr:cNvPr id="428" name="PTObj_DBranchHLine_3_25">
          <a:extLst>
            <a:ext uri="{FF2B5EF4-FFF2-40B4-BE49-F238E27FC236}">
              <a16:creationId xmlns:a16="http://schemas.microsoft.com/office/drawing/2014/main" id="{AB398750-A6CE-761E-98A6-E7851D72F14E}"/>
            </a:ext>
          </a:extLst>
        </xdr:cNvPr>
        <xdr:cNvCxnSpPr/>
      </xdr:nvCxnSpPr>
      <xdr:spPr>
        <a:xfrm>
          <a:off x="6952107" y="170027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92</xdr:row>
      <xdr:rowOff>177801</xdr:rowOff>
    </xdr:from>
    <xdr:to>
      <xdr:col>5</xdr:col>
      <xdr:colOff>238887</xdr:colOff>
      <xdr:row>100</xdr:row>
      <xdr:rowOff>172721</xdr:rowOff>
    </xdr:to>
    <xdr:cxnSp macro="_xll.PtreeEvent_ObjectClick">
      <xdr:nvCxnSpPr>
        <xdr:cNvPr id="427" name="PTObj_DBranchDLine_3_25">
          <a:extLst>
            <a:ext uri="{FF2B5EF4-FFF2-40B4-BE49-F238E27FC236}">
              <a16:creationId xmlns:a16="http://schemas.microsoft.com/office/drawing/2014/main" id="{4B961237-E2CF-5684-4A44-7634AC40B6B4}"/>
            </a:ext>
          </a:extLst>
        </xdr:cNvPr>
        <xdr:cNvCxnSpPr/>
      </xdr:nvCxnSpPr>
      <xdr:spPr>
        <a:xfrm flipV="1">
          <a:off x="6799707" y="17002761"/>
          <a:ext cx="152400" cy="14579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100</xdr:row>
      <xdr:rowOff>177800</xdr:rowOff>
    </xdr:from>
    <xdr:to>
      <xdr:col>5</xdr:col>
      <xdr:colOff>127</xdr:colOff>
      <xdr:row>100</xdr:row>
      <xdr:rowOff>177800</xdr:rowOff>
    </xdr:to>
    <xdr:cxnSp macro="_xll.PtreeEvent_ObjectClick">
      <xdr:nvCxnSpPr>
        <xdr:cNvPr id="425" name="PTObj_DBranchHLine_3_21">
          <a:extLst>
            <a:ext uri="{FF2B5EF4-FFF2-40B4-BE49-F238E27FC236}">
              <a16:creationId xmlns:a16="http://schemas.microsoft.com/office/drawing/2014/main" id="{07A1592D-E170-4CAA-49B8-4DAC7F92F511}"/>
            </a:ext>
          </a:extLst>
        </xdr:cNvPr>
        <xdr:cNvCxnSpPr/>
      </xdr:nvCxnSpPr>
      <xdr:spPr>
        <a:xfrm>
          <a:off x="5420487" y="1846580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84</xdr:row>
      <xdr:rowOff>172721</xdr:rowOff>
    </xdr:from>
    <xdr:to>
      <xdr:col>4</xdr:col>
      <xdr:colOff>238887</xdr:colOff>
      <xdr:row>100</xdr:row>
      <xdr:rowOff>177800</xdr:rowOff>
    </xdr:to>
    <xdr:cxnSp macro="_xll.PtreeEvent_ObjectClick">
      <xdr:nvCxnSpPr>
        <xdr:cNvPr id="424" name="PTObj_DBranchDLine_3_21">
          <a:extLst>
            <a:ext uri="{FF2B5EF4-FFF2-40B4-BE49-F238E27FC236}">
              <a16:creationId xmlns:a16="http://schemas.microsoft.com/office/drawing/2014/main" id="{430DAC93-F483-40F0-E902-4F8542E7F4AF}"/>
            </a:ext>
          </a:extLst>
        </xdr:cNvPr>
        <xdr:cNvCxnSpPr/>
      </xdr:nvCxnSpPr>
      <xdr:spPr>
        <a:xfrm>
          <a:off x="5268087" y="15534641"/>
          <a:ext cx="152400" cy="293115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76</xdr:row>
      <xdr:rowOff>177800</xdr:rowOff>
    </xdr:from>
    <xdr:to>
      <xdr:col>6</xdr:col>
      <xdr:colOff>127</xdr:colOff>
      <xdr:row>76</xdr:row>
      <xdr:rowOff>177800</xdr:rowOff>
    </xdr:to>
    <xdr:cxnSp macro="_xll.PtreeEvent_ObjectClick">
      <xdr:nvCxnSpPr>
        <xdr:cNvPr id="421" name="PTObj_DBranchHLine_3_24">
          <a:extLst>
            <a:ext uri="{FF2B5EF4-FFF2-40B4-BE49-F238E27FC236}">
              <a16:creationId xmlns:a16="http://schemas.microsoft.com/office/drawing/2014/main" id="{6795A4D7-1BC3-54C1-9DEF-9DD1DFD283E6}"/>
            </a:ext>
          </a:extLst>
        </xdr:cNvPr>
        <xdr:cNvCxnSpPr/>
      </xdr:nvCxnSpPr>
      <xdr:spPr>
        <a:xfrm>
          <a:off x="6952107" y="140766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54</xdr:row>
      <xdr:rowOff>172721</xdr:rowOff>
    </xdr:from>
    <xdr:to>
      <xdr:col>5</xdr:col>
      <xdr:colOff>238887</xdr:colOff>
      <xdr:row>76</xdr:row>
      <xdr:rowOff>177800</xdr:rowOff>
    </xdr:to>
    <xdr:cxnSp macro="_xll.PtreeEvent_ObjectClick">
      <xdr:nvCxnSpPr>
        <xdr:cNvPr id="420" name="PTObj_DBranchDLine_3_24">
          <a:extLst>
            <a:ext uri="{FF2B5EF4-FFF2-40B4-BE49-F238E27FC236}">
              <a16:creationId xmlns:a16="http://schemas.microsoft.com/office/drawing/2014/main" id="{3A68B1AA-4043-968C-468B-719B1307742C}"/>
            </a:ext>
          </a:extLst>
        </xdr:cNvPr>
        <xdr:cNvCxnSpPr/>
      </xdr:nvCxnSpPr>
      <xdr:spPr>
        <a:xfrm>
          <a:off x="6799707" y="10048241"/>
          <a:ext cx="152400" cy="40284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62</xdr:row>
      <xdr:rowOff>177800</xdr:rowOff>
    </xdr:from>
    <xdr:to>
      <xdr:col>6</xdr:col>
      <xdr:colOff>127</xdr:colOff>
      <xdr:row>62</xdr:row>
      <xdr:rowOff>177800</xdr:rowOff>
    </xdr:to>
    <xdr:cxnSp macro="_xll.PtreeEvent_ObjectClick">
      <xdr:nvCxnSpPr>
        <xdr:cNvPr id="418" name="PTObj_DBranchHLine_3_23">
          <a:extLst>
            <a:ext uri="{FF2B5EF4-FFF2-40B4-BE49-F238E27FC236}">
              <a16:creationId xmlns:a16="http://schemas.microsoft.com/office/drawing/2014/main" id="{ECD2257F-5BDE-3BC9-3FFE-BC6593C5BEC1}"/>
            </a:ext>
          </a:extLst>
        </xdr:cNvPr>
        <xdr:cNvCxnSpPr/>
      </xdr:nvCxnSpPr>
      <xdr:spPr>
        <a:xfrm>
          <a:off x="6952107" y="115163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54</xdr:row>
      <xdr:rowOff>172721</xdr:rowOff>
    </xdr:from>
    <xdr:to>
      <xdr:col>5</xdr:col>
      <xdr:colOff>238887</xdr:colOff>
      <xdr:row>62</xdr:row>
      <xdr:rowOff>177800</xdr:rowOff>
    </xdr:to>
    <xdr:cxnSp macro="_xll.PtreeEvent_ObjectClick">
      <xdr:nvCxnSpPr>
        <xdr:cNvPr id="417" name="PTObj_DBranchDLine_3_23">
          <a:extLst>
            <a:ext uri="{FF2B5EF4-FFF2-40B4-BE49-F238E27FC236}">
              <a16:creationId xmlns:a16="http://schemas.microsoft.com/office/drawing/2014/main" id="{3D07750A-6292-C36C-FC3D-2180218FABF9}"/>
            </a:ext>
          </a:extLst>
        </xdr:cNvPr>
        <xdr:cNvCxnSpPr/>
      </xdr:nvCxnSpPr>
      <xdr:spPr>
        <a:xfrm>
          <a:off x="6799707" y="10048241"/>
          <a:ext cx="152400" cy="1468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46</xdr:row>
      <xdr:rowOff>177800</xdr:rowOff>
    </xdr:from>
    <xdr:to>
      <xdr:col>6</xdr:col>
      <xdr:colOff>127</xdr:colOff>
      <xdr:row>46</xdr:row>
      <xdr:rowOff>177800</xdr:rowOff>
    </xdr:to>
    <xdr:cxnSp macro="_xll.PtreeEvent_ObjectClick">
      <xdr:nvCxnSpPr>
        <xdr:cNvPr id="415" name="PTObj_DBranchHLine_3_22">
          <a:extLst>
            <a:ext uri="{FF2B5EF4-FFF2-40B4-BE49-F238E27FC236}">
              <a16:creationId xmlns:a16="http://schemas.microsoft.com/office/drawing/2014/main" id="{0D8542FC-9720-6A13-3F3B-E25C38BDB55A}"/>
            </a:ext>
          </a:extLst>
        </xdr:cNvPr>
        <xdr:cNvCxnSpPr/>
      </xdr:nvCxnSpPr>
      <xdr:spPr>
        <a:xfrm>
          <a:off x="6952107" y="85902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46</xdr:row>
      <xdr:rowOff>177800</xdr:rowOff>
    </xdr:from>
    <xdr:to>
      <xdr:col>5</xdr:col>
      <xdr:colOff>238887</xdr:colOff>
      <xdr:row>54</xdr:row>
      <xdr:rowOff>172721</xdr:rowOff>
    </xdr:to>
    <xdr:cxnSp macro="_xll.PtreeEvent_ObjectClick">
      <xdr:nvCxnSpPr>
        <xdr:cNvPr id="414" name="PTObj_DBranchDLine_3_22">
          <a:extLst>
            <a:ext uri="{FF2B5EF4-FFF2-40B4-BE49-F238E27FC236}">
              <a16:creationId xmlns:a16="http://schemas.microsoft.com/office/drawing/2014/main" id="{F9F7225E-1840-473C-B380-6B3D04915AB1}"/>
            </a:ext>
          </a:extLst>
        </xdr:cNvPr>
        <xdr:cNvCxnSpPr/>
      </xdr:nvCxnSpPr>
      <xdr:spPr>
        <a:xfrm flipV="1">
          <a:off x="6799707" y="8590280"/>
          <a:ext cx="152400" cy="145796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54</xdr:row>
      <xdr:rowOff>177800</xdr:rowOff>
    </xdr:from>
    <xdr:to>
      <xdr:col>5</xdr:col>
      <xdr:colOff>127</xdr:colOff>
      <xdr:row>54</xdr:row>
      <xdr:rowOff>177800</xdr:rowOff>
    </xdr:to>
    <xdr:cxnSp macro="_xll.PtreeEvent_ObjectClick">
      <xdr:nvCxnSpPr>
        <xdr:cNvPr id="412" name="PTObj_DBranchHLine_3_20">
          <a:extLst>
            <a:ext uri="{FF2B5EF4-FFF2-40B4-BE49-F238E27FC236}">
              <a16:creationId xmlns:a16="http://schemas.microsoft.com/office/drawing/2014/main" id="{B453196B-22AF-4B50-3F01-F6949275E272}"/>
            </a:ext>
          </a:extLst>
        </xdr:cNvPr>
        <xdr:cNvCxnSpPr/>
      </xdr:nvCxnSpPr>
      <xdr:spPr>
        <a:xfrm>
          <a:off x="5420487" y="100533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54</xdr:row>
      <xdr:rowOff>177800</xdr:rowOff>
    </xdr:from>
    <xdr:to>
      <xdr:col>4</xdr:col>
      <xdr:colOff>238887</xdr:colOff>
      <xdr:row>84</xdr:row>
      <xdr:rowOff>172721</xdr:rowOff>
    </xdr:to>
    <xdr:cxnSp macro="_xll.PtreeEvent_ObjectClick">
      <xdr:nvCxnSpPr>
        <xdr:cNvPr id="411" name="PTObj_DBranchDLine_3_20">
          <a:extLst>
            <a:ext uri="{FF2B5EF4-FFF2-40B4-BE49-F238E27FC236}">
              <a16:creationId xmlns:a16="http://schemas.microsoft.com/office/drawing/2014/main" id="{20CD0DB8-0A5E-33A2-3B52-E9EBF1A16946}"/>
            </a:ext>
          </a:extLst>
        </xdr:cNvPr>
        <xdr:cNvCxnSpPr/>
      </xdr:nvCxnSpPr>
      <xdr:spPr>
        <a:xfrm flipV="1">
          <a:off x="5268087" y="10053320"/>
          <a:ext cx="152400" cy="54813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84</xdr:row>
      <xdr:rowOff>177800</xdr:rowOff>
    </xdr:from>
    <xdr:to>
      <xdr:col>4</xdr:col>
      <xdr:colOff>127</xdr:colOff>
      <xdr:row>84</xdr:row>
      <xdr:rowOff>177800</xdr:rowOff>
    </xdr:to>
    <xdr:cxnSp macro="_xll.PtreeEvent_ObjectClick">
      <xdr:nvCxnSpPr>
        <xdr:cNvPr id="408" name="PTObj_DBranchHLine_3_5">
          <a:extLst>
            <a:ext uri="{FF2B5EF4-FFF2-40B4-BE49-F238E27FC236}">
              <a16:creationId xmlns:a16="http://schemas.microsoft.com/office/drawing/2014/main" id="{A0FEAF96-FFA0-0045-0E2E-E42E9540821E}"/>
            </a:ext>
          </a:extLst>
        </xdr:cNvPr>
        <xdr:cNvCxnSpPr/>
      </xdr:nvCxnSpPr>
      <xdr:spPr>
        <a:xfrm>
          <a:off x="3888867" y="155397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38</xdr:row>
      <xdr:rowOff>172720</xdr:rowOff>
    </xdr:from>
    <xdr:to>
      <xdr:col>3</xdr:col>
      <xdr:colOff>238887</xdr:colOff>
      <xdr:row>84</xdr:row>
      <xdr:rowOff>177800</xdr:rowOff>
    </xdr:to>
    <xdr:cxnSp macro="_xll.PtreeEvent_ObjectClick">
      <xdr:nvCxnSpPr>
        <xdr:cNvPr id="407" name="PTObj_DBranchDLine_3_5">
          <a:extLst>
            <a:ext uri="{FF2B5EF4-FFF2-40B4-BE49-F238E27FC236}">
              <a16:creationId xmlns:a16="http://schemas.microsoft.com/office/drawing/2014/main" id="{EA9EA77F-1419-8E93-F17E-F486EEC81071}"/>
            </a:ext>
          </a:extLst>
        </xdr:cNvPr>
        <xdr:cNvCxnSpPr/>
      </xdr:nvCxnSpPr>
      <xdr:spPr>
        <a:xfrm>
          <a:off x="3736467" y="7122160"/>
          <a:ext cx="152400" cy="841756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22</xdr:row>
      <xdr:rowOff>177800</xdr:rowOff>
    </xdr:from>
    <xdr:to>
      <xdr:col>4</xdr:col>
      <xdr:colOff>127</xdr:colOff>
      <xdr:row>22</xdr:row>
      <xdr:rowOff>177800</xdr:rowOff>
    </xdr:to>
    <xdr:cxnSp macro="_xll.PtreeEvent_ObjectClick">
      <xdr:nvCxnSpPr>
        <xdr:cNvPr id="405" name="PTObj_DBranchHLine_3_4">
          <a:extLst>
            <a:ext uri="{FF2B5EF4-FFF2-40B4-BE49-F238E27FC236}">
              <a16:creationId xmlns:a16="http://schemas.microsoft.com/office/drawing/2014/main" id="{40807E3A-350C-482E-50AF-CD051E212C0B}"/>
            </a:ext>
          </a:extLst>
        </xdr:cNvPr>
        <xdr:cNvCxnSpPr/>
      </xdr:nvCxnSpPr>
      <xdr:spPr>
        <a:xfrm>
          <a:off x="3888867" y="42011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22</xdr:row>
      <xdr:rowOff>177800</xdr:rowOff>
    </xdr:from>
    <xdr:to>
      <xdr:col>3</xdr:col>
      <xdr:colOff>238887</xdr:colOff>
      <xdr:row>38</xdr:row>
      <xdr:rowOff>172720</xdr:rowOff>
    </xdr:to>
    <xdr:cxnSp macro="_xll.PtreeEvent_ObjectClick">
      <xdr:nvCxnSpPr>
        <xdr:cNvPr id="404" name="PTObj_DBranchDLine_3_4">
          <a:extLst>
            <a:ext uri="{FF2B5EF4-FFF2-40B4-BE49-F238E27FC236}">
              <a16:creationId xmlns:a16="http://schemas.microsoft.com/office/drawing/2014/main" id="{F42E9CC7-37C9-66C9-2151-14BF07FFADC9}"/>
            </a:ext>
          </a:extLst>
        </xdr:cNvPr>
        <xdr:cNvCxnSpPr/>
      </xdr:nvCxnSpPr>
      <xdr:spPr>
        <a:xfrm flipV="1">
          <a:off x="3736467" y="4201160"/>
          <a:ext cx="152400" cy="29210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38</xdr:row>
      <xdr:rowOff>177800</xdr:rowOff>
    </xdr:from>
    <xdr:to>
      <xdr:col>3</xdr:col>
      <xdr:colOff>127</xdr:colOff>
      <xdr:row>38</xdr:row>
      <xdr:rowOff>177800</xdr:rowOff>
    </xdr:to>
    <xdr:cxnSp macro="_xll.PtreeEvent_ObjectClick">
      <xdr:nvCxnSpPr>
        <xdr:cNvPr id="402" name="PTObj_DBranchHLine_3_2">
          <a:extLst>
            <a:ext uri="{FF2B5EF4-FFF2-40B4-BE49-F238E27FC236}">
              <a16:creationId xmlns:a16="http://schemas.microsoft.com/office/drawing/2014/main" id="{6E561B2D-AE0B-EAE7-9110-B6824E19368A}"/>
            </a:ext>
          </a:extLst>
        </xdr:cNvPr>
        <xdr:cNvCxnSpPr/>
      </xdr:nvCxnSpPr>
      <xdr:spPr>
        <a:xfrm>
          <a:off x="2288667" y="7127240"/>
          <a:ext cx="13614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38</xdr:row>
      <xdr:rowOff>177800</xdr:rowOff>
    </xdr:from>
    <xdr:to>
      <xdr:col>2</xdr:col>
      <xdr:colOff>238887</xdr:colOff>
      <xdr:row>130</xdr:row>
      <xdr:rowOff>172721</xdr:rowOff>
    </xdr:to>
    <xdr:cxnSp macro="_xll.PtreeEvent_ObjectClick">
      <xdr:nvCxnSpPr>
        <xdr:cNvPr id="401" name="PTObj_DBranchDLine_3_2">
          <a:extLst>
            <a:ext uri="{FF2B5EF4-FFF2-40B4-BE49-F238E27FC236}">
              <a16:creationId xmlns:a16="http://schemas.microsoft.com/office/drawing/2014/main" id="{E2CC3774-29A1-BF0A-E6BF-BB8F56C80A23}"/>
            </a:ext>
          </a:extLst>
        </xdr:cNvPr>
        <xdr:cNvCxnSpPr/>
      </xdr:nvCxnSpPr>
      <xdr:spPr>
        <a:xfrm flipV="1">
          <a:off x="2136267" y="7127240"/>
          <a:ext cx="152400" cy="168198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148</xdr:row>
      <xdr:rowOff>177799</xdr:rowOff>
    </xdr:from>
    <xdr:to>
      <xdr:col>5</xdr:col>
      <xdr:colOff>127</xdr:colOff>
      <xdr:row>148</xdr:row>
      <xdr:rowOff>177799</xdr:rowOff>
    </xdr:to>
    <xdr:cxnSp macro="_xll.PtreeEvent_ObjectClick">
      <xdr:nvCxnSpPr>
        <xdr:cNvPr id="398" name="PTObj_DBranchHLine_3_71">
          <a:extLst>
            <a:ext uri="{FF2B5EF4-FFF2-40B4-BE49-F238E27FC236}">
              <a16:creationId xmlns:a16="http://schemas.microsoft.com/office/drawing/2014/main" id="{F8260A5F-36D2-A5C9-71CE-150B60F9CC27}"/>
            </a:ext>
          </a:extLst>
        </xdr:cNvPr>
        <xdr:cNvCxnSpPr/>
      </xdr:nvCxnSpPr>
      <xdr:spPr>
        <a:xfrm>
          <a:off x="5420487" y="27244039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144</xdr:row>
      <xdr:rowOff>172719</xdr:rowOff>
    </xdr:from>
    <xdr:to>
      <xdr:col>4</xdr:col>
      <xdr:colOff>238887</xdr:colOff>
      <xdr:row>148</xdr:row>
      <xdr:rowOff>177799</xdr:rowOff>
    </xdr:to>
    <xdr:cxnSp macro="_xll.PtreeEvent_ObjectClick">
      <xdr:nvCxnSpPr>
        <xdr:cNvPr id="397" name="PTObj_DBranchDLine_3_71">
          <a:extLst>
            <a:ext uri="{FF2B5EF4-FFF2-40B4-BE49-F238E27FC236}">
              <a16:creationId xmlns:a16="http://schemas.microsoft.com/office/drawing/2014/main" id="{52EEE537-9E85-9CCE-2F95-C24C183158B9}"/>
            </a:ext>
          </a:extLst>
        </xdr:cNvPr>
        <xdr:cNvCxnSpPr/>
      </xdr:nvCxnSpPr>
      <xdr:spPr>
        <a:xfrm>
          <a:off x="5268087" y="26507439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146</xdr:row>
      <xdr:rowOff>177799</xdr:rowOff>
    </xdr:from>
    <xdr:to>
      <xdr:col>5</xdr:col>
      <xdr:colOff>127</xdr:colOff>
      <xdr:row>146</xdr:row>
      <xdr:rowOff>177799</xdr:rowOff>
    </xdr:to>
    <xdr:cxnSp macro="_xll.PtreeEvent_ObjectClick">
      <xdr:nvCxnSpPr>
        <xdr:cNvPr id="394" name="PTObj_DBranchHLine_3_70">
          <a:extLst>
            <a:ext uri="{FF2B5EF4-FFF2-40B4-BE49-F238E27FC236}">
              <a16:creationId xmlns:a16="http://schemas.microsoft.com/office/drawing/2014/main" id="{F2AD551F-7931-82F1-2C01-07AFA83443FB}"/>
            </a:ext>
          </a:extLst>
        </xdr:cNvPr>
        <xdr:cNvCxnSpPr/>
      </xdr:nvCxnSpPr>
      <xdr:spPr>
        <a:xfrm>
          <a:off x="5420487" y="26878279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144</xdr:row>
      <xdr:rowOff>172719</xdr:rowOff>
    </xdr:from>
    <xdr:to>
      <xdr:col>4</xdr:col>
      <xdr:colOff>238887</xdr:colOff>
      <xdr:row>146</xdr:row>
      <xdr:rowOff>177799</xdr:rowOff>
    </xdr:to>
    <xdr:cxnSp macro="_xll.PtreeEvent_ObjectClick">
      <xdr:nvCxnSpPr>
        <xdr:cNvPr id="393" name="PTObj_DBranchDLine_3_70">
          <a:extLst>
            <a:ext uri="{FF2B5EF4-FFF2-40B4-BE49-F238E27FC236}">
              <a16:creationId xmlns:a16="http://schemas.microsoft.com/office/drawing/2014/main" id="{D552AC4F-F72F-50EA-C65C-ED93B4A78BFE}"/>
            </a:ext>
          </a:extLst>
        </xdr:cNvPr>
        <xdr:cNvCxnSpPr/>
      </xdr:nvCxnSpPr>
      <xdr:spPr>
        <a:xfrm>
          <a:off x="5268087" y="26507439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142</xdr:row>
      <xdr:rowOff>177801</xdr:rowOff>
    </xdr:from>
    <xdr:to>
      <xdr:col>5</xdr:col>
      <xdr:colOff>127</xdr:colOff>
      <xdr:row>142</xdr:row>
      <xdr:rowOff>177801</xdr:rowOff>
    </xdr:to>
    <xdr:cxnSp macro="_xll.PtreeEvent_ObjectClick">
      <xdr:nvCxnSpPr>
        <xdr:cNvPr id="390" name="PTObj_DBranchHLine_3_69">
          <a:extLst>
            <a:ext uri="{FF2B5EF4-FFF2-40B4-BE49-F238E27FC236}">
              <a16:creationId xmlns:a16="http://schemas.microsoft.com/office/drawing/2014/main" id="{1F6E4A13-DAAE-231D-4923-700B4BA71FF5}"/>
            </a:ext>
          </a:extLst>
        </xdr:cNvPr>
        <xdr:cNvCxnSpPr/>
      </xdr:nvCxnSpPr>
      <xdr:spPr>
        <a:xfrm>
          <a:off x="5420487" y="261467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142</xdr:row>
      <xdr:rowOff>177801</xdr:rowOff>
    </xdr:from>
    <xdr:to>
      <xdr:col>4</xdr:col>
      <xdr:colOff>238887</xdr:colOff>
      <xdr:row>144</xdr:row>
      <xdr:rowOff>172719</xdr:rowOff>
    </xdr:to>
    <xdr:cxnSp macro="_xll.PtreeEvent_ObjectClick">
      <xdr:nvCxnSpPr>
        <xdr:cNvPr id="389" name="PTObj_DBranchDLine_3_69">
          <a:extLst>
            <a:ext uri="{FF2B5EF4-FFF2-40B4-BE49-F238E27FC236}">
              <a16:creationId xmlns:a16="http://schemas.microsoft.com/office/drawing/2014/main" id="{695659FE-B789-706E-9327-79E656EEF82D}"/>
            </a:ext>
          </a:extLst>
        </xdr:cNvPr>
        <xdr:cNvCxnSpPr/>
      </xdr:nvCxnSpPr>
      <xdr:spPr>
        <a:xfrm flipV="1">
          <a:off x="5268087" y="26146761"/>
          <a:ext cx="152400" cy="36067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144</xdr:row>
      <xdr:rowOff>177801</xdr:rowOff>
    </xdr:from>
    <xdr:to>
      <xdr:col>4</xdr:col>
      <xdr:colOff>127</xdr:colOff>
      <xdr:row>144</xdr:row>
      <xdr:rowOff>177801</xdr:rowOff>
    </xdr:to>
    <xdr:cxnSp macro="_xll.PtreeEvent_ObjectClick">
      <xdr:nvCxnSpPr>
        <xdr:cNvPr id="386" name="PTObj_DBranchHLine_3_65">
          <a:extLst>
            <a:ext uri="{FF2B5EF4-FFF2-40B4-BE49-F238E27FC236}">
              <a16:creationId xmlns:a16="http://schemas.microsoft.com/office/drawing/2014/main" id="{E2D08386-820A-B8B2-3816-1D88BE6194EB}"/>
            </a:ext>
          </a:extLst>
        </xdr:cNvPr>
        <xdr:cNvCxnSpPr/>
      </xdr:nvCxnSpPr>
      <xdr:spPr>
        <a:xfrm>
          <a:off x="3888867" y="2651252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140</xdr:row>
      <xdr:rowOff>172721</xdr:rowOff>
    </xdr:from>
    <xdr:to>
      <xdr:col>3</xdr:col>
      <xdr:colOff>238887</xdr:colOff>
      <xdr:row>144</xdr:row>
      <xdr:rowOff>177801</xdr:rowOff>
    </xdr:to>
    <xdr:cxnSp macro="_xll.PtreeEvent_ObjectClick">
      <xdr:nvCxnSpPr>
        <xdr:cNvPr id="385" name="PTObj_DBranchDLine_3_65">
          <a:extLst>
            <a:ext uri="{FF2B5EF4-FFF2-40B4-BE49-F238E27FC236}">
              <a16:creationId xmlns:a16="http://schemas.microsoft.com/office/drawing/2014/main" id="{20775AA2-AFCB-1367-8909-64EF793E47AC}"/>
            </a:ext>
          </a:extLst>
        </xdr:cNvPr>
        <xdr:cNvCxnSpPr/>
      </xdr:nvCxnSpPr>
      <xdr:spPr>
        <a:xfrm>
          <a:off x="3736467" y="25775921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138</xdr:row>
      <xdr:rowOff>177799</xdr:rowOff>
    </xdr:from>
    <xdr:to>
      <xdr:col>5</xdr:col>
      <xdr:colOff>127</xdr:colOff>
      <xdr:row>138</xdr:row>
      <xdr:rowOff>177799</xdr:rowOff>
    </xdr:to>
    <xdr:cxnSp macro="_xll.PtreeEvent_ObjectClick">
      <xdr:nvCxnSpPr>
        <xdr:cNvPr id="378" name="PTObj_DBranchHLine_3_68">
          <a:extLst>
            <a:ext uri="{FF2B5EF4-FFF2-40B4-BE49-F238E27FC236}">
              <a16:creationId xmlns:a16="http://schemas.microsoft.com/office/drawing/2014/main" id="{7650E247-620E-3E90-CC2B-B3B68647173C}"/>
            </a:ext>
          </a:extLst>
        </xdr:cNvPr>
        <xdr:cNvCxnSpPr/>
      </xdr:nvCxnSpPr>
      <xdr:spPr>
        <a:xfrm>
          <a:off x="5420487" y="25415239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134</xdr:row>
      <xdr:rowOff>172721</xdr:rowOff>
    </xdr:from>
    <xdr:to>
      <xdr:col>4</xdr:col>
      <xdr:colOff>238887</xdr:colOff>
      <xdr:row>138</xdr:row>
      <xdr:rowOff>177799</xdr:rowOff>
    </xdr:to>
    <xdr:cxnSp macro="_xll.PtreeEvent_ObjectClick">
      <xdr:nvCxnSpPr>
        <xdr:cNvPr id="377" name="PTObj_DBranchDLine_3_68">
          <a:extLst>
            <a:ext uri="{FF2B5EF4-FFF2-40B4-BE49-F238E27FC236}">
              <a16:creationId xmlns:a16="http://schemas.microsoft.com/office/drawing/2014/main" id="{AF909F32-942C-98EC-76D0-5D62479330DB}"/>
            </a:ext>
          </a:extLst>
        </xdr:cNvPr>
        <xdr:cNvCxnSpPr/>
      </xdr:nvCxnSpPr>
      <xdr:spPr>
        <a:xfrm>
          <a:off x="5268087" y="24678641"/>
          <a:ext cx="152400" cy="736598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136</xdr:row>
      <xdr:rowOff>177800</xdr:rowOff>
    </xdr:from>
    <xdr:to>
      <xdr:col>5</xdr:col>
      <xdr:colOff>127</xdr:colOff>
      <xdr:row>136</xdr:row>
      <xdr:rowOff>177800</xdr:rowOff>
    </xdr:to>
    <xdr:cxnSp macro="_xll.PtreeEvent_ObjectClick">
      <xdr:nvCxnSpPr>
        <xdr:cNvPr id="374" name="PTObj_DBranchHLine_3_67">
          <a:extLst>
            <a:ext uri="{FF2B5EF4-FFF2-40B4-BE49-F238E27FC236}">
              <a16:creationId xmlns:a16="http://schemas.microsoft.com/office/drawing/2014/main" id="{7677C2FE-C5CC-C4E1-0019-FDDCBB41A601}"/>
            </a:ext>
          </a:extLst>
        </xdr:cNvPr>
        <xdr:cNvCxnSpPr/>
      </xdr:nvCxnSpPr>
      <xdr:spPr>
        <a:xfrm>
          <a:off x="5420487" y="250494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134</xdr:row>
      <xdr:rowOff>172721</xdr:rowOff>
    </xdr:from>
    <xdr:to>
      <xdr:col>4</xdr:col>
      <xdr:colOff>238887</xdr:colOff>
      <xdr:row>136</xdr:row>
      <xdr:rowOff>177800</xdr:rowOff>
    </xdr:to>
    <xdr:cxnSp macro="_xll.PtreeEvent_ObjectClick">
      <xdr:nvCxnSpPr>
        <xdr:cNvPr id="373" name="PTObj_DBranchDLine_3_67">
          <a:extLst>
            <a:ext uri="{FF2B5EF4-FFF2-40B4-BE49-F238E27FC236}">
              <a16:creationId xmlns:a16="http://schemas.microsoft.com/office/drawing/2014/main" id="{F3EC8798-53A5-1030-BD2A-2DA6635F041E}"/>
            </a:ext>
          </a:extLst>
        </xdr:cNvPr>
        <xdr:cNvCxnSpPr/>
      </xdr:nvCxnSpPr>
      <xdr:spPr>
        <a:xfrm>
          <a:off x="5268087" y="246786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132</xdr:row>
      <xdr:rowOff>177801</xdr:rowOff>
    </xdr:from>
    <xdr:to>
      <xdr:col>5</xdr:col>
      <xdr:colOff>127</xdr:colOff>
      <xdr:row>132</xdr:row>
      <xdr:rowOff>177801</xdr:rowOff>
    </xdr:to>
    <xdr:cxnSp macro="_xll.PtreeEvent_ObjectClick">
      <xdr:nvCxnSpPr>
        <xdr:cNvPr id="370" name="PTObj_DBranchHLine_3_66">
          <a:extLst>
            <a:ext uri="{FF2B5EF4-FFF2-40B4-BE49-F238E27FC236}">
              <a16:creationId xmlns:a16="http://schemas.microsoft.com/office/drawing/2014/main" id="{2B852EC6-304B-7C67-0431-1BA7B665403A}"/>
            </a:ext>
          </a:extLst>
        </xdr:cNvPr>
        <xdr:cNvCxnSpPr/>
      </xdr:nvCxnSpPr>
      <xdr:spPr>
        <a:xfrm>
          <a:off x="5420487" y="243179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132</xdr:row>
      <xdr:rowOff>177801</xdr:rowOff>
    </xdr:from>
    <xdr:to>
      <xdr:col>4</xdr:col>
      <xdr:colOff>238887</xdr:colOff>
      <xdr:row>134</xdr:row>
      <xdr:rowOff>172721</xdr:rowOff>
    </xdr:to>
    <xdr:cxnSp macro="_xll.PtreeEvent_ObjectClick">
      <xdr:nvCxnSpPr>
        <xdr:cNvPr id="369" name="PTObj_DBranchDLine_3_66">
          <a:extLst>
            <a:ext uri="{FF2B5EF4-FFF2-40B4-BE49-F238E27FC236}">
              <a16:creationId xmlns:a16="http://schemas.microsoft.com/office/drawing/2014/main" id="{321DA2B1-503D-0C58-1467-1085C0B849F5}"/>
            </a:ext>
          </a:extLst>
        </xdr:cNvPr>
        <xdr:cNvCxnSpPr/>
      </xdr:nvCxnSpPr>
      <xdr:spPr>
        <a:xfrm flipV="1">
          <a:off x="5268087" y="24317961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134</xdr:row>
      <xdr:rowOff>177801</xdr:rowOff>
    </xdr:from>
    <xdr:to>
      <xdr:col>4</xdr:col>
      <xdr:colOff>127</xdr:colOff>
      <xdr:row>134</xdr:row>
      <xdr:rowOff>177801</xdr:rowOff>
    </xdr:to>
    <xdr:cxnSp macro="_xll.PtreeEvent_ObjectClick">
      <xdr:nvCxnSpPr>
        <xdr:cNvPr id="366" name="PTObj_DBranchHLine_3_64">
          <a:extLst>
            <a:ext uri="{FF2B5EF4-FFF2-40B4-BE49-F238E27FC236}">
              <a16:creationId xmlns:a16="http://schemas.microsoft.com/office/drawing/2014/main" id="{9D57055E-D17A-7D37-116A-CAE810048C73}"/>
            </a:ext>
          </a:extLst>
        </xdr:cNvPr>
        <xdr:cNvCxnSpPr/>
      </xdr:nvCxnSpPr>
      <xdr:spPr>
        <a:xfrm>
          <a:off x="3888867" y="243179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134</xdr:row>
      <xdr:rowOff>177801</xdr:rowOff>
    </xdr:from>
    <xdr:to>
      <xdr:col>3</xdr:col>
      <xdr:colOff>238887</xdr:colOff>
      <xdr:row>140</xdr:row>
      <xdr:rowOff>172721</xdr:rowOff>
    </xdr:to>
    <xdr:cxnSp macro="_xll.PtreeEvent_ObjectClick">
      <xdr:nvCxnSpPr>
        <xdr:cNvPr id="365" name="PTObj_DBranchDLine_3_64">
          <a:extLst>
            <a:ext uri="{FF2B5EF4-FFF2-40B4-BE49-F238E27FC236}">
              <a16:creationId xmlns:a16="http://schemas.microsoft.com/office/drawing/2014/main" id="{25641931-9037-4FF4-B3CF-11B730469FB5}"/>
            </a:ext>
          </a:extLst>
        </xdr:cNvPr>
        <xdr:cNvCxnSpPr/>
      </xdr:nvCxnSpPr>
      <xdr:spPr>
        <a:xfrm flipV="1">
          <a:off x="3736467" y="24317961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140</xdr:row>
      <xdr:rowOff>177801</xdr:rowOff>
    </xdr:from>
    <xdr:to>
      <xdr:col>3</xdr:col>
      <xdr:colOff>127</xdr:colOff>
      <xdr:row>140</xdr:row>
      <xdr:rowOff>177801</xdr:rowOff>
    </xdr:to>
    <xdr:cxnSp macro="_xll.PtreeEvent_ObjectClick">
      <xdr:nvCxnSpPr>
        <xdr:cNvPr id="354" name="PTObj_DBranchHLine_3_3">
          <a:extLst>
            <a:ext uri="{FF2B5EF4-FFF2-40B4-BE49-F238E27FC236}">
              <a16:creationId xmlns:a16="http://schemas.microsoft.com/office/drawing/2014/main" id="{F77B4BB1-A05C-73E8-CBD5-0654B1025EC0}"/>
            </a:ext>
          </a:extLst>
        </xdr:cNvPr>
        <xdr:cNvCxnSpPr/>
      </xdr:nvCxnSpPr>
      <xdr:spPr>
        <a:xfrm>
          <a:off x="2288667" y="24317961"/>
          <a:ext cx="13614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130</xdr:row>
      <xdr:rowOff>172721</xdr:rowOff>
    </xdr:from>
    <xdr:to>
      <xdr:col>2</xdr:col>
      <xdr:colOff>238887</xdr:colOff>
      <xdr:row>140</xdr:row>
      <xdr:rowOff>177801</xdr:rowOff>
    </xdr:to>
    <xdr:cxnSp macro="_xll.PtreeEvent_ObjectClick">
      <xdr:nvCxnSpPr>
        <xdr:cNvPr id="353" name="PTObj_DBranchDLine_3_3">
          <a:extLst>
            <a:ext uri="{FF2B5EF4-FFF2-40B4-BE49-F238E27FC236}">
              <a16:creationId xmlns:a16="http://schemas.microsoft.com/office/drawing/2014/main" id="{A8E2EB08-9F75-FD57-DE6B-AE7BC19E0DE1}"/>
            </a:ext>
          </a:extLst>
        </xdr:cNvPr>
        <xdr:cNvCxnSpPr/>
      </xdr:nvCxnSpPr>
      <xdr:spPr>
        <a:xfrm>
          <a:off x="2136267" y="23947121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128</xdr:row>
      <xdr:rowOff>177799</xdr:rowOff>
    </xdr:from>
    <xdr:to>
      <xdr:col>8</xdr:col>
      <xdr:colOff>127</xdr:colOff>
      <xdr:row>128</xdr:row>
      <xdr:rowOff>177799</xdr:rowOff>
    </xdr:to>
    <xdr:cxnSp macro="_xll.PtreeEvent_ObjectClick">
      <xdr:nvCxnSpPr>
        <xdr:cNvPr id="350" name="PTObj_DBranchHLine_3_63">
          <a:extLst>
            <a:ext uri="{FF2B5EF4-FFF2-40B4-BE49-F238E27FC236}">
              <a16:creationId xmlns:a16="http://schemas.microsoft.com/office/drawing/2014/main" id="{95A173A3-3AA9-DCE0-2DAA-2963260AF81E}"/>
            </a:ext>
          </a:extLst>
        </xdr:cNvPr>
        <xdr:cNvCxnSpPr/>
      </xdr:nvCxnSpPr>
      <xdr:spPr>
        <a:xfrm>
          <a:off x="10007728" y="23586439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126</xdr:row>
      <xdr:rowOff>172720</xdr:rowOff>
    </xdr:from>
    <xdr:to>
      <xdr:col>7</xdr:col>
      <xdr:colOff>238888</xdr:colOff>
      <xdr:row>128</xdr:row>
      <xdr:rowOff>177799</xdr:rowOff>
    </xdr:to>
    <xdr:cxnSp macro="_xll.PtreeEvent_ObjectClick">
      <xdr:nvCxnSpPr>
        <xdr:cNvPr id="349" name="PTObj_DBranchDLine_3_63">
          <a:extLst>
            <a:ext uri="{FF2B5EF4-FFF2-40B4-BE49-F238E27FC236}">
              <a16:creationId xmlns:a16="http://schemas.microsoft.com/office/drawing/2014/main" id="{B4891C5C-C964-A3B2-A9DA-6D070F5E8038}"/>
            </a:ext>
          </a:extLst>
        </xdr:cNvPr>
        <xdr:cNvCxnSpPr/>
      </xdr:nvCxnSpPr>
      <xdr:spPr>
        <a:xfrm>
          <a:off x="9855328" y="2321560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124</xdr:row>
      <xdr:rowOff>177800</xdr:rowOff>
    </xdr:from>
    <xdr:to>
      <xdr:col>8</xdr:col>
      <xdr:colOff>127</xdr:colOff>
      <xdr:row>124</xdr:row>
      <xdr:rowOff>177800</xdr:rowOff>
    </xdr:to>
    <xdr:cxnSp macro="_xll.PtreeEvent_ObjectClick">
      <xdr:nvCxnSpPr>
        <xdr:cNvPr id="346" name="PTObj_DBranchHLine_3_62">
          <a:extLst>
            <a:ext uri="{FF2B5EF4-FFF2-40B4-BE49-F238E27FC236}">
              <a16:creationId xmlns:a16="http://schemas.microsoft.com/office/drawing/2014/main" id="{4793292D-4635-08C1-31EE-0423B6515EE9}"/>
            </a:ext>
          </a:extLst>
        </xdr:cNvPr>
        <xdr:cNvCxnSpPr/>
      </xdr:nvCxnSpPr>
      <xdr:spPr>
        <a:xfrm>
          <a:off x="10007728" y="2285492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124</xdr:row>
      <xdr:rowOff>177800</xdr:rowOff>
    </xdr:from>
    <xdr:to>
      <xdr:col>7</xdr:col>
      <xdr:colOff>238888</xdr:colOff>
      <xdr:row>126</xdr:row>
      <xdr:rowOff>172720</xdr:rowOff>
    </xdr:to>
    <xdr:cxnSp macro="_xll.PtreeEvent_ObjectClick">
      <xdr:nvCxnSpPr>
        <xdr:cNvPr id="345" name="PTObj_DBranchDLine_3_62">
          <a:extLst>
            <a:ext uri="{FF2B5EF4-FFF2-40B4-BE49-F238E27FC236}">
              <a16:creationId xmlns:a16="http://schemas.microsoft.com/office/drawing/2014/main" id="{BC492A52-23AE-B80E-E03A-0FFF3B2D5027}"/>
            </a:ext>
          </a:extLst>
        </xdr:cNvPr>
        <xdr:cNvCxnSpPr/>
      </xdr:nvCxnSpPr>
      <xdr:spPr>
        <a:xfrm flipV="1">
          <a:off x="9855328" y="228549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126</xdr:row>
      <xdr:rowOff>177800</xdr:rowOff>
    </xdr:from>
    <xdr:to>
      <xdr:col>7</xdr:col>
      <xdr:colOff>127</xdr:colOff>
      <xdr:row>126</xdr:row>
      <xdr:rowOff>177800</xdr:rowOff>
    </xdr:to>
    <xdr:cxnSp macro="_xll.PtreeEvent_ObjectClick">
      <xdr:nvCxnSpPr>
        <xdr:cNvPr id="342" name="PTObj_DBranchHLine_3_61">
          <a:extLst>
            <a:ext uri="{FF2B5EF4-FFF2-40B4-BE49-F238E27FC236}">
              <a16:creationId xmlns:a16="http://schemas.microsoft.com/office/drawing/2014/main" id="{5C200979-FCB0-033C-ED02-FE0B9EF5326A}"/>
            </a:ext>
          </a:extLst>
        </xdr:cNvPr>
        <xdr:cNvCxnSpPr/>
      </xdr:nvCxnSpPr>
      <xdr:spPr>
        <a:xfrm>
          <a:off x="8476107" y="232206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122</xdr:row>
      <xdr:rowOff>172720</xdr:rowOff>
    </xdr:from>
    <xdr:to>
      <xdr:col>6</xdr:col>
      <xdr:colOff>238887</xdr:colOff>
      <xdr:row>126</xdr:row>
      <xdr:rowOff>177800</xdr:rowOff>
    </xdr:to>
    <xdr:cxnSp macro="_xll.PtreeEvent_ObjectClick">
      <xdr:nvCxnSpPr>
        <xdr:cNvPr id="341" name="PTObj_DBranchDLine_3_61">
          <a:extLst>
            <a:ext uri="{FF2B5EF4-FFF2-40B4-BE49-F238E27FC236}">
              <a16:creationId xmlns:a16="http://schemas.microsoft.com/office/drawing/2014/main" id="{7F3399E5-2BEE-CB80-98CD-95110BF8DCD9}"/>
            </a:ext>
          </a:extLst>
        </xdr:cNvPr>
        <xdr:cNvCxnSpPr/>
      </xdr:nvCxnSpPr>
      <xdr:spPr>
        <a:xfrm>
          <a:off x="8323707" y="224840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120</xdr:row>
      <xdr:rowOff>177800</xdr:rowOff>
    </xdr:from>
    <xdr:to>
      <xdr:col>8</xdr:col>
      <xdr:colOff>127</xdr:colOff>
      <xdr:row>120</xdr:row>
      <xdr:rowOff>177800</xdr:rowOff>
    </xdr:to>
    <xdr:cxnSp macro="_xll.PtreeEvent_ObjectClick">
      <xdr:nvCxnSpPr>
        <xdr:cNvPr id="338" name="PTObj_DBranchHLine_3_60">
          <a:extLst>
            <a:ext uri="{FF2B5EF4-FFF2-40B4-BE49-F238E27FC236}">
              <a16:creationId xmlns:a16="http://schemas.microsoft.com/office/drawing/2014/main" id="{F3B86130-C38C-B034-9ED7-A5B21682248B}"/>
            </a:ext>
          </a:extLst>
        </xdr:cNvPr>
        <xdr:cNvCxnSpPr/>
      </xdr:nvCxnSpPr>
      <xdr:spPr>
        <a:xfrm>
          <a:off x="10007728" y="2212340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118</xdr:row>
      <xdr:rowOff>172721</xdr:rowOff>
    </xdr:from>
    <xdr:to>
      <xdr:col>7</xdr:col>
      <xdr:colOff>238888</xdr:colOff>
      <xdr:row>120</xdr:row>
      <xdr:rowOff>177800</xdr:rowOff>
    </xdr:to>
    <xdr:cxnSp macro="_xll.PtreeEvent_ObjectClick">
      <xdr:nvCxnSpPr>
        <xdr:cNvPr id="337" name="PTObj_DBranchDLine_3_60">
          <a:extLst>
            <a:ext uri="{FF2B5EF4-FFF2-40B4-BE49-F238E27FC236}">
              <a16:creationId xmlns:a16="http://schemas.microsoft.com/office/drawing/2014/main" id="{75701293-72A2-2E71-156A-27BCAA1D0C20}"/>
            </a:ext>
          </a:extLst>
        </xdr:cNvPr>
        <xdr:cNvCxnSpPr/>
      </xdr:nvCxnSpPr>
      <xdr:spPr>
        <a:xfrm>
          <a:off x="9855328" y="2175256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116</xdr:row>
      <xdr:rowOff>177800</xdr:rowOff>
    </xdr:from>
    <xdr:to>
      <xdr:col>8</xdr:col>
      <xdr:colOff>127</xdr:colOff>
      <xdr:row>116</xdr:row>
      <xdr:rowOff>177800</xdr:rowOff>
    </xdr:to>
    <xdr:cxnSp macro="_xll.PtreeEvent_ObjectClick">
      <xdr:nvCxnSpPr>
        <xdr:cNvPr id="334" name="PTObj_DBranchHLine_3_59">
          <a:extLst>
            <a:ext uri="{FF2B5EF4-FFF2-40B4-BE49-F238E27FC236}">
              <a16:creationId xmlns:a16="http://schemas.microsoft.com/office/drawing/2014/main" id="{C510615A-ABD8-5611-8F03-85DE2B8D0688}"/>
            </a:ext>
          </a:extLst>
        </xdr:cNvPr>
        <xdr:cNvCxnSpPr/>
      </xdr:nvCxnSpPr>
      <xdr:spPr>
        <a:xfrm>
          <a:off x="10007728" y="2139188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116</xdr:row>
      <xdr:rowOff>177800</xdr:rowOff>
    </xdr:from>
    <xdr:to>
      <xdr:col>7</xdr:col>
      <xdr:colOff>238888</xdr:colOff>
      <xdr:row>118</xdr:row>
      <xdr:rowOff>172721</xdr:rowOff>
    </xdr:to>
    <xdr:cxnSp macro="_xll.PtreeEvent_ObjectClick">
      <xdr:nvCxnSpPr>
        <xdr:cNvPr id="333" name="PTObj_DBranchDLine_3_59">
          <a:extLst>
            <a:ext uri="{FF2B5EF4-FFF2-40B4-BE49-F238E27FC236}">
              <a16:creationId xmlns:a16="http://schemas.microsoft.com/office/drawing/2014/main" id="{4F3D7A4C-5330-8051-5E14-C0A8839B221C}"/>
            </a:ext>
          </a:extLst>
        </xdr:cNvPr>
        <xdr:cNvCxnSpPr/>
      </xdr:nvCxnSpPr>
      <xdr:spPr>
        <a:xfrm flipV="1">
          <a:off x="9855328" y="2139188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118</xdr:row>
      <xdr:rowOff>177799</xdr:rowOff>
    </xdr:from>
    <xdr:to>
      <xdr:col>7</xdr:col>
      <xdr:colOff>127</xdr:colOff>
      <xdr:row>118</xdr:row>
      <xdr:rowOff>177799</xdr:rowOff>
    </xdr:to>
    <xdr:cxnSp macro="_xll.PtreeEvent_ObjectClick">
      <xdr:nvCxnSpPr>
        <xdr:cNvPr id="330" name="PTObj_DBranchHLine_3_58">
          <a:extLst>
            <a:ext uri="{FF2B5EF4-FFF2-40B4-BE49-F238E27FC236}">
              <a16:creationId xmlns:a16="http://schemas.microsoft.com/office/drawing/2014/main" id="{91054F46-7B59-53B3-AE64-E0B557D83527}"/>
            </a:ext>
          </a:extLst>
        </xdr:cNvPr>
        <xdr:cNvCxnSpPr/>
      </xdr:nvCxnSpPr>
      <xdr:spPr>
        <a:xfrm>
          <a:off x="8476107" y="21757639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118</xdr:row>
      <xdr:rowOff>177799</xdr:rowOff>
    </xdr:from>
    <xdr:to>
      <xdr:col>6</xdr:col>
      <xdr:colOff>238887</xdr:colOff>
      <xdr:row>122</xdr:row>
      <xdr:rowOff>172720</xdr:rowOff>
    </xdr:to>
    <xdr:cxnSp macro="_xll.PtreeEvent_ObjectClick">
      <xdr:nvCxnSpPr>
        <xdr:cNvPr id="329" name="PTObj_DBranchDLine_3_58">
          <a:extLst>
            <a:ext uri="{FF2B5EF4-FFF2-40B4-BE49-F238E27FC236}">
              <a16:creationId xmlns:a16="http://schemas.microsoft.com/office/drawing/2014/main" id="{42BD610A-C80B-4280-BDCC-69421E7A8111}"/>
            </a:ext>
          </a:extLst>
        </xdr:cNvPr>
        <xdr:cNvCxnSpPr/>
      </xdr:nvCxnSpPr>
      <xdr:spPr>
        <a:xfrm flipV="1">
          <a:off x="8323707" y="21757639"/>
          <a:ext cx="152400" cy="72644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82</xdr:row>
      <xdr:rowOff>177801</xdr:rowOff>
    </xdr:from>
    <xdr:to>
      <xdr:col>8</xdr:col>
      <xdr:colOff>127</xdr:colOff>
      <xdr:row>82</xdr:row>
      <xdr:rowOff>177801</xdr:rowOff>
    </xdr:to>
    <xdr:cxnSp macro="_xll.PtreeEvent_ObjectClick">
      <xdr:nvCxnSpPr>
        <xdr:cNvPr id="318" name="PTObj_DBranchHLine_3_57">
          <a:extLst>
            <a:ext uri="{FF2B5EF4-FFF2-40B4-BE49-F238E27FC236}">
              <a16:creationId xmlns:a16="http://schemas.microsoft.com/office/drawing/2014/main" id="{B6CE7732-F70C-41A5-B2E6-B861CC0147E0}"/>
            </a:ext>
          </a:extLst>
        </xdr:cNvPr>
        <xdr:cNvCxnSpPr/>
      </xdr:nvCxnSpPr>
      <xdr:spPr>
        <a:xfrm>
          <a:off x="10007728" y="15173961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80</xdr:row>
      <xdr:rowOff>172721</xdr:rowOff>
    </xdr:from>
    <xdr:to>
      <xdr:col>7</xdr:col>
      <xdr:colOff>238888</xdr:colOff>
      <xdr:row>82</xdr:row>
      <xdr:rowOff>177801</xdr:rowOff>
    </xdr:to>
    <xdr:cxnSp macro="_xll.PtreeEvent_ObjectClick">
      <xdr:nvCxnSpPr>
        <xdr:cNvPr id="317" name="PTObj_DBranchDLine_3_57">
          <a:extLst>
            <a:ext uri="{FF2B5EF4-FFF2-40B4-BE49-F238E27FC236}">
              <a16:creationId xmlns:a16="http://schemas.microsoft.com/office/drawing/2014/main" id="{75166822-10F8-C5B5-74E1-864AE8C4BC13}"/>
            </a:ext>
          </a:extLst>
        </xdr:cNvPr>
        <xdr:cNvCxnSpPr/>
      </xdr:nvCxnSpPr>
      <xdr:spPr>
        <a:xfrm>
          <a:off x="9855328" y="14803121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78</xdr:row>
      <xdr:rowOff>177799</xdr:rowOff>
    </xdr:from>
    <xdr:to>
      <xdr:col>8</xdr:col>
      <xdr:colOff>127</xdr:colOff>
      <xdr:row>78</xdr:row>
      <xdr:rowOff>177799</xdr:rowOff>
    </xdr:to>
    <xdr:cxnSp macro="_xll.PtreeEvent_ObjectClick">
      <xdr:nvCxnSpPr>
        <xdr:cNvPr id="314" name="PTObj_DBranchHLine_3_56">
          <a:extLst>
            <a:ext uri="{FF2B5EF4-FFF2-40B4-BE49-F238E27FC236}">
              <a16:creationId xmlns:a16="http://schemas.microsoft.com/office/drawing/2014/main" id="{818C1ACC-D948-2561-F9E2-F0A376772F7A}"/>
            </a:ext>
          </a:extLst>
        </xdr:cNvPr>
        <xdr:cNvCxnSpPr/>
      </xdr:nvCxnSpPr>
      <xdr:spPr>
        <a:xfrm>
          <a:off x="10007728" y="14442439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78</xdr:row>
      <xdr:rowOff>177799</xdr:rowOff>
    </xdr:from>
    <xdr:to>
      <xdr:col>7</xdr:col>
      <xdr:colOff>238888</xdr:colOff>
      <xdr:row>80</xdr:row>
      <xdr:rowOff>172721</xdr:rowOff>
    </xdr:to>
    <xdr:cxnSp macro="_xll.PtreeEvent_ObjectClick">
      <xdr:nvCxnSpPr>
        <xdr:cNvPr id="313" name="PTObj_DBranchDLine_3_56">
          <a:extLst>
            <a:ext uri="{FF2B5EF4-FFF2-40B4-BE49-F238E27FC236}">
              <a16:creationId xmlns:a16="http://schemas.microsoft.com/office/drawing/2014/main" id="{03BD41C6-410E-819D-AC24-DF8EBC7C5FAB}"/>
            </a:ext>
          </a:extLst>
        </xdr:cNvPr>
        <xdr:cNvCxnSpPr/>
      </xdr:nvCxnSpPr>
      <xdr:spPr>
        <a:xfrm flipV="1">
          <a:off x="9855328" y="14442439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80</xdr:row>
      <xdr:rowOff>177800</xdr:rowOff>
    </xdr:from>
    <xdr:to>
      <xdr:col>7</xdr:col>
      <xdr:colOff>127</xdr:colOff>
      <xdr:row>80</xdr:row>
      <xdr:rowOff>177800</xdr:rowOff>
    </xdr:to>
    <xdr:cxnSp macro="_xll.PtreeEvent_ObjectClick">
      <xdr:nvCxnSpPr>
        <xdr:cNvPr id="310" name="PTObj_DBranchHLine_3_55">
          <a:extLst>
            <a:ext uri="{FF2B5EF4-FFF2-40B4-BE49-F238E27FC236}">
              <a16:creationId xmlns:a16="http://schemas.microsoft.com/office/drawing/2014/main" id="{ADB85BF3-2C65-DD4E-122F-2CC0E74CB90E}"/>
            </a:ext>
          </a:extLst>
        </xdr:cNvPr>
        <xdr:cNvCxnSpPr/>
      </xdr:nvCxnSpPr>
      <xdr:spPr>
        <a:xfrm>
          <a:off x="8476107" y="1480820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76</xdr:row>
      <xdr:rowOff>172720</xdr:rowOff>
    </xdr:from>
    <xdr:to>
      <xdr:col>6</xdr:col>
      <xdr:colOff>238887</xdr:colOff>
      <xdr:row>80</xdr:row>
      <xdr:rowOff>177800</xdr:rowOff>
    </xdr:to>
    <xdr:cxnSp macro="_xll.PtreeEvent_ObjectClick">
      <xdr:nvCxnSpPr>
        <xdr:cNvPr id="309" name="PTObj_DBranchDLine_3_55">
          <a:extLst>
            <a:ext uri="{FF2B5EF4-FFF2-40B4-BE49-F238E27FC236}">
              <a16:creationId xmlns:a16="http://schemas.microsoft.com/office/drawing/2014/main" id="{C2830E34-A159-F09F-77AA-85CF56D7E76D}"/>
            </a:ext>
          </a:extLst>
        </xdr:cNvPr>
        <xdr:cNvCxnSpPr/>
      </xdr:nvCxnSpPr>
      <xdr:spPr>
        <a:xfrm>
          <a:off x="8323707" y="140716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74</xdr:row>
      <xdr:rowOff>177800</xdr:rowOff>
    </xdr:from>
    <xdr:to>
      <xdr:col>8</xdr:col>
      <xdr:colOff>127</xdr:colOff>
      <xdr:row>74</xdr:row>
      <xdr:rowOff>177800</xdr:rowOff>
    </xdr:to>
    <xdr:cxnSp macro="_xll.PtreeEvent_ObjectClick">
      <xdr:nvCxnSpPr>
        <xdr:cNvPr id="306" name="PTObj_DBranchHLine_3_54">
          <a:extLst>
            <a:ext uri="{FF2B5EF4-FFF2-40B4-BE49-F238E27FC236}">
              <a16:creationId xmlns:a16="http://schemas.microsoft.com/office/drawing/2014/main" id="{0ECAB0B6-69B6-B47C-C75E-BD11633E9DB5}"/>
            </a:ext>
          </a:extLst>
        </xdr:cNvPr>
        <xdr:cNvCxnSpPr/>
      </xdr:nvCxnSpPr>
      <xdr:spPr>
        <a:xfrm>
          <a:off x="10007728" y="1371092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72</xdr:row>
      <xdr:rowOff>172720</xdr:rowOff>
    </xdr:from>
    <xdr:to>
      <xdr:col>7</xdr:col>
      <xdr:colOff>238888</xdr:colOff>
      <xdr:row>74</xdr:row>
      <xdr:rowOff>177800</xdr:rowOff>
    </xdr:to>
    <xdr:cxnSp macro="_xll.PtreeEvent_ObjectClick">
      <xdr:nvCxnSpPr>
        <xdr:cNvPr id="305" name="PTObj_DBranchDLine_3_54">
          <a:extLst>
            <a:ext uri="{FF2B5EF4-FFF2-40B4-BE49-F238E27FC236}">
              <a16:creationId xmlns:a16="http://schemas.microsoft.com/office/drawing/2014/main" id="{EFC5FA9F-556B-A536-B664-732AAF709597}"/>
            </a:ext>
          </a:extLst>
        </xdr:cNvPr>
        <xdr:cNvCxnSpPr/>
      </xdr:nvCxnSpPr>
      <xdr:spPr>
        <a:xfrm>
          <a:off x="9855328" y="133400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70</xdr:row>
      <xdr:rowOff>177800</xdr:rowOff>
    </xdr:from>
    <xdr:to>
      <xdr:col>8</xdr:col>
      <xdr:colOff>127</xdr:colOff>
      <xdr:row>70</xdr:row>
      <xdr:rowOff>177800</xdr:rowOff>
    </xdr:to>
    <xdr:cxnSp macro="_xll.PtreeEvent_ObjectClick">
      <xdr:nvCxnSpPr>
        <xdr:cNvPr id="302" name="PTObj_DBranchHLine_3_53">
          <a:extLst>
            <a:ext uri="{FF2B5EF4-FFF2-40B4-BE49-F238E27FC236}">
              <a16:creationId xmlns:a16="http://schemas.microsoft.com/office/drawing/2014/main" id="{E4B5CB58-17B3-9146-D129-0963B9659E3F}"/>
            </a:ext>
          </a:extLst>
        </xdr:cNvPr>
        <xdr:cNvCxnSpPr/>
      </xdr:nvCxnSpPr>
      <xdr:spPr>
        <a:xfrm>
          <a:off x="10007728" y="1297940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70</xdr:row>
      <xdr:rowOff>177800</xdr:rowOff>
    </xdr:from>
    <xdr:to>
      <xdr:col>7</xdr:col>
      <xdr:colOff>238888</xdr:colOff>
      <xdr:row>72</xdr:row>
      <xdr:rowOff>172720</xdr:rowOff>
    </xdr:to>
    <xdr:cxnSp macro="_xll.PtreeEvent_ObjectClick">
      <xdr:nvCxnSpPr>
        <xdr:cNvPr id="301" name="PTObj_DBranchDLine_3_53">
          <a:extLst>
            <a:ext uri="{FF2B5EF4-FFF2-40B4-BE49-F238E27FC236}">
              <a16:creationId xmlns:a16="http://schemas.microsoft.com/office/drawing/2014/main" id="{D9A4DEBA-22F9-3308-E849-8A5438461E0D}"/>
            </a:ext>
          </a:extLst>
        </xdr:cNvPr>
        <xdr:cNvCxnSpPr/>
      </xdr:nvCxnSpPr>
      <xdr:spPr>
        <a:xfrm flipV="1">
          <a:off x="9855328" y="129794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72</xdr:row>
      <xdr:rowOff>177801</xdr:rowOff>
    </xdr:from>
    <xdr:to>
      <xdr:col>7</xdr:col>
      <xdr:colOff>127</xdr:colOff>
      <xdr:row>72</xdr:row>
      <xdr:rowOff>177801</xdr:rowOff>
    </xdr:to>
    <xdr:cxnSp macro="_xll.PtreeEvent_ObjectClick">
      <xdr:nvCxnSpPr>
        <xdr:cNvPr id="298" name="PTObj_DBranchHLine_3_52">
          <a:extLst>
            <a:ext uri="{FF2B5EF4-FFF2-40B4-BE49-F238E27FC236}">
              <a16:creationId xmlns:a16="http://schemas.microsoft.com/office/drawing/2014/main" id="{E68AB2C2-2D04-D2D5-1F55-3AB052007CE2}"/>
            </a:ext>
          </a:extLst>
        </xdr:cNvPr>
        <xdr:cNvCxnSpPr/>
      </xdr:nvCxnSpPr>
      <xdr:spPr>
        <a:xfrm>
          <a:off x="8476107" y="133451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72</xdr:row>
      <xdr:rowOff>177801</xdr:rowOff>
    </xdr:from>
    <xdr:to>
      <xdr:col>6</xdr:col>
      <xdr:colOff>238887</xdr:colOff>
      <xdr:row>76</xdr:row>
      <xdr:rowOff>172720</xdr:rowOff>
    </xdr:to>
    <xdr:cxnSp macro="_xll.PtreeEvent_ObjectClick">
      <xdr:nvCxnSpPr>
        <xdr:cNvPr id="297" name="PTObj_DBranchDLine_3_52">
          <a:extLst>
            <a:ext uri="{FF2B5EF4-FFF2-40B4-BE49-F238E27FC236}">
              <a16:creationId xmlns:a16="http://schemas.microsoft.com/office/drawing/2014/main" id="{D9F02146-9FF6-8977-57B5-0BB430B45A8E}"/>
            </a:ext>
          </a:extLst>
        </xdr:cNvPr>
        <xdr:cNvCxnSpPr/>
      </xdr:nvCxnSpPr>
      <xdr:spPr>
        <a:xfrm flipV="1">
          <a:off x="8323707" y="13345161"/>
          <a:ext cx="152400" cy="7264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114</xdr:row>
      <xdr:rowOff>177801</xdr:rowOff>
    </xdr:from>
    <xdr:to>
      <xdr:col>8</xdr:col>
      <xdr:colOff>127</xdr:colOff>
      <xdr:row>114</xdr:row>
      <xdr:rowOff>177801</xdr:rowOff>
    </xdr:to>
    <xdr:cxnSp macro="_xll.PtreeEvent_ObjectClick">
      <xdr:nvCxnSpPr>
        <xdr:cNvPr id="286" name="PTObj_DBranchHLine_3_51">
          <a:extLst>
            <a:ext uri="{FF2B5EF4-FFF2-40B4-BE49-F238E27FC236}">
              <a16:creationId xmlns:a16="http://schemas.microsoft.com/office/drawing/2014/main" id="{BF4BE21F-B5AD-BDB7-86AD-ACDE332A281C}"/>
            </a:ext>
          </a:extLst>
        </xdr:cNvPr>
        <xdr:cNvCxnSpPr/>
      </xdr:nvCxnSpPr>
      <xdr:spPr>
        <a:xfrm>
          <a:off x="10007728" y="18831561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112</xdr:row>
      <xdr:rowOff>172721</xdr:rowOff>
    </xdr:from>
    <xdr:to>
      <xdr:col>7</xdr:col>
      <xdr:colOff>238888</xdr:colOff>
      <xdr:row>114</xdr:row>
      <xdr:rowOff>177801</xdr:rowOff>
    </xdr:to>
    <xdr:cxnSp macro="_xll.PtreeEvent_ObjectClick">
      <xdr:nvCxnSpPr>
        <xdr:cNvPr id="285" name="PTObj_DBranchDLine_3_51">
          <a:extLst>
            <a:ext uri="{FF2B5EF4-FFF2-40B4-BE49-F238E27FC236}">
              <a16:creationId xmlns:a16="http://schemas.microsoft.com/office/drawing/2014/main" id="{65FEE690-D736-C88C-DE25-05A479D84ECF}"/>
            </a:ext>
          </a:extLst>
        </xdr:cNvPr>
        <xdr:cNvCxnSpPr/>
      </xdr:nvCxnSpPr>
      <xdr:spPr>
        <a:xfrm>
          <a:off x="9855328" y="18460721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110</xdr:row>
      <xdr:rowOff>177799</xdr:rowOff>
    </xdr:from>
    <xdr:to>
      <xdr:col>8</xdr:col>
      <xdr:colOff>127</xdr:colOff>
      <xdr:row>110</xdr:row>
      <xdr:rowOff>177799</xdr:rowOff>
    </xdr:to>
    <xdr:cxnSp macro="_xll.PtreeEvent_ObjectClick">
      <xdr:nvCxnSpPr>
        <xdr:cNvPr id="282" name="PTObj_DBranchHLine_3_50">
          <a:extLst>
            <a:ext uri="{FF2B5EF4-FFF2-40B4-BE49-F238E27FC236}">
              <a16:creationId xmlns:a16="http://schemas.microsoft.com/office/drawing/2014/main" id="{DE3AD263-BFCB-E57A-A055-EBE9C194EC23}"/>
            </a:ext>
          </a:extLst>
        </xdr:cNvPr>
        <xdr:cNvCxnSpPr/>
      </xdr:nvCxnSpPr>
      <xdr:spPr>
        <a:xfrm>
          <a:off x="10007728" y="18100039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110</xdr:row>
      <xdr:rowOff>177799</xdr:rowOff>
    </xdr:from>
    <xdr:to>
      <xdr:col>7</xdr:col>
      <xdr:colOff>238888</xdr:colOff>
      <xdr:row>112</xdr:row>
      <xdr:rowOff>172721</xdr:rowOff>
    </xdr:to>
    <xdr:cxnSp macro="_xll.PtreeEvent_ObjectClick">
      <xdr:nvCxnSpPr>
        <xdr:cNvPr id="281" name="PTObj_DBranchDLine_3_50">
          <a:extLst>
            <a:ext uri="{FF2B5EF4-FFF2-40B4-BE49-F238E27FC236}">
              <a16:creationId xmlns:a16="http://schemas.microsoft.com/office/drawing/2014/main" id="{BB9CE539-8E7E-4FDC-00C9-9E1B66105F86}"/>
            </a:ext>
          </a:extLst>
        </xdr:cNvPr>
        <xdr:cNvCxnSpPr/>
      </xdr:nvCxnSpPr>
      <xdr:spPr>
        <a:xfrm flipV="1">
          <a:off x="9855328" y="18100039"/>
          <a:ext cx="152400" cy="3606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112</xdr:row>
      <xdr:rowOff>177800</xdr:rowOff>
    </xdr:from>
    <xdr:to>
      <xdr:col>7</xdr:col>
      <xdr:colOff>127</xdr:colOff>
      <xdr:row>112</xdr:row>
      <xdr:rowOff>177800</xdr:rowOff>
    </xdr:to>
    <xdr:cxnSp macro="_xll.PtreeEvent_ObjectClick">
      <xdr:nvCxnSpPr>
        <xdr:cNvPr id="278" name="PTObj_DBranchHLine_3_49">
          <a:extLst>
            <a:ext uri="{FF2B5EF4-FFF2-40B4-BE49-F238E27FC236}">
              <a16:creationId xmlns:a16="http://schemas.microsoft.com/office/drawing/2014/main" id="{AEA5D6B8-EFBA-7501-77D5-A03C5EEEACEC}"/>
            </a:ext>
          </a:extLst>
        </xdr:cNvPr>
        <xdr:cNvCxnSpPr/>
      </xdr:nvCxnSpPr>
      <xdr:spPr>
        <a:xfrm>
          <a:off x="8476107" y="1846580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108</xdr:row>
      <xdr:rowOff>172720</xdr:rowOff>
    </xdr:from>
    <xdr:to>
      <xdr:col>6</xdr:col>
      <xdr:colOff>238887</xdr:colOff>
      <xdr:row>112</xdr:row>
      <xdr:rowOff>177800</xdr:rowOff>
    </xdr:to>
    <xdr:cxnSp macro="_xll.PtreeEvent_ObjectClick">
      <xdr:nvCxnSpPr>
        <xdr:cNvPr id="277" name="PTObj_DBranchDLine_3_49">
          <a:extLst>
            <a:ext uri="{FF2B5EF4-FFF2-40B4-BE49-F238E27FC236}">
              <a16:creationId xmlns:a16="http://schemas.microsoft.com/office/drawing/2014/main" id="{5900DD98-17B8-6D2E-EA57-1FDC4A0DA4BC}"/>
            </a:ext>
          </a:extLst>
        </xdr:cNvPr>
        <xdr:cNvCxnSpPr/>
      </xdr:nvCxnSpPr>
      <xdr:spPr>
        <a:xfrm>
          <a:off x="8323707" y="177292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106</xdr:row>
      <xdr:rowOff>177800</xdr:rowOff>
    </xdr:from>
    <xdr:to>
      <xdr:col>8</xdr:col>
      <xdr:colOff>127</xdr:colOff>
      <xdr:row>106</xdr:row>
      <xdr:rowOff>177800</xdr:rowOff>
    </xdr:to>
    <xdr:cxnSp macro="_xll.PtreeEvent_ObjectClick">
      <xdr:nvCxnSpPr>
        <xdr:cNvPr id="274" name="PTObj_DBranchHLine_3_48">
          <a:extLst>
            <a:ext uri="{FF2B5EF4-FFF2-40B4-BE49-F238E27FC236}">
              <a16:creationId xmlns:a16="http://schemas.microsoft.com/office/drawing/2014/main" id="{C55D5FA7-EB32-2F70-E2C0-4B6ACEB70EE1}"/>
            </a:ext>
          </a:extLst>
        </xdr:cNvPr>
        <xdr:cNvCxnSpPr/>
      </xdr:nvCxnSpPr>
      <xdr:spPr>
        <a:xfrm>
          <a:off x="10007728" y="1736852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104</xdr:row>
      <xdr:rowOff>172720</xdr:rowOff>
    </xdr:from>
    <xdr:to>
      <xdr:col>7</xdr:col>
      <xdr:colOff>238888</xdr:colOff>
      <xdr:row>106</xdr:row>
      <xdr:rowOff>177800</xdr:rowOff>
    </xdr:to>
    <xdr:cxnSp macro="_xll.PtreeEvent_ObjectClick">
      <xdr:nvCxnSpPr>
        <xdr:cNvPr id="273" name="PTObj_DBranchDLine_3_48">
          <a:extLst>
            <a:ext uri="{FF2B5EF4-FFF2-40B4-BE49-F238E27FC236}">
              <a16:creationId xmlns:a16="http://schemas.microsoft.com/office/drawing/2014/main" id="{B727DFFF-02AA-BC51-8124-6A5996551247}"/>
            </a:ext>
          </a:extLst>
        </xdr:cNvPr>
        <xdr:cNvCxnSpPr/>
      </xdr:nvCxnSpPr>
      <xdr:spPr>
        <a:xfrm>
          <a:off x="9855328" y="169976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102</xdr:row>
      <xdr:rowOff>177800</xdr:rowOff>
    </xdr:from>
    <xdr:to>
      <xdr:col>8</xdr:col>
      <xdr:colOff>127</xdr:colOff>
      <xdr:row>102</xdr:row>
      <xdr:rowOff>177800</xdr:rowOff>
    </xdr:to>
    <xdr:cxnSp macro="_xll.PtreeEvent_ObjectClick">
      <xdr:nvCxnSpPr>
        <xdr:cNvPr id="270" name="PTObj_DBranchHLine_3_47">
          <a:extLst>
            <a:ext uri="{FF2B5EF4-FFF2-40B4-BE49-F238E27FC236}">
              <a16:creationId xmlns:a16="http://schemas.microsoft.com/office/drawing/2014/main" id="{A104907B-2E18-28F1-3798-4083D96F7AAC}"/>
            </a:ext>
          </a:extLst>
        </xdr:cNvPr>
        <xdr:cNvCxnSpPr/>
      </xdr:nvCxnSpPr>
      <xdr:spPr>
        <a:xfrm>
          <a:off x="10007728" y="1663700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102</xdr:row>
      <xdr:rowOff>177800</xdr:rowOff>
    </xdr:from>
    <xdr:to>
      <xdr:col>7</xdr:col>
      <xdr:colOff>238888</xdr:colOff>
      <xdr:row>104</xdr:row>
      <xdr:rowOff>172720</xdr:rowOff>
    </xdr:to>
    <xdr:cxnSp macro="_xll.PtreeEvent_ObjectClick">
      <xdr:nvCxnSpPr>
        <xdr:cNvPr id="269" name="PTObj_DBranchDLine_3_47">
          <a:extLst>
            <a:ext uri="{FF2B5EF4-FFF2-40B4-BE49-F238E27FC236}">
              <a16:creationId xmlns:a16="http://schemas.microsoft.com/office/drawing/2014/main" id="{5F38586F-DB62-A36E-B939-E46CA691A1A7}"/>
            </a:ext>
          </a:extLst>
        </xdr:cNvPr>
        <xdr:cNvCxnSpPr/>
      </xdr:nvCxnSpPr>
      <xdr:spPr>
        <a:xfrm flipV="1">
          <a:off x="9855328" y="166370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104</xdr:row>
      <xdr:rowOff>177801</xdr:rowOff>
    </xdr:from>
    <xdr:to>
      <xdr:col>7</xdr:col>
      <xdr:colOff>127</xdr:colOff>
      <xdr:row>104</xdr:row>
      <xdr:rowOff>177801</xdr:rowOff>
    </xdr:to>
    <xdr:cxnSp macro="_xll.PtreeEvent_ObjectClick">
      <xdr:nvCxnSpPr>
        <xdr:cNvPr id="266" name="PTObj_DBranchHLine_3_46">
          <a:extLst>
            <a:ext uri="{FF2B5EF4-FFF2-40B4-BE49-F238E27FC236}">
              <a16:creationId xmlns:a16="http://schemas.microsoft.com/office/drawing/2014/main" id="{9EC2BDE7-04A2-DC7F-2885-714C683C618E}"/>
            </a:ext>
          </a:extLst>
        </xdr:cNvPr>
        <xdr:cNvCxnSpPr/>
      </xdr:nvCxnSpPr>
      <xdr:spPr>
        <a:xfrm>
          <a:off x="8476107" y="170027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104</xdr:row>
      <xdr:rowOff>177801</xdr:rowOff>
    </xdr:from>
    <xdr:to>
      <xdr:col>6</xdr:col>
      <xdr:colOff>238887</xdr:colOff>
      <xdr:row>108</xdr:row>
      <xdr:rowOff>172720</xdr:rowOff>
    </xdr:to>
    <xdr:cxnSp macro="_xll.PtreeEvent_ObjectClick">
      <xdr:nvCxnSpPr>
        <xdr:cNvPr id="265" name="PTObj_DBranchDLine_3_46">
          <a:extLst>
            <a:ext uri="{FF2B5EF4-FFF2-40B4-BE49-F238E27FC236}">
              <a16:creationId xmlns:a16="http://schemas.microsoft.com/office/drawing/2014/main" id="{3CA3CBFC-4E03-8FA3-2C11-1C9596D66767}"/>
            </a:ext>
          </a:extLst>
        </xdr:cNvPr>
        <xdr:cNvCxnSpPr/>
      </xdr:nvCxnSpPr>
      <xdr:spPr>
        <a:xfrm flipV="1">
          <a:off x="8323707" y="17002761"/>
          <a:ext cx="152400" cy="7264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68</xdr:row>
      <xdr:rowOff>177800</xdr:rowOff>
    </xdr:from>
    <xdr:to>
      <xdr:col>8</xdr:col>
      <xdr:colOff>127</xdr:colOff>
      <xdr:row>68</xdr:row>
      <xdr:rowOff>177800</xdr:rowOff>
    </xdr:to>
    <xdr:cxnSp macro="_xll.PtreeEvent_ObjectClick">
      <xdr:nvCxnSpPr>
        <xdr:cNvPr id="254" name="PTObj_DBranchHLine_3_45">
          <a:extLst>
            <a:ext uri="{FF2B5EF4-FFF2-40B4-BE49-F238E27FC236}">
              <a16:creationId xmlns:a16="http://schemas.microsoft.com/office/drawing/2014/main" id="{7B7DF495-575B-7660-F4E1-B82480B0750E}"/>
            </a:ext>
          </a:extLst>
        </xdr:cNvPr>
        <xdr:cNvCxnSpPr/>
      </xdr:nvCxnSpPr>
      <xdr:spPr>
        <a:xfrm>
          <a:off x="10007728" y="1261364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66</xdr:row>
      <xdr:rowOff>172720</xdr:rowOff>
    </xdr:from>
    <xdr:to>
      <xdr:col>7</xdr:col>
      <xdr:colOff>238888</xdr:colOff>
      <xdr:row>68</xdr:row>
      <xdr:rowOff>177800</xdr:rowOff>
    </xdr:to>
    <xdr:cxnSp macro="_xll.PtreeEvent_ObjectClick">
      <xdr:nvCxnSpPr>
        <xdr:cNvPr id="253" name="PTObj_DBranchDLine_3_45">
          <a:extLst>
            <a:ext uri="{FF2B5EF4-FFF2-40B4-BE49-F238E27FC236}">
              <a16:creationId xmlns:a16="http://schemas.microsoft.com/office/drawing/2014/main" id="{E7923625-DAC0-F084-BB63-33846BFFCFB1}"/>
            </a:ext>
          </a:extLst>
        </xdr:cNvPr>
        <xdr:cNvCxnSpPr/>
      </xdr:nvCxnSpPr>
      <xdr:spPr>
        <a:xfrm>
          <a:off x="9855328" y="122428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64</xdr:row>
      <xdr:rowOff>177800</xdr:rowOff>
    </xdr:from>
    <xdr:to>
      <xdr:col>8</xdr:col>
      <xdr:colOff>127</xdr:colOff>
      <xdr:row>64</xdr:row>
      <xdr:rowOff>177800</xdr:rowOff>
    </xdr:to>
    <xdr:cxnSp macro="_xll.PtreeEvent_ObjectClick">
      <xdr:nvCxnSpPr>
        <xdr:cNvPr id="250" name="PTObj_DBranchHLine_3_44">
          <a:extLst>
            <a:ext uri="{FF2B5EF4-FFF2-40B4-BE49-F238E27FC236}">
              <a16:creationId xmlns:a16="http://schemas.microsoft.com/office/drawing/2014/main" id="{C8F41836-3DE6-63A8-84CF-FBA111161D8F}"/>
            </a:ext>
          </a:extLst>
        </xdr:cNvPr>
        <xdr:cNvCxnSpPr/>
      </xdr:nvCxnSpPr>
      <xdr:spPr>
        <a:xfrm>
          <a:off x="10007728" y="1188212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64</xdr:row>
      <xdr:rowOff>177800</xdr:rowOff>
    </xdr:from>
    <xdr:to>
      <xdr:col>7</xdr:col>
      <xdr:colOff>238888</xdr:colOff>
      <xdr:row>66</xdr:row>
      <xdr:rowOff>172720</xdr:rowOff>
    </xdr:to>
    <xdr:cxnSp macro="_xll.PtreeEvent_ObjectClick">
      <xdr:nvCxnSpPr>
        <xdr:cNvPr id="249" name="PTObj_DBranchDLine_3_44">
          <a:extLst>
            <a:ext uri="{FF2B5EF4-FFF2-40B4-BE49-F238E27FC236}">
              <a16:creationId xmlns:a16="http://schemas.microsoft.com/office/drawing/2014/main" id="{DF67CFBE-E40A-9DB7-4CC7-929CD14B9FAE}"/>
            </a:ext>
          </a:extLst>
        </xdr:cNvPr>
        <xdr:cNvCxnSpPr/>
      </xdr:nvCxnSpPr>
      <xdr:spPr>
        <a:xfrm flipV="1">
          <a:off x="9855328" y="118821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66</xdr:row>
      <xdr:rowOff>177800</xdr:rowOff>
    </xdr:from>
    <xdr:to>
      <xdr:col>7</xdr:col>
      <xdr:colOff>127</xdr:colOff>
      <xdr:row>66</xdr:row>
      <xdr:rowOff>177800</xdr:rowOff>
    </xdr:to>
    <xdr:cxnSp macro="_xll.PtreeEvent_ObjectClick">
      <xdr:nvCxnSpPr>
        <xdr:cNvPr id="246" name="PTObj_DBranchHLine_3_43">
          <a:extLst>
            <a:ext uri="{FF2B5EF4-FFF2-40B4-BE49-F238E27FC236}">
              <a16:creationId xmlns:a16="http://schemas.microsoft.com/office/drawing/2014/main" id="{0B57DEE1-470D-2FF4-02E8-2EBB7A1D2FB1}"/>
            </a:ext>
          </a:extLst>
        </xdr:cNvPr>
        <xdr:cNvCxnSpPr/>
      </xdr:nvCxnSpPr>
      <xdr:spPr>
        <a:xfrm>
          <a:off x="8476107" y="122478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62</xdr:row>
      <xdr:rowOff>172720</xdr:rowOff>
    </xdr:from>
    <xdr:to>
      <xdr:col>6</xdr:col>
      <xdr:colOff>238887</xdr:colOff>
      <xdr:row>66</xdr:row>
      <xdr:rowOff>177800</xdr:rowOff>
    </xdr:to>
    <xdr:cxnSp macro="_xll.PtreeEvent_ObjectClick">
      <xdr:nvCxnSpPr>
        <xdr:cNvPr id="245" name="PTObj_DBranchDLine_3_43">
          <a:extLst>
            <a:ext uri="{FF2B5EF4-FFF2-40B4-BE49-F238E27FC236}">
              <a16:creationId xmlns:a16="http://schemas.microsoft.com/office/drawing/2014/main" id="{C94CD01A-B300-AF1F-585D-07B93516F8D4}"/>
            </a:ext>
          </a:extLst>
        </xdr:cNvPr>
        <xdr:cNvCxnSpPr/>
      </xdr:nvCxnSpPr>
      <xdr:spPr>
        <a:xfrm>
          <a:off x="8323707" y="115112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60</xdr:row>
      <xdr:rowOff>177800</xdr:rowOff>
    </xdr:from>
    <xdr:to>
      <xdr:col>8</xdr:col>
      <xdr:colOff>127</xdr:colOff>
      <xdr:row>60</xdr:row>
      <xdr:rowOff>177800</xdr:rowOff>
    </xdr:to>
    <xdr:cxnSp macro="_xll.PtreeEvent_ObjectClick">
      <xdr:nvCxnSpPr>
        <xdr:cNvPr id="242" name="PTObj_DBranchHLine_3_42">
          <a:extLst>
            <a:ext uri="{FF2B5EF4-FFF2-40B4-BE49-F238E27FC236}">
              <a16:creationId xmlns:a16="http://schemas.microsoft.com/office/drawing/2014/main" id="{3E8E4704-72F6-B27C-5000-9CEC36615127}"/>
            </a:ext>
          </a:extLst>
        </xdr:cNvPr>
        <xdr:cNvCxnSpPr/>
      </xdr:nvCxnSpPr>
      <xdr:spPr>
        <a:xfrm>
          <a:off x="10007728" y="1115060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58</xdr:row>
      <xdr:rowOff>172720</xdr:rowOff>
    </xdr:from>
    <xdr:to>
      <xdr:col>7</xdr:col>
      <xdr:colOff>238888</xdr:colOff>
      <xdr:row>60</xdr:row>
      <xdr:rowOff>177800</xdr:rowOff>
    </xdr:to>
    <xdr:cxnSp macro="_xll.PtreeEvent_ObjectClick">
      <xdr:nvCxnSpPr>
        <xdr:cNvPr id="241" name="PTObj_DBranchDLine_3_42">
          <a:extLst>
            <a:ext uri="{FF2B5EF4-FFF2-40B4-BE49-F238E27FC236}">
              <a16:creationId xmlns:a16="http://schemas.microsoft.com/office/drawing/2014/main" id="{4F1D6ED3-5232-EED7-2B1D-BBE932275CCB}"/>
            </a:ext>
          </a:extLst>
        </xdr:cNvPr>
        <xdr:cNvCxnSpPr/>
      </xdr:nvCxnSpPr>
      <xdr:spPr>
        <a:xfrm>
          <a:off x="9855328" y="10779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56</xdr:row>
      <xdr:rowOff>177800</xdr:rowOff>
    </xdr:from>
    <xdr:to>
      <xdr:col>8</xdr:col>
      <xdr:colOff>127</xdr:colOff>
      <xdr:row>56</xdr:row>
      <xdr:rowOff>177800</xdr:rowOff>
    </xdr:to>
    <xdr:cxnSp macro="_xll.PtreeEvent_ObjectClick">
      <xdr:nvCxnSpPr>
        <xdr:cNvPr id="238" name="PTObj_DBranchHLine_3_41">
          <a:extLst>
            <a:ext uri="{FF2B5EF4-FFF2-40B4-BE49-F238E27FC236}">
              <a16:creationId xmlns:a16="http://schemas.microsoft.com/office/drawing/2014/main" id="{612EAF30-839E-BBD2-DB7C-1F43FA7EEB55}"/>
            </a:ext>
          </a:extLst>
        </xdr:cNvPr>
        <xdr:cNvCxnSpPr/>
      </xdr:nvCxnSpPr>
      <xdr:spPr>
        <a:xfrm>
          <a:off x="10007728" y="1041908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56</xdr:row>
      <xdr:rowOff>177800</xdr:rowOff>
    </xdr:from>
    <xdr:to>
      <xdr:col>7</xdr:col>
      <xdr:colOff>238888</xdr:colOff>
      <xdr:row>58</xdr:row>
      <xdr:rowOff>172720</xdr:rowOff>
    </xdr:to>
    <xdr:cxnSp macro="_xll.PtreeEvent_ObjectClick">
      <xdr:nvCxnSpPr>
        <xdr:cNvPr id="237" name="PTObj_DBranchDLine_3_41">
          <a:extLst>
            <a:ext uri="{FF2B5EF4-FFF2-40B4-BE49-F238E27FC236}">
              <a16:creationId xmlns:a16="http://schemas.microsoft.com/office/drawing/2014/main" id="{D543AF51-0AE2-3753-EE35-5FE373856B6B}"/>
            </a:ext>
          </a:extLst>
        </xdr:cNvPr>
        <xdr:cNvCxnSpPr/>
      </xdr:nvCxnSpPr>
      <xdr:spPr>
        <a:xfrm flipV="1">
          <a:off x="9855328" y="10419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58</xdr:row>
      <xdr:rowOff>177800</xdr:rowOff>
    </xdr:from>
    <xdr:to>
      <xdr:col>7</xdr:col>
      <xdr:colOff>127</xdr:colOff>
      <xdr:row>58</xdr:row>
      <xdr:rowOff>177800</xdr:rowOff>
    </xdr:to>
    <xdr:cxnSp macro="_xll.PtreeEvent_ObjectClick">
      <xdr:nvCxnSpPr>
        <xdr:cNvPr id="234" name="PTObj_DBranchHLine_3_40">
          <a:extLst>
            <a:ext uri="{FF2B5EF4-FFF2-40B4-BE49-F238E27FC236}">
              <a16:creationId xmlns:a16="http://schemas.microsoft.com/office/drawing/2014/main" id="{5038A898-3ACE-9CF4-397C-6740545E538F}"/>
            </a:ext>
          </a:extLst>
        </xdr:cNvPr>
        <xdr:cNvCxnSpPr/>
      </xdr:nvCxnSpPr>
      <xdr:spPr>
        <a:xfrm>
          <a:off x="8476107" y="107848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58</xdr:row>
      <xdr:rowOff>177800</xdr:rowOff>
    </xdr:from>
    <xdr:to>
      <xdr:col>6</xdr:col>
      <xdr:colOff>238887</xdr:colOff>
      <xdr:row>62</xdr:row>
      <xdr:rowOff>172720</xdr:rowOff>
    </xdr:to>
    <xdr:cxnSp macro="_xll.PtreeEvent_ObjectClick">
      <xdr:nvCxnSpPr>
        <xdr:cNvPr id="233" name="PTObj_DBranchDLine_3_40">
          <a:extLst>
            <a:ext uri="{FF2B5EF4-FFF2-40B4-BE49-F238E27FC236}">
              <a16:creationId xmlns:a16="http://schemas.microsoft.com/office/drawing/2014/main" id="{AC3A8F69-739D-1130-95E0-41EF971C6CAA}"/>
            </a:ext>
          </a:extLst>
        </xdr:cNvPr>
        <xdr:cNvCxnSpPr/>
      </xdr:nvCxnSpPr>
      <xdr:spPr>
        <a:xfrm flipV="1">
          <a:off x="8323707" y="1078484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98</xdr:row>
      <xdr:rowOff>177800</xdr:rowOff>
    </xdr:from>
    <xdr:to>
      <xdr:col>8</xdr:col>
      <xdr:colOff>127</xdr:colOff>
      <xdr:row>98</xdr:row>
      <xdr:rowOff>177800</xdr:rowOff>
    </xdr:to>
    <xdr:cxnSp macro="_xll.PtreeEvent_ObjectClick">
      <xdr:nvCxnSpPr>
        <xdr:cNvPr id="222" name="PTObj_DBranchHLine_3_39">
          <a:extLst>
            <a:ext uri="{FF2B5EF4-FFF2-40B4-BE49-F238E27FC236}">
              <a16:creationId xmlns:a16="http://schemas.microsoft.com/office/drawing/2014/main" id="{C7C582C3-1764-FAA8-4C4E-74ECC806DD4C}"/>
            </a:ext>
          </a:extLst>
        </xdr:cNvPr>
        <xdr:cNvCxnSpPr/>
      </xdr:nvCxnSpPr>
      <xdr:spPr>
        <a:xfrm>
          <a:off x="10007728" y="1371092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96</xdr:row>
      <xdr:rowOff>172720</xdr:rowOff>
    </xdr:from>
    <xdr:to>
      <xdr:col>7</xdr:col>
      <xdr:colOff>238888</xdr:colOff>
      <xdr:row>98</xdr:row>
      <xdr:rowOff>177800</xdr:rowOff>
    </xdr:to>
    <xdr:cxnSp macro="_xll.PtreeEvent_ObjectClick">
      <xdr:nvCxnSpPr>
        <xdr:cNvPr id="221" name="PTObj_DBranchDLine_3_39">
          <a:extLst>
            <a:ext uri="{FF2B5EF4-FFF2-40B4-BE49-F238E27FC236}">
              <a16:creationId xmlns:a16="http://schemas.microsoft.com/office/drawing/2014/main" id="{9634B767-F30F-67B2-C586-6D120F8C92FA}"/>
            </a:ext>
          </a:extLst>
        </xdr:cNvPr>
        <xdr:cNvCxnSpPr/>
      </xdr:nvCxnSpPr>
      <xdr:spPr>
        <a:xfrm>
          <a:off x="9855328" y="133400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94</xdr:row>
      <xdr:rowOff>177800</xdr:rowOff>
    </xdr:from>
    <xdr:to>
      <xdr:col>8</xdr:col>
      <xdr:colOff>127</xdr:colOff>
      <xdr:row>94</xdr:row>
      <xdr:rowOff>177800</xdr:rowOff>
    </xdr:to>
    <xdr:cxnSp macro="_xll.PtreeEvent_ObjectClick">
      <xdr:nvCxnSpPr>
        <xdr:cNvPr id="218" name="PTObj_DBranchHLine_3_38">
          <a:extLst>
            <a:ext uri="{FF2B5EF4-FFF2-40B4-BE49-F238E27FC236}">
              <a16:creationId xmlns:a16="http://schemas.microsoft.com/office/drawing/2014/main" id="{116FBD3F-50C5-DC8D-082A-7656F90FC99F}"/>
            </a:ext>
          </a:extLst>
        </xdr:cNvPr>
        <xdr:cNvCxnSpPr/>
      </xdr:nvCxnSpPr>
      <xdr:spPr>
        <a:xfrm>
          <a:off x="10007728" y="1297940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94</xdr:row>
      <xdr:rowOff>177800</xdr:rowOff>
    </xdr:from>
    <xdr:to>
      <xdr:col>7</xdr:col>
      <xdr:colOff>238888</xdr:colOff>
      <xdr:row>96</xdr:row>
      <xdr:rowOff>172720</xdr:rowOff>
    </xdr:to>
    <xdr:cxnSp macro="_xll.PtreeEvent_ObjectClick">
      <xdr:nvCxnSpPr>
        <xdr:cNvPr id="217" name="PTObj_DBranchDLine_3_38">
          <a:extLst>
            <a:ext uri="{FF2B5EF4-FFF2-40B4-BE49-F238E27FC236}">
              <a16:creationId xmlns:a16="http://schemas.microsoft.com/office/drawing/2014/main" id="{0D738428-C1FC-5644-58E4-91A08DF0340A}"/>
            </a:ext>
          </a:extLst>
        </xdr:cNvPr>
        <xdr:cNvCxnSpPr/>
      </xdr:nvCxnSpPr>
      <xdr:spPr>
        <a:xfrm flipV="1">
          <a:off x="9855328" y="129794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96</xdr:row>
      <xdr:rowOff>177801</xdr:rowOff>
    </xdr:from>
    <xdr:to>
      <xdr:col>7</xdr:col>
      <xdr:colOff>127</xdr:colOff>
      <xdr:row>96</xdr:row>
      <xdr:rowOff>177801</xdr:rowOff>
    </xdr:to>
    <xdr:cxnSp macro="_xll.PtreeEvent_ObjectClick">
      <xdr:nvCxnSpPr>
        <xdr:cNvPr id="214" name="PTObj_DBranchHLine_3_37">
          <a:extLst>
            <a:ext uri="{FF2B5EF4-FFF2-40B4-BE49-F238E27FC236}">
              <a16:creationId xmlns:a16="http://schemas.microsoft.com/office/drawing/2014/main" id="{994D4366-E87F-803E-5CC6-659DAC3B41F8}"/>
            </a:ext>
          </a:extLst>
        </xdr:cNvPr>
        <xdr:cNvCxnSpPr/>
      </xdr:nvCxnSpPr>
      <xdr:spPr>
        <a:xfrm>
          <a:off x="8476107" y="13345161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92</xdr:row>
      <xdr:rowOff>172720</xdr:rowOff>
    </xdr:from>
    <xdr:to>
      <xdr:col>6</xdr:col>
      <xdr:colOff>238887</xdr:colOff>
      <xdr:row>96</xdr:row>
      <xdr:rowOff>177801</xdr:rowOff>
    </xdr:to>
    <xdr:cxnSp macro="_xll.PtreeEvent_ObjectClick">
      <xdr:nvCxnSpPr>
        <xdr:cNvPr id="213" name="PTObj_DBranchDLine_3_37">
          <a:extLst>
            <a:ext uri="{FF2B5EF4-FFF2-40B4-BE49-F238E27FC236}">
              <a16:creationId xmlns:a16="http://schemas.microsoft.com/office/drawing/2014/main" id="{9CACC1F3-3ED9-E098-23B0-0D996DFD3784}"/>
            </a:ext>
          </a:extLst>
        </xdr:cNvPr>
        <xdr:cNvCxnSpPr/>
      </xdr:nvCxnSpPr>
      <xdr:spPr>
        <a:xfrm>
          <a:off x="8323707" y="12608560"/>
          <a:ext cx="152400" cy="73660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90</xdr:row>
      <xdr:rowOff>177800</xdr:rowOff>
    </xdr:from>
    <xdr:to>
      <xdr:col>8</xdr:col>
      <xdr:colOff>127</xdr:colOff>
      <xdr:row>90</xdr:row>
      <xdr:rowOff>177800</xdr:rowOff>
    </xdr:to>
    <xdr:cxnSp macro="_xll.PtreeEvent_ObjectClick">
      <xdr:nvCxnSpPr>
        <xdr:cNvPr id="210" name="PTObj_DBranchHLine_3_36">
          <a:extLst>
            <a:ext uri="{FF2B5EF4-FFF2-40B4-BE49-F238E27FC236}">
              <a16:creationId xmlns:a16="http://schemas.microsoft.com/office/drawing/2014/main" id="{C9575E00-412C-5272-C270-8DBB450C60CD}"/>
            </a:ext>
          </a:extLst>
        </xdr:cNvPr>
        <xdr:cNvCxnSpPr/>
      </xdr:nvCxnSpPr>
      <xdr:spPr>
        <a:xfrm>
          <a:off x="10007728" y="1224788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88</xdr:row>
      <xdr:rowOff>172721</xdr:rowOff>
    </xdr:from>
    <xdr:to>
      <xdr:col>7</xdr:col>
      <xdr:colOff>238888</xdr:colOff>
      <xdr:row>90</xdr:row>
      <xdr:rowOff>177800</xdr:rowOff>
    </xdr:to>
    <xdr:cxnSp macro="_xll.PtreeEvent_ObjectClick">
      <xdr:nvCxnSpPr>
        <xdr:cNvPr id="209" name="PTObj_DBranchDLine_3_36">
          <a:extLst>
            <a:ext uri="{FF2B5EF4-FFF2-40B4-BE49-F238E27FC236}">
              <a16:creationId xmlns:a16="http://schemas.microsoft.com/office/drawing/2014/main" id="{C1A94254-5054-87EB-8B12-F13D4FCF690D}"/>
            </a:ext>
          </a:extLst>
        </xdr:cNvPr>
        <xdr:cNvCxnSpPr/>
      </xdr:nvCxnSpPr>
      <xdr:spPr>
        <a:xfrm>
          <a:off x="9855328" y="118770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86</xdr:row>
      <xdr:rowOff>177800</xdr:rowOff>
    </xdr:from>
    <xdr:to>
      <xdr:col>8</xdr:col>
      <xdr:colOff>127</xdr:colOff>
      <xdr:row>86</xdr:row>
      <xdr:rowOff>177800</xdr:rowOff>
    </xdr:to>
    <xdr:cxnSp macro="_xll.PtreeEvent_ObjectClick">
      <xdr:nvCxnSpPr>
        <xdr:cNvPr id="206" name="PTObj_DBranchHLine_3_35">
          <a:extLst>
            <a:ext uri="{FF2B5EF4-FFF2-40B4-BE49-F238E27FC236}">
              <a16:creationId xmlns:a16="http://schemas.microsoft.com/office/drawing/2014/main" id="{C13CBEB1-9550-3544-F4F0-7A9519E5F7C0}"/>
            </a:ext>
          </a:extLst>
        </xdr:cNvPr>
        <xdr:cNvCxnSpPr/>
      </xdr:nvCxnSpPr>
      <xdr:spPr>
        <a:xfrm>
          <a:off x="10007728" y="1151636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86</xdr:row>
      <xdr:rowOff>177800</xdr:rowOff>
    </xdr:from>
    <xdr:to>
      <xdr:col>7</xdr:col>
      <xdr:colOff>238888</xdr:colOff>
      <xdr:row>88</xdr:row>
      <xdr:rowOff>172721</xdr:rowOff>
    </xdr:to>
    <xdr:cxnSp macro="_xll.PtreeEvent_ObjectClick">
      <xdr:nvCxnSpPr>
        <xdr:cNvPr id="205" name="PTObj_DBranchDLine_3_35">
          <a:extLst>
            <a:ext uri="{FF2B5EF4-FFF2-40B4-BE49-F238E27FC236}">
              <a16:creationId xmlns:a16="http://schemas.microsoft.com/office/drawing/2014/main" id="{594DB206-9A0E-1086-788A-B26632C4E9CB}"/>
            </a:ext>
          </a:extLst>
        </xdr:cNvPr>
        <xdr:cNvCxnSpPr/>
      </xdr:nvCxnSpPr>
      <xdr:spPr>
        <a:xfrm flipV="1">
          <a:off x="9855328" y="11516360"/>
          <a:ext cx="152400" cy="360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88</xdr:row>
      <xdr:rowOff>177800</xdr:rowOff>
    </xdr:from>
    <xdr:to>
      <xdr:col>7</xdr:col>
      <xdr:colOff>127</xdr:colOff>
      <xdr:row>88</xdr:row>
      <xdr:rowOff>177800</xdr:rowOff>
    </xdr:to>
    <xdr:cxnSp macro="_xll.PtreeEvent_ObjectClick">
      <xdr:nvCxnSpPr>
        <xdr:cNvPr id="202" name="PTObj_DBranchHLine_3_34">
          <a:extLst>
            <a:ext uri="{FF2B5EF4-FFF2-40B4-BE49-F238E27FC236}">
              <a16:creationId xmlns:a16="http://schemas.microsoft.com/office/drawing/2014/main" id="{EA29010F-8580-7A8F-D1D9-677FAF0FE593}"/>
            </a:ext>
          </a:extLst>
        </xdr:cNvPr>
        <xdr:cNvCxnSpPr/>
      </xdr:nvCxnSpPr>
      <xdr:spPr>
        <a:xfrm>
          <a:off x="8476107" y="118821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88</xdr:row>
      <xdr:rowOff>177800</xdr:rowOff>
    </xdr:from>
    <xdr:to>
      <xdr:col>6</xdr:col>
      <xdr:colOff>238887</xdr:colOff>
      <xdr:row>92</xdr:row>
      <xdr:rowOff>172720</xdr:rowOff>
    </xdr:to>
    <xdr:cxnSp macro="_xll.PtreeEvent_ObjectClick">
      <xdr:nvCxnSpPr>
        <xdr:cNvPr id="201" name="PTObj_DBranchDLine_3_34">
          <a:extLst>
            <a:ext uri="{FF2B5EF4-FFF2-40B4-BE49-F238E27FC236}">
              <a16:creationId xmlns:a16="http://schemas.microsoft.com/office/drawing/2014/main" id="{8135CE1D-B51A-563C-868C-30C2D3B64ED7}"/>
            </a:ext>
          </a:extLst>
        </xdr:cNvPr>
        <xdr:cNvCxnSpPr/>
      </xdr:nvCxnSpPr>
      <xdr:spPr>
        <a:xfrm flipV="1">
          <a:off x="8323707" y="1188212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52</xdr:row>
      <xdr:rowOff>177800</xdr:rowOff>
    </xdr:from>
    <xdr:to>
      <xdr:col>8</xdr:col>
      <xdr:colOff>127</xdr:colOff>
      <xdr:row>52</xdr:row>
      <xdr:rowOff>177800</xdr:rowOff>
    </xdr:to>
    <xdr:cxnSp macro="_xll.PtreeEvent_ObjectClick">
      <xdr:nvCxnSpPr>
        <xdr:cNvPr id="190" name="PTObj_DBranchHLine_3_33">
          <a:extLst>
            <a:ext uri="{FF2B5EF4-FFF2-40B4-BE49-F238E27FC236}">
              <a16:creationId xmlns:a16="http://schemas.microsoft.com/office/drawing/2014/main" id="{C5FB87AD-7D36-6CA0-1A90-ED9A9469B201}"/>
            </a:ext>
          </a:extLst>
        </xdr:cNvPr>
        <xdr:cNvCxnSpPr/>
      </xdr:nvCxnSpPr>
      <xdr:spPr>
        <a:xfrm>
          <a:off x="10007728" y="968756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50</xdr:row>
      <xdr:rowOff>172720</xdr:rowOff>
    </xdr:from>
    <xdr:to>
      <xdr:col>7</xdr:col>
      <xdr:colOff>238888</xdr:colOff>
      <xdr:row>52</xdr:row>
      <xdr:rowOff>177800</xdr:rowOff>
    </xdr:to>
    <xdr:cxnSp macro="_xll.PtreeEvent_ObjectClick">
      <xdr:nvCxnSpPr>
        <xdr:cNvPr id="189" name="PTObj_DBranchDLine_3_33">
          <a:extLst>
            <a:ext uri="{FF2B5EF4-FFF2-40B4-BE49-F238E27FC236}">
              <a16:creationId xmlns:a16="http://schemas.microsoft.com/office/drawing/2014/main" id="{38D9891A-A1FE-9CCA-4CAB-D992CE4C5C1F}"/>
            </a:ext>
          </a:extLst>
        </xdr:cNvPr>
        <xdr:cNvCxnSpPr/>
      </xdr:nvCxnSpPr>
      <xdr:spPr>
        <a:xfrm>
          <a:off x="9855328" y="93167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48</xdr:row>
      <xdr:rowOff>177800</xdr:rowOff>
    </xdr:from>
    <xdr:to>
      <xdr:col>8</xdr:col>
      <xdr:colOff>127</xdr:colOff>
      <xdr:row>48</xdr:row>
      <xdr:rowOff>177800</xdr:rowOff>
    </xdr:to>
    <xdr:cxnSp macro="_xll.PtreeEvent_ObjectClick">
      <xdr:nvCxnSpPr>
        <xdr:cNvPr id="186" name="PTObj_DBranchHLine_3_32">
          <a:extLst>
            <a:ext uri="{FF2B5EF4-FFF2-40B4-BE49-F238E27FC236}">
              <a16:creationId xmlns:a16="http://schemas.microsoft.com/office/drawing/2014/main" id="{92E67FF2-DF7C-72F5-1D93-A43BC0EE845F}"/>
            </a:ext>
          </a:extLst>
        </xdr:cNvPr>
        <xdr:cNvCxnSpPr/>
      </xdr:nvCxnSpPr>
      <xdr:spPr>
        <a:xfrm>
          <a:off x="10007728" y="895604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48</xdr:row>
      <xdr:rowOff>177800</xdr:rowOff>
    </xdr:from>
    <xdr:to>
      <xdr:col>7</xdr:col>
      <xdr:colOff>238888</xdr:colOff>
      <xdr:row>50</xdr:row>
      <xdr:rowOff>172720</xdr:rowOff>
    </xdr:to>
    <xdr:cxnSp macro="_xll.PtreeEvent_ObjectClick">
      <xdr:nvCxnSpPr>
        <xdr:cNvPr id="185" name="PTObj_DBranchDLine_3_32">
          <a:extLst>
            <a:ext uri="{FF2B5EF4-FFF2-40B4-BE49-F238E27FC236}">
              <a16:creationId xmlns:a16="http://schemas.microsoft.com/office/drawing/2014/main" id="{6D0F97B2-13DC-9AD7-29C9-2E462FBB9164}"/>
            </a:ext>
          </a:extLst>
        </xdr:cNvPr>
        <xdr:cNvCxnSpPr/>
      </xdr:nvCxnSpPr>
      <xdr:spPr>
        <a:xfrm flipV="1">
          <a:off x="9855328" y="89560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50</xdr:row>
      <xdr:rowOff>177800</xdr:rowOff>
    </xdr:from>
    <xdr:to>
      <xdr:col>7</xdr:col>
      <xdr:colOff>127</xdr:colOff>
      <xdr:row>50</xdr:row>
      <xdr:rowOff>177800</xdr:rowOff>
    </xdr:to>
    <xdr:cxnSp macro="_xll.PtreeEvent_ObjectClick">
      <xdr:nvCxnSpPr>
        <xdr:cNvPr id="182" name="PTObj_DBranchHLine_3_31">
          <a:extLst>
            <a:ext uri="{FF2B5EF4-FFF2-40B4-BE49-F238E27FC236}">
              <a16:creationId xmlns:a16="http://schemas.microsoft.com/office/drawing/2014/main" id="{E7AB64F5-0614-1EB6-45E3-540FDF93CD14}"/>
            </a:ext>
          </a:extLst>
        </xdr:cNvPr>
        <xdr:cNvCxnSpPr/>
      </xdr:nvCxnSpPr>
      <xdr:spPr>
        <a:xfrm>
          <a:off x="8476107" y="932180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46</xdr:row>
      <xdr:rowOff>172720</xdr:rowOff>
    </xdr:from>
    <xdr:to>
      <xdr:col>6</xdr:col>
      <xdr:colOff>238887</xdr:colOff>
      <xdr:row>50</xdr:row>
      <xdr:rowOff>177800</xdr:rowOff>
    </xdr:to>
    <xdr:cxnSp macro="_xll.PtreeEvent_ObjectClick">
      <xdr:nvCxnSpPr>
        <xdr:cNvPr id="181" name="PTObj_DBranchDLine_3_31">
          <a:extLst>
            <a:ext uri="{FF2B5EF4-FFF2-40B4-BE49-F238E27FC236}">
              <a16:creationId xmlns:a16="http://schemas.microsoft.com/office/drawing/2014/main" id="{83EA8F4F-CF0A-FD96-10B0-CB9B78F83FE8}"/>
            </a:ext>
          </a:extLst>
        </xdr:cNvPr>
        <xdr:cNvCxnSpPr/>
      </xdr:nvCxnSpPr>
      <xdr:spPr>
        <a:xfrm>
          <a:off x="8323707" y="85852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44</xdr:row>
      <xdr:rowOff>177800</xdr:rowOff>
    </xdr:from>
    <xdr:to>
      <xdr:col>8</xdr:col>
      <xdr:colOff>127</xdr:colOff>
      <xdr:row>44</xdr:row>
      <xdr:rowOff>177800</xdr:rowOff>
    </xdr:to>
    <xdr:cxnSp macro="_xll.PtreeEvent_ObjectClick">
      <xdr:nvCxnSpPr>
        <xdr:cNvPr id="178" name="PTObj_DBranchHLine_3_30">
          <a:extLst>
            <a:ext uri="{FF2B5EF4-FFF2-40B4-BE49-F238E27FC236}">
              <a16:creationId xmlns:a16="http://schemas.microsoft.com/office/drawing/2014/main" id="{47A6A75E-2437-AB3F-4B3C-D6C3F5B53259}"/>
            </a:ext>
          </a:extLst>
        </xdr:cNvPr>
        <xdr:cNvCxnSpPr/>
      </xdr:nvCxnSpPr>
      <xdr:spPr>
        <a:xfrm>
          <a:off x="10007728" y="822452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42</xdr:row>
      <xdr:rowOff>172720</xdr:rowOff>
    </xdr:from>
    <xdr:to>
      <xdr:col>7</xdr:col>
      <xdr:colOff>238888</xdr:colOff>
      <xdr:row>44</xdr:row>
      <xdr:rowOff>177800</xdr:rowOff>
    </xdr:to>
    <xdr:cxnSp macro="_xll.PtreeEvent_ObjectClick">
      <xdr:nvCxnSpPr>
        <xdr:cNvPr id="177" name="PTObj_DBranchDLine_3_30">
          <a:extLst>
            <a:ext uri="{FF2B5EF4-FFF2-40B4-BE49-F238E27FC236}">
              <a16:creationId xmlns:a16="http://schemas.microsoft.com/office/drawing/2014/main" id="{895B5266-2108-7E3B-EED1-989975A8CF6A}"/>
            </a:ext>
          </a:extLst>
        </xdr:cNvPr>
        <xdr:cNvCxnSpPr/>
      </xdr:nvCxnSpPr>
      <xdr:spPr>
        <a:xfrm>
          <a:off x="9855328" y="78536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238888</xdr:colOff>
      <xdr:row>40</xdr:row>
      <xdr:rowOff>177800</xdr:rowOff>
    </xdr:from>
    <xdr:to>
      <xdr:col>8</xdr:col>
      <xdr:colOff>127</xdr:colOff>
      <xdr:row>40</xdr:row>
      <xdr:rowOff>177800</xdr:rowOff>
    </xdr:to>
    <xdr:cxnSp macro="_xll.PtreeEvent_ObjectClick">
      <xdr:nvCxnSpPr>
        <xdr:cNvPr id="174" name="PTObj_DBranchHLine_3_29">
          <a:extLst>
            <a:ext uri="{FF2B5EF4-FFF2-40B4-BE49-F238E27FC236}">
              <a16:creationId xmlns:a16="http://schemas.microsoft.com/office/drawing/2014/main" id="{01E5AB9B-3817-5340-4CDA-EAB5BD56CE80}"/>
            </a:ext>
          </a:extLst>
        </xdr:cNvPr>
        <xdr:cNvCxnSpPr/>
      </xdr:nvCxnSpPr>
      <xdr:spPr>
        <a:xfrm>
          <a:off x="10007728" y="7493000"/>
          <a:ext cx="128523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86488</xdr:colOff>
      <xdr:row>40</xdr:row>
      <xdr:rowOff>177800</xdr:rowOff>
    </xdr:from>
    <xdr:to>
      <xdr:col>7</xdr:col>
      <xdr:colOff>238888</xdr:colOff>
      <xdr:row>42</xdr:row>
      <xdr:rowOff>172720</xdr:rowOff>
    </xdr:to>
    <xdr:cxnSp macro="_xll.PtreeEvent_ObjectClick">
      <xdr:nvCxnSpPr>
        <xdr:cNvPr id="173" name="PTObj_DBranchDLine_3_29">
          <a:extLst>
            <a:ext uri="{FF2B5EF4-FFF2-40B4-BE49-F238E27FC236}">
              <a16:creationId xmlns:a16="http://schemas.microsoft.com/office/drawing/2014/main" id="{5FC49DC3-4CF1-BF32-8CBF-922EC39FCB31}"/>
            </a:ext>
          </a:extLst>
        </xdr:cNvPr>
        <xdr:cNvCxnSpPr/>
      </xdr:nvCxnSpPr>
      <xdr:spPr>
        <a:xfrm flipV="1">
          <a:off x="9855328" y="74930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42</xdr:row>
      <xdr:rowOff>177800</xdr:rowOff>
    </xdr:from>
    <xdr:to>
      <xdr:col>7</xdr:col>
      <xdr:colOff>127</xdr:colOff>
      <xdr:row>42</xdr:row>
      <xdr:rowOff>177800</xdr:rowOff>
    </xdr:to>
    <xdr:cxnSp macro="_xll.PtreeEvent_ObjectClick">
      <xdr:nvCxnSpPr>
        <xdr:cNvPr id="170" name="PTObj_DBranchHLine_3_28">
          <a:extLst>
            <a:ext uri="{FF2B5EF4-FFF2-40B4-BE49-F238E27FC236}">
              <a16:creationId xmlns:a16="http://schemas.microsoft.com/office/drawing/2014/main" id="{21867839-6FE4-A98B-922C-BCA07A100B7A}"/>
            </a:ext>
          </a:extLst>
        </xdr:cNvPr>
        <xdr:cNvCxnSpPr/>
      </xdr:nvCxnSpPr>
      <xdr:spPr>
        <a:xfrm>
          <a:off x="8476107" y="78587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42</xdr:row>
      <xdr:rowOff>177800</xdr:rowOff>
    </xdr:from>
    <xdr:to>
      <xdr:col>6</xdr:col>
      <xdr:colOff>238887</xdr:colOff>
      <xdr:row>46</xdr:row>
      <xdr:rowOff>172720</xdr:rowOff>
    </xdr:to>
    <xdr:cxnSp macro="_xll.PtreeEvent_ObjectClick">
      <xdr:nvCxnSpPr>
        <xdr:cNvPr id="169" name="PTObj_DBranchDLine_3_28">
          <a:extLst>
            <a:ext uri="{FF2B5EF4-FFF2-40B4-BE49-F238E27FC236}">
              <a16:creationId xmlns:a16="http://schemas.microsoft.com/office/drawing/2014/main" id="{3F5C568B-CA49-4594-7C04-43D57B62D40F}"/>
            </a:ext>
          </a:extLst>
        </xdr:cNvPr>
        <xdr:cNvCxnSpPr/>
      </xdr:nvCxnSpPr>
      <xdr:spPr>
        <a:xfrm flipV="1">
          <a:off x="8323707" y="785876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36</xdr:row>
      <xdr:rowOff>177800</xdr:rowOff>
    </xdr:from>
    <xdr:to>
      <xdr:col>7</xdr:col>
      <xdr:colOff>127</xdr:colOff>
      <xdr:row>36</xdr:row>
      <xdr:rowOff>177800</xdr:rowOff>
    </xdr:to>
    <xdr:cxnSp macro="_xll.PtreeEvent_ObjectClick">
      <xdr:nvCxnSpPr>
        <xdr:cNvPr id="110" name="PTObj_DBranchHLine_3_19">
          <a:extLst>
            <a:ext uri="{FF2B5EF4-FFF2-40B4-BE49-F238E27FC236}">
              <a16:creationId xmlns:a16="http://schemas.microsoft.com/office/drawing/2014/main" id="{E66A999F-75C2-724E-6A93-012A5FBB1F90}"/>
            </a:ext>
          </a:extLst>
        </xdr:cNvPr>
        <xdr:cNvCxnSpPr/>
      </xdr:nvCxnSpPr>
      <xdr:spPr>
        <a:xfrm>
          <a:off x="8468487" y="67614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34</xdr:row>
      <xdr:rowOff>172720</xdr:rowOff>
    </xdr:from>
    <xdr:to>
      <xdr:col>6</xdr:col>
      <xdr:colOff>238887</xdr:colOff>
      <xdr:row>36</xdr:row>
      <xdr:rowOff>177800</xdr:rowOff>
    </xdr:to>
    <xdr:cxnSp macro="_xll.PtreeEvent_ObjectClick">
      <xdr:nvCxnSpPr>
        <xdr:cNvPr id="109" name="PTObj_DBranchDLine_3_19">
          <a:extLst>
            <a:ext uri="{FF2B5EF4-FFF2-40B4-BE49-F238E27FC236}">
              <a16:creationId xmlns:a16="http://schemas.microsoft.com/office/drawing/2014/main" id="{9D6C5ECA-E068-94E7-4D48-C692BDB9C1A5}"/>
            </a:ext>
          </a:extLst>
        </xdr:cNvPr>
        <xdr:cNvCxnSpPr/>
      </xdr:nvCxnSpPr>
      <xdr:spPr>
        <a:xfrm>
          <a:off x="8316087" y="63906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32</xdr:row>
      <xdr:rowOff>177800</xdr:rowOff>
    </xdr:from>
    <xdr:to>
      <xdr:col>7</xdr:col>
      <xdr:colOff>127</xdr:colOff>
      <xdr:row>32</xdr:row>
      <xdr:rowOff>177800</xdr:rowOff>
    </xdr:to>
    <xdr:cxnSp macro="_xll.PtreeEvent_ObjectClick">
      <xdr:nvCxnSpPr>
        <xdr:cNvPr id="106" name="PTObj_DBranchHLine_3_18">
          <a:extLst>
            <a:ext uri="{FF2B5EF4-FFF2-40B4-BE49-F238E27FC236}">
              <a16:creationId xmlns:a16="http://schemas.microsoft.com/office/drawing/2014/main" id="{B10012ED-A407-F278-0F73-7F96D0BAA7CB}"/>
            </a:ext>
          </a:extLst>
        </xdr:cNvPr>
        <xdr:cNvCxnSpPr/>
      </xdr:nvCxnSpPr>
      <xdr:spPr>
        <a:xfrm>
          <a:off x="8468487" y="60299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32</xdr:row>
      <xdr:rowOff>177800</xdr:rowOff>
    </xdr:from>
    <xdr:to>
      <xdr:col>6</xdr:col>
      <xdr:colOff>238887</xdr:colOff>
      <xdr:row>34</xdr:row>
      <xdr:rowOff>172720</xdr:rowOff>
    </xdr:to>
    <xdr:cxnSp macro="_xll.PtreeEvent_ObjectClick">
      <xdr:nvCxnSpPr>
        <xdr:cNvPr id="105" name="PTObj_DBranchDLine_3_18">
          <a:extLst>
            <a:ext uri="{FF2B5EF4-FFF2-40B4-BE49-F238E27FC236}">
              <a16:creationId xmlns:a16="http://schemas.microsoft.com/office/drawing/2014/main" id="{F229C26F-8E4F-CF30-E068-53CF138D2A37}"/>
            </a:ext>
          </a:extLst>
        </xdr:cNvPr>
        <xdr:cNvCxnSpPr/>
      </xdr:nvCxnSpPr>
      <xdr:spPr>
        <a:xfrm flipV="1">
          <a:off x="8316087" y="60299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34</xdr:row>
      <xdr:rowOff>177800</xdr:rowOff>
    </xdr:from>
    <xdr:to>
      <xdr:col>6</xdr:col>
      <xdr:colOff>127</xdr:colOff>
      <xdr:row>34</xdr:row>
      <xdr:rowOff>177800</xdr:rowOff>
    </xdr:to>
    <xdr:cxnSp macro="_xll.PtreeEvent_ObjectClick">
      <xdr:nvCxnSpPr>
        <xdr:cNvPr id="102" name="PTObj_DBranchHLine_3_17">
          <a:extLst>
            <a:ext uri="{FF2B5EF4-FFF2-40B4-BE49-F238E27FC236}">
              <a16:creationId xmlns:a16="http://schemas.microsoft.com/office/drawing/2014/main" id="{07C173E6-1EC2-4993-E69C-A0621C2FCA32}"/>
            </a:ext>
          </a:extLst>
        </xdr:cNvPr>
        <xdr:cNvCxnSpPr/>
      </xdr:nvCxnSpPr>
      <xdr:spPr>
        <a:xfrm>
          <a:off x="6936867" y="63957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30</xdr:row>
      <xdr:rowOff>172720</xdr:rowOff>
    </xdr:from>
    <xdr:to>
      <xdr:col>5</xdr:col>
      <xdr:colOff>238887</xdr:colOff>
      <xdr:row>34</xdr:row>
      <xdr:rowOff>177800</xdr:rowOff>
    </xdr:to>
    <xdr:cxnSp macro="_xll.PtreeEvent_ObjectClick">
      <xdr:nvCxnSpPr>
        <xdr:cNvPr id="101" name="PTObj_DBranchDLine_3_17">
          <a:extLst>
            <a:ext uri="{FF2B5EF4-FFF2-40B4-BE49-F238E27FC236}">
              <a16:creationId xmlns:a16="http://schemas.microsoft.com/office/drawing/2014/main" id="{291088F0-77BC-AE3D-541F-FF8AC579CA15}"/>
            </a:ext>
          </a:extLst>
        </xdr:cNvPr>
        <xdr:cNvCxnSpPr/>
      </xdr:nvCxnSpPr>
      <xdr:spPr>
        <a:xfrm>
          <a:off x="6784467" y="56591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28</xdr:row>
      <xdr:rowOff>177800</xdr:rowOff>
    </xdr:from>
    <xdr:to>
      <xdr:col>7</xdr:col>
      <xdr:colOff>127</xdr:colOff>
      <xdr:row>28</xdr:row>
      <xdr:rowOff>177800</xdr:rowOff>
    </xdr:to>
    <xdr:cxnSp macro="_xll.PtreeEvent_ObjectClick">
      <xdr:nvCxnSpPr>
        <xdr:cNvPr id="98" name="PTObj_DBranchHLine_3_16">
          <a:extLst>
            <a:ext uri="{FF2B5EF4-FFF2-40B4-BE49-F238E27FC236}">
              <a16:creationId xmlns:a16="http://schemas.microsoft.com/office/drawing/2014/main" id="{141450AD-22A5-CFAF-C2C7-35DC9751AB0B}"/>
            </a:ext>
          </a:extLst>
        </xdr:cNvPr>
        <xdr:cNvCxnSpPr/>
      </xdr:nvCxnSpPr>
      <xdr:spPr>
        <a:xfrm>
          <a:off x="8468487" y="52984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26</xdr:row>
      <xdr:rowOff>172720</xdr:rowOff>
    </xdr:from>
    <xdr:to>
      <xdr:col>6</xdr:col>
      <xdr:colOff>238887</xdr:colOff>
      <xdr:row>28</xdr:row>
      <xdr:rowOff>177800</xdr:rowOff>
    </xdr:to>
    <xdr:cxnSp macro="_xll.PtreeEvent_ObjectClick">
      <xdr:nvCxnSpPr>
        <xdr:cNvPr id="97" name="PTObj_DBranchDLine_3_16">
          <a:extLst>
            <a:ext uri="{FF2B5EF4-FFF2-40B4-BE49-F238E27FC236}">
              <a16:creationId xmlns:a16="http://schemas.microsoft.com/office/drawing/2014/main" id="{20E16654-D717-F2BD-71F0-F6C15768EB2C}"/>
            </a:ext>
          </a:extLst>
        </xdr:cNvPr>
        <xdr:cNvCxnSpPr/>
      </xdr:nvCxnSpPr>
      <xdr:spPr>
        <a:xfrm>
          <a:off x="8316087" y="49276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24</xdr:row>
      <xdr:rowOff>177800</xdr:rowOff>
    </xdr:from>
    <xdr:to>
      <xdr:col>7</xdr:col>
      <xdr:colOff>127</xdr:colOff>
      <xdr:row>24</xdr:row>
      <xdr:rowOff>177800</xdr:rowOff>
    </xdr:to>
    <xdr:cxnSp macro="_xll.PtreeEvent_ObjectClick">
      <xdr:nvCxnSpPr>
        <xdr:cNvPr id="94" name="PTObj_DBranchHLine_3_15">
          <a:extLst>
            <a:ext uri="{FF2B5EF4-FFF2-40B4-BE49-F238E27FC236}">
              <a16:creationId xmlns:a16="http://schemas.microsoft.com/office/drawing/2014/main" id="{5EF51BB9-C58D-FDB9-A7E0-52A1812327EA}"/>
            </a:ext>
          </a:extLst>
        </xdr:cNvPr>
        <xdr:cNvCxnSpPr/>
      </xdr:nvCxnSpPr>
      <xdr:spPr>
        <a:xfrm>
          <a:off x="8468487" y="456692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24</xdr:row>
      <xdr:rowOff>177800</xdr:rowOff>
    </xdr:from>
    <xdr:to>
      <xdr:col>6</xdr:col>
      <xdr:colOff>238887</xdr:colOff>
      <xdr:row>26</xdr:row>
      <xdr:rowOff>172720</xdr:rowOff>
    </xdr:to>
    <xdr:cxnSp macro="_xll.PtreeEvent_ObjectClick">
      <xdr:nvCxnSpPr>
        <xdr:cNvPr id="93" name="PTObj_DBranchDLine_3_15">
          <a:extLst>
            <a:ext uri="{FF2B5EF4-FFF2-40B4-BE49-F238E27FC236}">
              <a16:creationId xmlns:a16="http://schemas.microsoft.com/office/drawing/2014/main" id="{0830ACF4-213E-BA76-DCDD-37F48E421A30}"/>
            </a:ext>
          </a:extLst>
        </xdr:cNvPr>
        <xdr:cNvCxnSpPr/>
      </xdr:nvCxnSpPr>
      <xdr:spPr>
        <a:xfrm flipV="1">
          <a:off x="8316087" y="45669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26</xdr:row>
      <xdr:rowOff>177800</xdr:rowOff>
    </xdr:from>
    <xdr:to>
      <xdr:col>6</xdr:col>
      <xdr:colOff>127</xdr:colOff>
      <xdr:row>26</xdr:row>
      <xdr:rowOff>177800</xdr:rowOff>
    </xdr:to>
    <xdr:cxnSp macro="_xll.PtreeEvent_ObjectClick">
      <xdr:nvCxnSpPr>
        <xdr:cNvPr id="90" name="PTObj_DBranchHLine_3_14">
          <a:extLst>
            <a:ext uri="{FF2B5EF4-FFF2-40B4-BE49-F238E27FC236}">
              <a16:creationId xmlns:a16="http://schemas.microsoft.com/office/drawing/2014/main" id="{F9C21EC1-77E1-6A23-551C-E269387165CF}"/>
            </a:ext>
          </a:extLst>
        </xdr:cNvPr>
        <xdr:cNvCxnSpPr/>
      </xdr:nvCxnSpPr>
      <xdr:spPr>
        <a:xfrm>
          <a:off x="6936867" y="49326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26</xdr:row>
      <xdr:rowOff>177800</xdr:rowOff>
    </xdr:from>
    <xdr:to>
      <xdr:col>5</xdr:col>
      <xdr:colOff>238887</xdr:colOff>
      <xdr:row>30</xdr:row>
      <xdr:rowOff>172720</xdr:rowOff>
    </xdr:to>
    <xdr:cxnSp macro="_xll.PtreeEvent_ObjectClick">
      <xdr:nvCxnSpPr>
        <xdr:cNvPr id="89" name="PTObj_DBranchDLine_3_14">
          <a:extLst>
            <a:ext uri="{FF2B5EF4-FFF2-40B4-BE49-F238E27FC236}">
              <a16:creationId xmlns:a16="http://schemas.microsoft.com/office/drawing/2014/main" id="{843E4BE7-83C3-46E1-3E6E-489839BA8A6A}"/>
            </a:ext>
          </a:extLst>
        </xdr:cNvPr>
        <xdr:cNvCxnSpPr/>
      </xdr:nvCxnSpPr>
      <xdr:spPr>
        <a:xfrm flipV="1">
          <a:off x="6784467" y="493268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30</xdr:row>
      <xdr:rowOff>177800</xdr:rowOff>
    </xdr:from>
    <xdr:to>
      <xdr:col>5</xdr:col>
      <xdr:colOff>127</xdr:colOff>
      <xdr:row>30</xdr:row>
      <xdr:rowOff>177800</xdr:rowOff>
    </xdr:to>
    <xdr:cxnSp macro="_xll.PtreeEvent_ObjectClick">
      <xdr:nvCxnSpPr>
        <xdr:cNvPr id="86" name="PTObj_DBranchHLine_3_7">
          <a:extLst>
            <a:ext uri="{FF2B5EF4-FFF2-40B4-BE49-F238E27FC236}">
              <a16:creationId xmlns:a16="http://schemas.microsoft.com/office/drawing/2014/main" id="{DF9AC177-D7D1-E4A8-18DA-5CAB46486AFD}"/>
            </a:ext>
          </a:extLst>
        </xdr:cNvPr>
        <xdr:cNvCxnSpPr/>
      </xdr:nvCxnSpPr>
      <xdr:spPr>
        <a:xfrm>
          <a:off x="5412867" y="56642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22</xdr:row>
      <xdr:rowOff>172720</xdr:rowOff>
    </xdr:from>
    <xdr:to>
      <xdr:col>4</xdr:col>
      <xdr:colOff>238887</xdr:colOff>
      <xdr:row>30</xdr:row>
      <xdr:rowOff>177800</xdr:rowOff>
    </xdr:to>
    <xdr:cxnSp macro="_xll.PtreeEvent_ObjectClick">
      <xdr:nvCxnSpPr>
        <xdr:cNvPr id="85" name="PTObj_DBranchDLine_3_7">
          <a:extLst>
            <a:ext uri="{FF2B5EF4-FFF2-40B4-BE49-F238E27FC236}">
              <a16:creationId xmlns:a16="http://schemas.microsoft.com/office/drawing/2014/main" id="{E047B0F3-CFEC-AF2C-5335-2B05ECF20061}"/>
            </a:ext>
          </a:extLst>
        </xdr:cNvPr>
        <xdr:cNvCxnSpPr/>
      </xdr:nvCxnSpPr>
      <xdr:spPr>
        <a:xfrm>
          <a:off x="5260467" y="419608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20</xdr:row>
      <xdr:rowOff>177800</xdr:rowOff>
    </xdr:from>
    <xdr:to>
      <xdr:col>7</xdr:col>
      <xdr:colOff>127</xdr:colOff>
      <xdr:row>20</xdr:row>
      <xdr:rowOff>177800</xdr:rowOff>
    </xdr:to>
    <xdr:cxnSp macro="_xll.PtreeEvent_ObjectClick">
      <xdr:nvCxnSpPr>
        <xdr:cNvPr id="78" name="PTObj_DBranchHLine_3_13">
          <a:extLst>
            <a:ext uri="{FF2B5EF4-FFF2-40B4-BE49-F238E27FC236}">
              <a16:creationId xmlns:a16="http://schemas.microsoft.com/office/drawing/2014/main" id="{E780D1A9-814D-B27A-9A81-04A3A54135F6}"/>
            </a:ext>
          </a:extLst>
        </xdr:cNvPr>
        <xdr:cNvCxnSpPr/>
      </xdr:nvCxnSpPr>
      <xdr:spPr>
        <a:xfrm>
          <a:off x="8468487" y="38354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18</xdr:row>
      <xdr:rowOff>172720</xdr:rowOff>
    </xdr:from>
    <xdr:to>
      <xdr:col>6</xdr:col>
      <xdr:colOff>238887</xdr:colOff>
      <xdr:row>20</xdr:row>
      <xdr:rowOff>177800</xdr:rowOff>
    </xdr:to>
    <xdr:cxnSp macro="_xll.PtreeEvent_ObjectClick">
      <xdr:nvCxnSpPr>
        <xdr:cNvPr id="77" name="PTObj_DBranchDLine_3_13">
          <a:extLst>
            <a:ext uri="{FF2B5EF4-FFF2-40B4-BE49-F238E27FC236}">
              <a16:creationId xmlns:a16="http://schemas.microsoft.com/office/drawing/2014/main" id="{E64E5F22-556A-41AF-EE4B-D8996034BB07}"/>
            </a:ext>
          </a:extLst>
        </xdr:cNvPr>
        <xdr:cNvCxnSpPr/>
      </xdr:nvCxnSpPr>
      <xdr:spPr>
        <a:xfrm>
          <a:off x="8316087" y="34645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16</xdr:row>
      <xdr:rowOff>177800</xdr:rowOff>
    </xdr:from>
    <xdr:to>
      <xdr:col>7</xdr:col>
      <xdr:colOff>127</xdr:colOff>
      <xdr:row>16</xdr:row>
      <xdr:rowOff>177800</xdr:rowOff>
    </xdr:to>
    <xdr:cxnSp macro="_xll.PtreeEvent_ObjectClick">
      <xdr:nvCxnSpPr>
        <xdr:cNvPr id="74" name="PTObj_DBranchHLine_3_12">
          <a:extLst>
            <a:ext uri="{FF2B5EF4-FFF2-40B4-BE49-F238E27FC236}">
              <a16:creationId xmlns:a16="http://schemas.microsoft.com/office/drawing/2014/main" id="{55440AA2-DCD6-0497-ACB3-E54805571501}"/>
            </a:ext>
          </a:extLst>
        </xdr:cNvPr>
        <xdr:cNvCxnSpPr/>
      </xdr:nvCxnSpPr>
      <xdr:spPr>
        <a:xfrm>
          <a:off x="8468487" y="31038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16</xdr:row>
      <xdr:rowOff>177800</xdr:rowOff>
    </xdr:from>
    <xdr:to>
      <xdr:col>6</xdr:col>
      <xdr:colOff>238887</xdr:colOff>
      <xdr:row>18</xdr:row>
      <xdr:rowOff>172720</xdr:rowOff>
    </xdr:to>
    <xdr:cxnSp macro="_xll.PtreeEvent_ObjectClick">
      <xdr:nvCxnSpPr>
        <xdr:cNvPr id="73" name="PTObj_DBranchDLine_3_12">
          <a:extLst>
            <a:ext uri="{FF2B5EF4-FFF2-40B4-BE49-F238E27FC236}">
              <a16:creationId xmlns:a16="http://schemas.microsoft.com/office/drawing/2014/main" id="{EEBD7F4D-36AE-7D19-591F-D6E78226CF11}"/>
            </a:ext>
          </a:extLst>
        </xdr:cNvPr>
        <xdr:cNvCxnSpPr/>
      </xdr:nvCxnSpPr>
      <xdr:spPr>
        <a:xfrm flipV="1">
          <a:off x="8316087" y="3103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18</xdr:row>
      <xdr:rowOff>177800</xdr:rowOff>
    </xdr:from>
    <xdr:to>
      <xdr:col>6</xdr:col>
      <xdr:colOff>127</xdr:colOff>
      <xdr:row>18</xdr:row>
      <xdr:rowOff>177800</xdr:rowOff>
    </xdr:to>
    <xdr:cxnSp macro="_xll.PtreeEvent_ObjectClick">
      <xdr:nvCxnSpPr>
        <xdr:cNvPr id="70" name="PTObj_DBranchHLine_3_9">
          <a:extLst>
            <a:ext uri="{FF2B5EF4-FFF2-40B4-BE49-F238E27FC236}">
              <a16:creationId xmlns:a16="http://schemas.microsoft.com/office/drawing/2014/main" id="{ED67C91D-2D08-B3FC-7A1A-F99715C06870}"/>
            </a:ext>
          </a:extLst>
        </xdr:cNvPr>
        <xdr:cNvCxnSpPr/>
      </xdr:nvCxnSpPr>
      <xdr:spPr>
        <a:xfrm>
          <a:off x="6936867" y="34696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14</xdr:row>
      <xdr:rowOff>172720</xdr:rowOff>
    </xdr:from>
    <xdr:to>
      <xdr:col>5</xdr:col>
      <xdr:colOff>238887</xdr:colOff>
      <xdr:row>18</xdr:row>
      <xdr:rowOff>177800</xdr:rowOff>
    </xdr:to>
    <xdr:cxnSp macro="_xll.PtreeEvent_ObjectClick">
      <xdr:nvCxnSpPr>
        <xdr:cNvPr id="69" name="PTObj_DBranchDLine_3_9">
          <a:extLst>
            <a:ext uri="{FF2B5EF4-FFF2-40B4-BE49-F238E27FC236}">
              <a16:creationId xmlns:a16="http://schemas.microsoft.com/office/drawing/2014/main" id="{0C153649-6D5E-970E-826F-872435F9913C}"/>
            </a:ext>
          </a:extLst>
        </xdr:cNvPr>
        <xdr:cNvCxnSpPr/>
      </xdr:nvCxnSpPr>
      <xdr:spPr>
        <a:xfrm>
          <a:off x="6784467" y="273304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12</xdr:row>
      <xdr:rowOff>177800</xdr:rowOff>
    </xdr:from>
    <xdr:to>
      <xdr:col>7</xdr:col>
      <xdr:colOff>127</xdr:colOff>
      <xdr:row>12</xdr:row>
      <xdr:rowOff>177800</xdr:rowOff>
    </xdr:to>
    <xdr:cxnSp macro="_xll.PtreeEvent_ObjectClick">
      <xdr:nvCxnSpPr>
        <xdr:cNvPr id="62" name="PTObj_DBranchHLine_3_11">
          <a:extLst>
            <a:ext uri="{FF2B5EF4-FFF2-40B4-BE49-F238E27FC236}">
              <a16:creationId xmlns:a16="http://schemas.microsoft.com/office/drawing/2014/main" id="{04364E1A-D0FF-D1FC-BE68-35324443BF94}"/>
            </a:ext>
          </a:extLst>
        </xdr:cNvPr>
        <xdr:cNvCxnSpPr/>
      </xdr:nvCxnSpPr>
      <xdr:spPr>
        <a:xfrm>
          <a:off x="8468487" y="237236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10</xdr:row>
      <xdr:rowOff>172720</xdr:rowOff>
    </xdr:from>
    <xdr:to>
      <xdr:col>6</xdr:col>
      <xdr:colOff>238887</xdr:colOff>
      <xdr:row>12</xdr:row>
      <xdr:rowOff>177800</xdr:rowOff>
    </xdr:to>
    <xdr:cxnSp macro="_xll.PtreeEvent_ObjectClick">
      <xdr:nvCxnSpPr>
        <xdr:cNvPr id="61" name="PTObj_DBranchDLine_3_11">
          <a:extLst>
            <a:ext uri="{FF2B5EF4-FFF2-40B4-BE49-F238E27FC236}">
              <a16:creationId xmlns:a16="http://schemas.microsoft.com/office/drawing/2014/main" id="{213677E4-2761-7794-E638-A5344BBD8E33}"/>
            </a:ext>
          </a:extLst>
        </xdr:cNvPr>
        <xdr:cNvCxnSpPr/>
      </xdr:nvCxnSpPr>
      <xdr:spPr>
        <a:xfrm>
          <a:off x="8316087" y="20015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8</xdr:row>
      <xdr:rowOff>177800</xdr:rowOff>
    </xdr:from>
    <xdr:to>
      <xdr:col>7</xdr:col>
      <xdr:colOff>127</xdr:colOff>
      <xdr:row>8</xdr:row>
      <xdr:rowOff>177800</xdr:rowOff>
    </xdr:to>
    <xdr:cxnSp macro="_xll.PtreeEvent_ObjectClick">
      <xdr:nvCxnSpPr>
        <xdr:cNvPr id="58" name="PTObj_DBranchHLine_3_10">
          <a:extLst>
            <a:ext uri="{FF2B5EF4-FFF2-40B4-BE49-F238E27FC236}">
              <a16:creationId xmlns:a16="http://schemas.microsoft.com/office/drawing/2014/main" id="{7290E7E0-0BFF-F398-128C-153B138D7358}"/>
            </a:ext>
          </a:extLst>
        </xdr:cNvPr>
        <xdr:cNvCxnSpPr/>
      </xdr:nvCxnSpPr>
      <xdr:spPr>
        <a:xfrm>
          <a:off x="8468487" y="164084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8</xdr:row>
      <xdr:rowOff>177800</xdr:rowOff>
    </xdr:from>
    <xdr:to>
      <xdr:col>6</xdr:col>
      <xdr:colOff>238887</xdr:colOff>
      <xdr:row>10</xdr:row>
      <xdr:rowOff>172720</xdr:rowOff>
    </xdr:to>
    <xdr:cxnSp macro="_xll.PtreeEvent_ObjectClick">
      <xdr:nvCxnSpPr>
        <xdr:cNvPr id="57" name="PTObj_DBranchDLine_3_10">
          <a:extLst>
            <a:ext uri="{FF2B5EF4-FFF2-40B4-BE49-F238E27FC236}">
              <a16:creationId xmlns:a16="http://schemas.microsoft.com/office/drawing/2014/main" id="{5D1400A6-4AB3-0850-4DDF-0D778C5E67EA}"/>
            </a:ext>
          </a:extLst>
        </xdr:cNvPr>
        <xdr:cNvCxnSpPr/>
      </xdr:nvCxnSpPr>
      <xdr:spPr>
        <a:xfrm flipV="1">
          <a:off x="8316087" y="16408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10</xdr:row>
      <xdr:rowOff>177800</xdr:rowOff>
    </xdr:from>
    <xdr:to>
      <xdr:col>6</xdr:col>
      <xdr:colOff>127</xdr:colOff>
      <xdr:row>10</xdr:row>
      <xdr:rowOff>177800</xdr:rowOff>
    </xdr:to>
    <xdr:cxnSp macro="_xll.PtreeEvent_ObjectClick">
      <xdr:nvCxnSpPr>
        <xdr:cNvPr id="54" name="PTObj_DBranchHLine_3_8">
          <a:extLst>
            <a:ext uri="{FF2B5EF4-FFF2-40B4-BE49-F238E27FC236}">
              <a16:creationId xmlns:a16="http://schemas.microsoft.com/office/drawing/2014/main" id="{1D8AE04E-9FEB-F4A3-2150-5B764B17E72B}"/>
            </a:ext>
          </a:extLst>
        </xdr:cNvPr>
        <xdr:cNvCxnSpPr/>
      </xdr:nvCxnSpPr>
      <xdr:spPr>
        <a:xfrm>
          <a:off x="6936867" y="16408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10</xdr:row>
      <xdr:rowOff>177800</xdr:rowOff>
    </xdr:from>
    <xdr:to>
      <xdr:col>5</xdr:col>
      <xdr:colOff>238887</xdr:colOff>
      <xdr:row>14</xdr:row>
      <xdr:rowOff>172720</xdr:rowOff>
    </xdr:to>
    <xdr:cxnSp macro="_xll.PtreeEvent_ObjectClick">
      <xdr:nvCxnSpPr>
        <xdr:cNvPr id="53" name="PTObj_DBranchDLine_3_8">
          <a:extLst>
            <a:ext uri="{FF2B5EF4-FFF2-40B4-BE49-F238E27FC236}">
              <a16:creationId xmlns:a16="http://schemas.microsoft.com/office/drawing/2014/main" id="{B98E1306-2DF1-B7FB-4B61-C30642975315}"/>
            </a:ext>
          </a:extLst>
        </xdr:cNvPr>
        <xdr:cNvCxnSpPr/>
      </xdr:nvCxnSpPr>
      <xdr:spPr>
        <a:xfrm flipV="1">
          <a:off x="6784467" y="16408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14</xdr:row>
      <xdr:rowOff>177800</xdr:rowOff>
    </xdr:from>
    <xdr:to>
      <xdr:col>5</xdr:col>
      <xdr:colOff>127</xdr:colOff>
      <xdr:row>14</xdr:row>
      <xdr:rowOff>177800</xdr:rowOff>
    </xdr:to>
    <xdr:cxnSp macro="_xll.PtreeEvent_ObjectClick">
      <xdr:nvCxnSpPr>
        <xdr:cNvPr id="42" name="PTObj_DBranchHLine_3_6">
          <a:extLst>
            <a:ext uri="{FF2B5EF4-FFF2-40B4-BE49-F238E27FC236}">
              <a16:creationId xmlns:a16="http://schemas.microsoft.com/office/drawing/2014/main" id="{25CA8DDF-8F8D-8A35-B073-3B6DED408ABD}"/>
            </a:ext>
          </a:extLst>
        </xdr:cNvPr>
        <xdr:cNvCxnSpPr/>
      </xdr:nvCxnSpPr>
      <xdr:spPr>
        <a:xfrm>
          <a:off x="5412867" y="16408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14</xdr:row>
      <xdr:rowOff>177800</xdr:rowOff>
    </xdr:from>
    <xdr:to>
      <xdr:col>4</xdr:col>
      <xdr:colOff>238887</xdr:colOff>
      <xdr:row>22</xdr:row>
      <xdr:rowOff>172720</xdr:rowOff>
    </xdr:to>
    <xdr:cxnSp macro="_xll.PtreeEvent_ObjectClick">
      <xdr:nvCxnSpPr>
        <xdr:cNvPr id="41" name="PTObj_DBranchDLine_3_6">
          <a:extLst>
            <a:ext uri="{FF2B5EF4-FFF2-40B4-BE49-F238E27FC236}">
              <a16:creationId xmlns:a16="http://schemas.microsoft.com/office/drawing/2014/main" id="{11911D2A-508A-A134-5F62-B31C8780B064}"/>
            </a:ext>
          </a:extLst>
        </xdr:cNvPr>
        <xdr:cNvCxnSpPr/>
      </xdr:nvCxnSpPr>
      <xdr:spPr>
        <a:xfrm flipV="1">
          <a:off x="5260467" y="16408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130</xdr:row>
      <xdr:rowOff>177800</xdr:rowOff>
    </xdr:from>
    <xdr:to>
      <xdr:col>2</xdr:col>
      <xdr:colOff>127</xdr:colOff>
      <xdr:row>130</xdr:row>
      <xdr:rowOff>177800</xdr:rowOff>
    </xdr:to>
    <xdr:cxnSp macro="_xll.PtreeEvent_ObjectClick">
      <xdr:nvCxnSpPr>
        <xdr:cNvPr id="6" name="PTObj_DBranchHLine_3_1">
          <a:extLst>
            <a:ext uri="{FF2B5EF4-FFF2-40B4-BE49-F238E27FC236}">
              <a16:creationId xmlns:a16="http://schemas.microsoft.com/office/drawing/2014/main" id="{A765B701-16EE-656F-5799-707FEFCF2BF5}"/>
            </a:ext>
          </a:extLst>
        </xdr:cNvPr>
        <xdr:cNvCxnSpPr/>
      </xdr:nvCxnSpPr>
      <xdr:spPr>
        <a:xfrm>
          <a:off x="787400" y="1640840"/>
          <a:ext cx="124726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130</xdr:row>
      <xdr:rowOff>86360</xdr:rowOff>
    </xdr:from>
    <xdr:to>
      <xdr:col>2</xdr:col>
      <xdr:colOff>183007</xdr:colOff>
      <xdr:row>131</xdr:row>
      <xdr:rowOff>86360</xdr:rowOff>
    </xdr:to>
    <xdr:sp macro="_xll.PtreeEvent_ObjectClick" textlink="">
      <xdr:nvSpPr>
        <xdr:cNvPr id="5" name="PTObj_DNode_3_1">
          <a:extLst>
            <a:ext uri="{FF2B5EF4-FFF2-40B4-BE49-F238E27FC236}">
              <a16:creationId xmlns:a16="http://schemas.microsoft.com/office/drawing/2014/main" id="{1CC37EFA-108E-46E2-D7B2-AF32D18AFF66}"/>
            </a:ext>
          </a:extLst>
        </xdr:cNvPr>
        <xdr:cNvSpPr/>
      </xdr:nvSpPr>
      <xdr:spPr>
        <a:xfrm>
          <a:off x="2034667" y="15494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</xdr:col>
      <xdr:colOff>215900</xdr:colOff>
      <xdr:row>130</xdr:row>
      <xdr:rowOff>87486</xdr:rowOff>
    </xdr:from>
    <xdr:ext cx="792845" cy="180627"/>
    <xdr:sp macro="_xll.PtreeEvent_ObjectClick" textlink="">
      <xdr:nvSpPr>
        <xdr:cNvPr id="7" name="PTObj_DBranchName_3_1">
          <a:extLst>
            <a:ext uri="{FF2B5EF4-FFF2-40B4-BE49-F238E27FC236}">
              <a16:creationId xmlns:a16="http://schemas.microsoft.com/office/drawing/2014/main" id="{CF19951E-3E1F-0571-FE37-2F2E7D0DC8E1}"/>
            </a:ext>
          </a:extLst>
        </xdr:cNvPr>
        <xdr:cNvSpPr txBox="1"/>
      </xdr:nvSpPr>
      <xdr:spPr>
        <a:xfrm>
          <a:off x="825500" y="1550526"/>
          <a:ext cx="792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VYshu"s Decison?</a:t>
          </a:r>
        </a:p>
      </xdr:txBody>
    </xdr:sp>
    <xdr:clientData/>
  </xdr:oneCellAnchor>
  <xdr:twoCellAnchor editAs="oneCell">
    <xdr:from>
      <xdr:col>4</xdr:col>
      <xdr:colOff>127</xdr:colOff>
      <xdr:row>22</xdr:row>
      <xdr:rowOff>86360</xdr:rowOff>
    </xdr:from>
    <xdr:to>
      <xdr:col>4</xdr:col>
      <xdr:colOff>183007</xdr:colOff>
      <xdr:row>23</xdr:row>
      <xdr:rowOff>86360</xdr:rowOff>
    </xdr:to>
    <xdr:sp macro="_xll.PtreeEvent_ObjectClick" textlink="">
      <xdr:nvSpPr>
        <xdr:cNvPr id="28" name="PTObj_DNode_3_4">
          <a:extLst>
            <a:ext uri="{FF2B5EF4-FFF2-40B4-BE49-F238E27FC236}">
              <a16:creationId xmlns:a16="http://schemas.microsoft.com/office/drawing/2014/main" id="{9DDE4A7B-C54A-EC2D-826B-B5E106A7259C}"/>
            </a:ext>
          </a:extLst>
        </xdr:cNvPr>
        <xdr:cNvSpPr/>
      </xdr:nvSpPr>
      <xdr:spPr>
        <a:xfrm>
          <a:off x="5174107" y="15494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127</xdr:colOff>
      <xdr:row>14</xdr:row>
      <xdr:rowOff>86360</xdr:rowOff>
    </xdr:from>
    <xdr:to>
      <xdr:col>5</xdr:col>
      <xdr:colOff>183007</xdr:colOff>
      <xdr:row>15</xdr:row>
      <xdr:rowOff>86360</xdr:rowOff>
    </xdr:to>
    <xdr:sp macro="_xll.PtreeEvent_ObjectClick" textlink="">
      <xdr:nvSpPr>
        <xdr:cNvPr id="40" name="PTObj_DNode_3_6">
          <a:extLst>
            <a:ext uri="{FF2B5EF4-FFF2-40B4-BE49-F238E27FC236}">
              <a16:creationId xmlns:a16="http://schemas.microsoft.com/office/drawing/2014/main" id="{766D3D6B-4118-565E-DF50-9C459D78967B}"/>
            </a:ext>
          </a:extLst>
        </xdr:cNvPr>
        <xdr:cNvSpPr/>
      </xdr:nvSpPr>
      <xdr:spPr>
        <a:xfrm>
          <a:off x="6698107" y="15494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276987</xdr:colOff>
      <xdr:row>14</xdr:row>
      <xdr:rowOff>87486</xdr:rowOff>
    </xdr:from>
    <xdr:ext cx="258276" cy="180627"/>
    <xdr:sp macro="_xll.PtreeEvent_ObjectClick" textlink="">
      <xdr:nvSpPr>
        <xdr:cNvPr id="43" name="PTObj_DBranchName_3_6">
          <a:extLst>
            <a:ext uri="{FF2B5EF4-FFF2-40B4-BE49-F238E27FC236}">
              <a16:creationId xmlns:a16="http://schemas.microsoft.com/office/drawing/2014/main" id="{5460FEFE-70B8-0FD8-3B8C-FED3F8D1C9F4}"/>
            </a:ext>
          </a:extLst>
        </xdr:cNvPr>
        <xdr:cNvSpPr txBox="1"/>
      </xdr:nvSpPr>
      <xdr:spPr>
        <a:xfrm>
          <a:off x="5450967" y="1550526"/>
          <a:ext cx="2582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MBA</a:t>
          </a:r>
        </a:p>
      </xdr:txBody>
    </xdr:sp>
    <xdr:clientData/>
  </xdr:oneCellAnchor>
  <xdr:twoCellAnchor editAs="oneCell">
    <xdr:from>
      <xdr:col>6</xdr:col>
      <xdr:colOff>127</xdr:colOff>
      <xdr:row>10</xdr:row>
      <xdr:rowOff>86360</xdr:rowOff>
    </xdr:from>
    <xdr:to>
      <xdr:col>6</xdr:col>
      <xdr:colOff>183007</xdr:colOff>
      <xdr:row>11</xdr:row>
      <xdr:rowOff>86360</xdr:rowOff>
    </xdr:to>
    <xdr:sp macro="_xll.PtreeEvent_ObjectClick" textlink="">
      <xdr:nvSpPr>
        <xdr:cNvPr id="52" name="PTObj_DNode_3_8">
          <a:extLst>
            <a:ext uri="{FF2B5EF4-FFF2-40B4-BE49-F238E27FC236}">
              <a16:creationId xmlns:a16="http://schemas.microsoft.com/office/drawing/2014/main" id="{C05B97F1-3855-D6BC-1A57-47E4E7635838}"/>
            </a:ext>
          </a:extLst>
        </xdr:cNvPr>
        <xdr:cNvSpPr/>
      </xdr:nvSpPr>
      <xdr:spPr>
        <a:xfrm>
          <a:off x="8229727" y="15494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276987</xdr:colOff>
      <xdr:row>10</xdr:row>
      <xdr:rowOff>87486</xdr:rowOff>
    </xdr:from>
    <xdr:ext cx="607602" cy="180627"/>
    <xdr:sp macro="_xll.PtreeEvent_ObjectClick" textlink="">
      <xdr:nvSpPr>
        <xdr:cNvPr id="55" name="PTObj_DBranchName_3_8">
          <a:extLst>
            <a:ext uri="{FF2B5EF4-FFF2-40B4-BE49-F238E27FC236}">
              <a16:creationId xmlns:a16="http://schemas.microsoft.com/office/drawing/2014/main" id="{436AC3D0-02C6-C266-7621-3C338EAD6734}"/>
            </a:ext>
          </a:extLst>
        </xdr:cNvPr>
        <xdr:cNvSpPr txBox="1"/>
      </xdr:nvSpPr>
      <xdr:spPr>
        <a:xfrm>
          <a:off x="6974967" y="1550526"/>
          <a:ext cx="6076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Student Loan</a:t>
          </a:r>
        </a:p>
      </xdr:txBody>
    </xdr:sp>
    <xdr:clientData/>
  </xdr:oneCellAnchor>
  <xdr:twoCellAnchor editAs="oneCell">
    <xdr:from>
      <xdr:col>7</xdr:col>
      <xdr:colOff>127</xdr:colOff>
      <xdr:row>8</xdr:row>
      <xdr:rowOff>86360</xdr:rowOff>
    </xdr:from>
    <xdr:to>
      <xdr:col>7</xdr:col>
      <xdr:colOff>183007</xdr:colOff>
      <xdr:row>9</xdr:row>
      <xdr:rowOff>86360</xdr:rowOff>
    </xdr:to>
    <xdr:sp macro="_xll.PtreeEvent_ObjectClick" textlink="">
      <xdr:nvSpPr>
        <xdr:cNvPr id="56" name="PTObj_DNode_3_10">
          <a:extLst>
            <a:ext uri="{FF2B5EF4-FFF2-40B4-BE49-F238E27FC236}">
              <a16:creationId xmlns:a16="http://schemas.microsoft.com/office/drawing/2014/main" id="{2F862584-9451-2F25-7D30-59BF62F9F4AB}"/>
            </a:ext>
          </a:extLst>
        </xdr:cNvPr>
        <xdr:cNvSpPr/>
      </xdr:nvSpPr>
      <xdr:spPr>
        <a:xfrm rot="-5400000">
          <a:off x="9380347" y="15494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8</xdr:row>
      <xdr:rowOff>87486</xdr:rowOff>
    </xdr:from>
    <xdr:ext cx="196143" cy="180627"/>
    <xdr:sp macro="_xll.PtreeEvent_ObjectClick" textlink="">
      <xdr:nvSpPr>
        <xdr:cNvPr id="59" name="PTObj_DBranchName_3_10">
          <a:extLst>
            <a:ext uri="{FF2B5EF4-FFF2-40B4-BE49-F238E27FC236}">
              <a16:creationId xmlns:a16="http://schemas.microsoft.com/office/drawing/2014/main" id="{454470C5-7154-BCB6-AD9D-6DD1ACB50B41}"/>
            </a:ext>
          </a:extLst>
        </xdr:cNvPr>
        <xdr:cNvSpPr txBox="1"/>
      </xdr:nvSpPr>
      <xdr:spPr>
        <a:xfrm>
          <a:off x="8506587" y="1550526"/>
          <a:ext cx="1961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7</xdr:col>
      <xdr:colOff>127</xdr:colOff>
      <xdr:row>12</xdr:row>
      <xdr:rowOff>86360</xdr:rowOff>
    </xdr:from>
    <xdr:to>
      <xdr:col>7</xdr:col>
      <xdr:colOff>183007</xdr:colOff>
      <xdr:row>13</xdr:row>
      <xdr:rowOff>86360</xdr:rowOff>
    </xdr:to>
    <xdr:sp macro="_xll.PtreeEvent_ObjectClick" textlink="">
      <xdr:nvSpPr>
        <xdr:cNvPr id="60" name="PTObj_DNode_3_11">
          <a:extLst>
            <a:ext uri="{FF2B5EF4-FFF2-40B4-BE49-F238E27FC236}">
              <a16:creationId xmlns:a16="http://schemas.microsoft.com/office/drawing/2014/main" id="{9CA0E822-BBF8-9117-04BF-BD7CA8004D4B}"/>
            </a:ext>
          </a:extLst>
        </xdr:cNvPr>
        <xdr:cNvSpPr/>
      </xdr:nvSpPr>
      <xdr:spPr>
        <a:xfrm rot="-5400000">
          <a:off x="9608947" y="2280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12</xdr:row>
      <xdr:rowOff>87487</xdr:rowOff>
    </xdr:from>
    <xdr:ext cx="339708" cy="180627"/>
    <xdr:sp macro="_xll.PtreeEvent_ObjectClick" textlink="">
      <xdr:nvSpPr>
        <xdr:cNvPr id="63" name="PTObj_DBranchName_3_11">
          <a:extLst>
            <a:ext uri="{FF2B5EF4-FFF2-40B4-BE49-F238E27FC236}">
              <a16:creationId xmlns:a16="http://schemas.microsoft.com/office/drawing/2014/main" id="{4796DDB1-D587-9D53-3027-A1767C0EF0CF}"/>
            </a:ext>
          </a:extLst>
        </xdr:cNvPr>
        <xdr:cNvSpPr txBox="1"/>
      </xdr:nvSpPr>
      <xdr:spPr>
        <a:xfrm>
          <a:off x="8506587" y="2282047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6</xdr:col>
      <xdr:colOff>127</xdr:colOff>
      <xdr:row>18</xdr:row>
      <xdr:rowOff>86360</xdr:rowOff>
    </xdr:from>
    <xdr:to>
      <xdr:col>6</xdr:col>
      <xdr:colOff>183007</xdr:colOff>
      <xdr:row>19</xdr:row>
      <xdr:rowOff>86360</xdr:rowOff>
    </xdr:to>
    <xdr:sp macro="_xll.PtreeEvent_ObjectClick" textlink="">
      <xdr:nvSpPr>
        <xdr:cNvPr id="68" name="PTObj_DNode_3_9">
          <a:extLst>
            <a:ext uri="{FF2B5EF4-FFF2-40B4-BE49-F238E27FC236}">
              <a16:creationId xmlns:a16="http://schemas.microsoft.com/office/drawing/2014/main" id="{F4CAD718-AC5A-C090-AD5D-7D6932F66D50}"/>
            </a:ext>
          </a:extLst>
        </xdr:cNvPr>
        <xdr:cNvSpPr/>
      </xdr:nvSpPr>
      <xdr:spPr>
        <a:xfrm>
          <a:off x="8229727" y="33782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276987</xdr:colOff>
      <xdr:row>18</xdr:row>
      <xdr:rowOff>87487</xdr:rowOff>
    </xdr:from>
    <xdr:ext cx="688330" cy="180627"/>
    <xdr:sp macro="_xll.PtreeEvent_ObjectClick" textlink="">
      <xdr:nvSpPr>
        <xdr:cNvPr id="71" name="PTObj_DBranchName_3_9">
          <a:extLst>
            <a:ext uri="{FF2B5EF4-FFF2-40B4-BE49-F238E27FC236}">
              <a16:creationId xmlns:a16="http://schemas.microsoft.com/office/drawing/2014/main" id="{68865CCC-8C21-FF21-2B3D-C1D7208C34DE}"/>
            </a:ext>
          </a:extLst>
        </xdr:cNvPr>
        <xdr:cNvSpPr txBox="1"/>
      </xdr:nvSpPr>
      <xdr:spPr>
        <a:xfrm>
          <a:off x="6974967" y="3379327"/>
          <a:ext cx="6883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Personal Funds</a:t>
          </a:r>
        </a:p>
      </xdr:txBody>
    </xdr:sp>
    <xdr:clientData/>
  </xdr:oneCellAnchor>
  <xdr:twoCellAnchor editAs="oneCell">
    <xdr:from>
      <xdr:col>7</xdr:col>
      <xdr:colOff>127</xdr:colOff>
      <xdr:row>16</xdr:row>
      <xdr:rowOff>86360</xdr:rowOff>
    </xdr:from>
    <xdr:to>
      <xdr:col>7</xdr:col>
      <xdr:colOff>183007</xdr:colOff>
      <xdr:row>17</xdr:row>
      <xdr:rowOff>86360</xdr:rowOff>
    </xdr:to>
    <xdr:sp macro="_xll.PtreeEvent_ObjectClick" textlink="">
      <xdr:nvSpPr>
        <xdr:cNvPr id="72" name="PTObj_DNode_3_12">
          <a:extLst>
            <a:ext uri="{FF2B5EF4-FFF2-40B4-BE49-F238E27FC236}">
              <a16:creationId xmlns:a16="http://schemas.microsoft.com/office/drawing/2014/main" id="{14B95D8F-73A4-FCE7-9D0F-7FC2E0BF6C59}"/>
            </a:ext>
          </a:extLst>
        </xdr:cNvPr>
        <xdr:cNvSpPr/>
      </xdr:nvSpPr>
      <xdr:spPr>
        <a:xfrm rot="-5400000">
          <a:off x="9753727" y="30124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16</xdr:row>
      <xdr:rowOff>87486</xdr:rowOff>
    </xdr:from>
    <xdr:ext cx="196144" cy="180627"/>
    <xdr:sp macro="_xll.PtreeEvent_ObjectClick" textlink="">
      <xdr:nvSpPr>
        <xdr:cNvPr id="75" name="PTObj_DBranchName_3_12">
          <a:extLst>
            <a:ext uri="{FF2B5EF4-FFF2-40B4-BE49-F238E27FC236}">
              <a16:creationId xmlns:a16="http://schemas.microsoft.com/office/drawing/2014/main" id="{982B15DE-C112-406E-25B8-AFD6B5111F67}"/>
            </a:ext>
          </a:extLst>
        </xdr:cNvPr>
        <xdr:cNvSpPr txBox="1"/>
      </xdr:nvSpPr>
      <xdr:spPr>
        <a:xfrm>
          <a:off x="8506587" y="3013566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7</xdr:col>
      <xdr:colOff>127</xdr:colOff>
      <xdr:row>20</xdr:row>
      <xdr:rowOff>86360</xdr:rowOff>
    </xdr:from>
    <xdr:to>
      <xdr:col>7</xdr:col>
      <xdr:colOff>183007</xdr:colOff>
      <xdr:row>21</xdr:row>
      <xdr:rowOff>86360</xdr:rowOff>
    </xdr:to>
    <xdr:sp macro="_xll.PtreeEvent_ObjectClick" textlink="">
      <xdr:nvSpPr>
        <xdr:cNvPr id="76" name="PTObj_DNode_3_13">
          <a:extLst>
            <a:ext uri="{FF2B5EF4-FFF2-40B4-BE49-F238E27FC236}">
              <a16:creationId xmlns:a16="http://schemas.microsoft.com/office/drawing/2014/main" id="{4B921362-88C8-4E9B-2AC6-4E38E87599BA}"/>
            </a:ext>
          </a:extLst>
        </xdr:cNvPr>
        <xdr:cNvSpPr/>
      </xdr:nvSpPr>
      <xdr:spPr>
        <a:xfrm rot="-5400000">
          <a:off x="9753727" y="37439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20</xdr:row>
      <xdr:rowOff>87487</xdr:rowOff>
    </xdr:from>
    <xdr:ext cx="339708" cy="180627"/>
    <xdr:sp macro="_xll.PtreeEvent_ObjectClick" textlink="">
      <xdr:nvSpPr>
        <xdr:cNvPr id="79" name="PTObj_DBranchName_3_13">
          <a:extLst>
            <a:ext uri="{FF2B5EF4-FFF2-40B4-BE49-F238E27FC236}">
              <a16:creationId xmlns:a16="http://schemas.microsoft.com/office/drawing/2014/main" id="{E8E12838-B088-80FA-D809-3A5F8CFC17D9}"/>
            </a:ext>
          </a:extLst>
        </xdr:cNvPr>
        <xdr:cNvSpPr txBox="1"/>
      </xdr:nvSpPr>
      <xdr:spPr>
        <a:xfrm>
          <a:off x="8506587" y="3745087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5</xdr:col>
      <xdr:colOff>127</xdr:colOff>
      <xdr:row>30</xdr:row>
      <xdr:rowOff>86360</xdr:rowOff>
    </xdr:from>
    <xdr:to>
      <xdr:col>5</xdr:col>
      <xdr:colOff>183007</xdr:colOff>
      <xdr:row>31</xdr:row>
      <xdr:rowOff>86360</xdr:rowOff>
    </xdr:to>
    <xdr:sp macro="_xll.PtreeEvent_ObjectClick" textlink="">
      <xdr:nvSpPr>
        <xdr:cNvPr id="84" name="PTObj_DNode_3_7">
          <a:extLst>
            <a:ext uri="{FF2B5EF4-FFF2-40B4-BE49-F238E27FC236}">
              <a16:creationId xmlns:a16="http://schemas.microsoft.com/office/drawing/2014/main" id="{F29C223B-4A7D-CA1C-5F07-AE9BFDD9FB1C}"/>
            </a:ext>
          </a:extLst>
        </xdr:cNvPr>
        <xdr:cNvSpPr/>
      </xdr:nvSpPr>
      <xdr:spPr>
        <a:xfrm>
          <a:off x="6698107" y="55727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276987</xdr:colOff>
      <xdr:row>30</xdr:row>
      <xdr:rowOff>87487</xdr:rowOff>
    </xdr:from>
    <xdr:ext cx="333874" cy="180627"/>
    <xdr:sp macro="_xll.PtreeEvent_ObjectClick" textlink="">
      <xdr:nvSpPr>
        <xdr:cNvPr id="87" name="PTObj_DBranchName_3_7">
          <a:extLst>
            <a:ext uri="{FF2B5EF4-FFF2-40B4-BE49-F238E27FC236}">
              <a16:creationId xmlns:a16="http://schemas.microsoft.com/office/drawing/2014/main" id="{CBCB2857-96FD-A1A7-8689-482F02B919A9}"/>
            </a:ext>
          </a:extLst>
        </xdr:cNvPr>
        <xdr:cNvSpPr txBox="1"/>
      </xdr:nvSpPr>
      <xdr:spPr>
        <a:xfrm>
          <a:off x="5450967" y="5573887"/>
          <a:ext cx="3338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MCom</a:t>
          </a:r>
        </a:p>
      </xdr:txBody>
    </xdr:sp>
    <xdr:clientData/>
  </xdr:oneCellAnchor>
  <xdr:twoCellAnchor editAs="oneCell">
    <xdr:from>
      <xdr:col>6</xdr:col>
      <xdr:colOff>127</xdr:colOff>
      <xdr:row>26</xdr:row>
      <xdr:rowOff>86360</xdr:rowOff>
    </xdr:from>
    <xdr:to>
      <xdr:col>6</xdr:col>
      <xdr:colOff>183007</xdr:colOff>
      <xdr:row>27</xdr:row>
      <xdr:rowOff>89333</xdr:rowOff>
    </xdr:to>
    <xdr:sp macro="_xll.PtreeEvent_ObjectClick" textlink="">
      <xdr:nvSpPr>
        <xdr:cNvPr id="88" name="PTObj_DNode_3_14">
          <a:extLst>
            <a:ext uri="{FF2B5EF4-FFF2-40B4-BE49-F238E27FC236}">
              <a16:creationId xmlns:a16="http://schemas.microsoft.com/office/drawing/2014/main" id="{2EBB7E1B-E29C-C6D7-352D-ECB1E6124CB3}"/>
            </a:ext>
          </a:extLst>
        </xdr:cNvPr>
        <xdr:cNvSpPr/>
      </xdr:nvSpPr>
      <xdr:spPr>
        <a:xfrm>
          <a:off x="8229727" y="48412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276987</xdr:colOff>
      <xdr:row>26</xdr:row>
      <xdr:rowOff>87486</xdr:rowOff>
    </xdr:from>
    <xdr:ext cx="607602" cy="180627"/>
    <xdr:sp macro="_xll.PtreeEvent_ObjectClick" textlink="">
      <xdr:nvSpPr>
        <xdr:cNvPr id="91" name="PTObj_DBranchName_3_14">
          <a:extLst>
            <a:ext uri="{FF2B5EF4-FFF2-40B4-BE49-F238E27FC236}">
              <a16:creationId xmlns:a16="http://schemas.microsoft.com/office/drawing/2014/main" id="{7B506F23-8564-AFBC-970F-78A419C841C6}"/>
            </a:ext>
          </a:extLst>
        </xdr:cNvPr>
        <xdr:cNvSpPr txBox="1"/>
      </xdr:nvSpPr>
      <xdr:spPr>
        <a:xfrm>
          <a:off x="6974967" y="4842366"/>
          <a:ext cx="6076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Student Loan</a:t>
          </a:r>
        </a:p>
      </xdr:txBody>
    </xdr:sp>
    <xdr:clientData/>
  </xdr:oneCellAnchor>
  <xdr:twoCellAnchor editAs="oneCell">
    <xdr:from>
      <xdr:col>7</xdr:col>
      <xdr:colOff>127</xdr:colOff>
      <xdr:row>24</xdr:row>
      <xdr:rowOff>86360</xdr:rowOff>
    </xdr:from>
    <xdr:to>
      <xdr:col>7</xdr:col>
      <xdr:colOff>183007</xdr:colOff>
      <xdr:row>25</xdr:row>
      <xdr:rowOff>89333</xdr:rowOff>
    </xdr:to>
    <xdr:sp macro="_xll.PtreeEvent_ObjectClick" textlink="">
      <xdr:nvSpPr>
        <xdr:cNvPr id="92" name="PTObj_DNode_3_15">
          <a:extLst>
            <a:ext uri="{FF2B5EF4-FFF2-40B4-BE49-F238E27FC236}">
              <a16:creationId xmlns:a16="http://schemas.microsoft.com/office/drawing/2014/main" id="{E47F4F4B-F695-8EB8-4A96-439F85CF33EF}"/>
            </a:ext>
          </a:extLst>
        </xdr:cNvPr>
        <xdr:cNvSpPr/>
      </xdr:nvSpPr>
      <xdr:spPr>
        <a:xfrm rot="-5400000">
          <a:off x="9753727" y="44754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24</xdr:row>
      <xdr:rowOff>87487</xdr:rowOff>
    </xdr:from>
    <xdr:ext cx="196144" cy="180627"/>
    <xdr:sp macro="_xll.PtreeEvent_ObjectClick" textlink="">
      <xdr:nvSpPr>
        <xdr:cNvPr id="95" name="PTObj_DBranchName_3_15">
          <a:extLst>
            <a:ext uri="{FF2B5EF4-FFF2-40B4-BE49-F238E27FC236}">
              <a16:creationId xmlns:a16="http://schemas.microsoft.com/office/drawing/2014/main" id="{DA425195-AFB7-7229-2E60-1BD6A5BFCAF4}"/>
            </a:ext>
          </a:extLst>
        </xdr:cNvPr>
        <xdr:cNvSpPr txBox="1"/>
      </xdr:nvSpPr>
      <xdr:spPr>
        <a:xfrm>
          <a:off x="8506587" y="4476607"/>
          <a:ext cx="19614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7</xdr:col>
      <xdr:colOff>127</xdr:colOff>
      <xdr:row>28</xdr:row>
      <xdr:rowOff>86360</xdr:rowOff>
    </xdr:from>
    <xdr:to>
      <xdr:col>7</xdr:col>
      <xdr:colOff>183007</xdr:colOff>
      <xdr:row>29</xdr:row>
      <xdr:rowOff>89333</xdr:rowOff>
    </xdr:to>
    <xdr:sp macro="_xll.PtreeEvent_ObjectClick" textlink="">
      <xdr:nvSpPr>
        <xdr:cNvPr id="96" name="PTObj_DNode_3_16">
          <a:extLst>
            <a:ext uri="{FF2B5EF4-FFF2-40B4-BE49-F238E27FC236}">
              <a16:creationId xmlns:a16="http://schemas.microsoft.com/office/drawing/2014/main" id="{C79E1E6F-3B95-EB40-0E98-3AD6D6E6667F}"/>
            </a:ext>
          </a:extLst>
        </xdr:cNvPr>
        <xdr:cNvSpPr/>
      </xdr:nvSpPr>
      <xdr:spPr>
        <a:xfrm rot="-5400000">
          <a:off x="9753727" y="5207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28</xdr:row>
      <xdr:rowOff>87487</xdr:rowOff>
    </xdr:from>
    <xdr:ext cx="339708" cy="180627"/>
    <xdr:sp macro="_xll.PtreeEvent_ObjectClick" textlink="">
      <xdr:nvSpPr>
        <xdr:cNvPr id="99" name="PTObj_DBranchName_3_16">
          <a:extLst>
            <a:ext uri="{FF2B5EF4-FFF2-40B4-BE49-F238E27FC236}">
              <a16:creationId xmlns:a16="http://schemas.microsoft.com/office/drawing/2014/main" id="{8FB357BB-1BB9-DC83-320E-DF5144AED15E}"/>
            </a:ext>
          </a:extLst>
        </xdr:cNvPr>
        <xdr:cNvSpPr txBox="1"/>
      </xdr:nvSpPr>
      <xdr:spPr>
        <a:xfrm>
          <a:off x="8506587" y="5208127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6</xdr:col>
      <xdr:colOff>127</xdr:colOff>
      <xdr:row>34</xdr:row>
      <xdr:rowOff>86360</xdr:rowOff>
    </xdr:from>
    <xdr:to>
      <xdr:col>6</xdr:col>
      <xdr:colOff>183007</xdr:colOff>
      <xdr:row>35</xdr:row>
      <xdr:rowOff>86360</xdr:rowOff>
    </xdr:to>
    <xdr:sp macro="_xll.PtreeEvent_ObjectClick" textlink="">
      <xdr:nvSpPr>
        <xdr:cNvPr id="100" name="PTObj_DNode_3_17">
          <a:extLst>
            <a:ext uri="{FF2B5EF4-FFF2-40B4-BE49-F238E27FC236}">
              <a16:creationId xmlns:a16="http://schemas.microsoft.com/office/drawing/2014/main" id="{3CC29164-D868-5871-2FFB-295E6EB1D7DC}"/>
            </a:ext>
          </a:extLst>
        </xdr:cNvPr>
        <xdr:cNvSpPr/>
      </xdr:nvSpPr>
      <xdr:spPr>
        <a:xfrm>
          <a:off x="8229727" y="63042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5</xdr:col>
      <xdr:colOff>276987</xdr:colOff>
      <xdr:row>34</xdr:row>
      <xdr:rowOff>87487</xdr:rowOff>
    </xdr:from>
    <xdr:ext cx="688330" cy="180627"/>
    <xdr:sp macro="_xll.PtreeEvent_ObjectClick" textlink="">
      <xdr:nvSpPr>
        <xdr:cNvPr id="103" name="PTObj_DBranchName_3_17">
          <a:extLst>
            <a:ext uri="{FF2B5EF4-FFF2-40B4-BE49-F238E27FC236}">
              <a16:creationId xmlns:a16="http://schemas.microsoft.com/office/drawing/2014/main" id="{C5B752FC-5BDE-ADFE-6881-582E31F84D7A}"/>
            </a:ext>
          </a:extLst>
        </xdr:cNvPr>
        <xdr:cNvSpPr txBox="1"/>
      </xdr:nvSpPr>
      <xdr:spPr>
        <a:xfrm>
          <a:off x="6974967" y="6305407"/>
          <a:ext cx="6883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Personal Funds</a:t>
          </a:r>
        </a:p>
      </xdr:txBody>
    </xdr:sp>
    <xdr:clientData/>
  </xdr:oneCellAnchor>
  <xdr:twoCellAnchor editAs="oneCell">
    <xdr:from>
      <xdr:col>7</xdr:col>
      <xdr:colOff>127</xdr:colOff>
      <xdr:row>32</xdr:row>
      <xdr:rowOff>86360</xdr:rowOff>
    </xdr:from>
    <xdr:to>
      <xdr:col>7</xdr:col>
      <xdr:colOff>183007</xdr:colOff>
      <xdr:row>33</xdr:row>
      <xdr:rowOff>86360</xdr:rowOff>
    </xdr:to>
    <xdr:sp macro="_xll.PtreeEvent_ObjectClick" textlink="">
      <xdr:nvSpPr>
        <xdr:cNvPr id="104" name="PTObj_DNode_3_18">
          <a:extLst>
            <a:ext uri="{FF2B5EF4-FFF2-40B4-BE49-F238E27FC236}">
              <a16:creationId xmlns:a16="http://schemas.microsoft.com/office/drawing/2014/main" id="{43D43BA4-DE56-1845-C636-62683CD4F510}"/>
            </a:ext>
          </a:extLst>
        </xdr:cNvPr>
        <xdr:cNvSpPr/>
      </xdr:nvSpPr>
      <xdr:spPr>
        <a:xfrm rot="-5400000">
          <a:off x="9753727" y="59385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32</xdr:row>
      <xdr:rowOff>87486</xdr:rowOff>
    </xdr:from>
    <xdr:ext cx="196144" cy="180627"/>
    <xdr:sp macro="_xll.PtreeEvent_ObjectClick" textlink="">
      <xdr:nvSpPr>
        <xdr:cNvPr id="107" name="PTObj_DBranchName_3_18">
          <a:extLst>
            <a:ext uri="{FF2B5EF4-FFF2-40B4-BE49-F238E27FC236}">
              <a16:creationId xmlns:a16="http://schemas.microsoft.com/office/drawing/2014/main" id="{5C550C18-D1B6-F56A-C122-157DC31FA4C0}"/>
            </a:ext>
          </a:extLst>
        </xdr:cNvPr>
        <xdr:cNvSpPr txBox="1"/>
      </xdr:nvSpPr>
      <xdr:spPr>
        <a:xfrm>
          <a:off x="8506587" y="5939646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7</xdr:col>
      <xdr:colOff>127</xdr:colOff>
      <xdr:row>36</xdr:row>
      <xdr:rowOff>86360</xdr:rowOff>
    </xdr:from>
    <xdr:to>
      <xdr:col>7</xdr:col>
      <xdr:colOff>183007</xdr:colOff>
      <xdr:row>37</xdr:row>
      <xdr:rowOff>86360</xdr:rowOff>
    </xdr:to>
    <xdr:sp macro="_xll.PtreeEvent_ObjectClick" textlink="">
      <xdr:nvSpPr>
        <xdr:cNvPr id="108" name="PTObj_DNode_3_19">
          <a:extLst>
            <a:ext uri="{FF2B5EF4-FFF2-40B4-BE49-F238E27FC236}">
              <a16:creationId xmlns:a16="http://schemas.microsoft.com/office/drawing/2014/main" id="{268724DE-319A-767D-AF80-18DAA145CF5B}"/>
            </a:ext>
          </a:extLst>
        </xdr:cNvPr>
        <xdr:cNvSpPr/>
      </xdr:nvSpPr>
      <xdr:spPr>
        <a:xfrm rot="-5400000">
          <a:off x="9753727" y="66700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36</xdr:row>
      <xdr:rowOff>87486</xdr:rowOff>
    </xdr:from>
    <xdr:ext cx="339708" cy="180627"/>
    <xdr:sp macro="_xll.PtreeEvent_ObjectClick" textlink="">
      <xdr:nvSpPr>
        <xdr:cNvPr id="111" name="PTObj_DBranchName_3_19">
          <a:extLst>
            <a:ext uri="{FF2B5EF4-FFF2-40B4-BE49-F238E27FC236}">
              <a16:creationId xmlns:a16="http://schemas.microsoft.com/office/drawing/2014/main" id="{274A49B5-FDE0-1BFF-CC2F-F4902E0B89E3}"/>
            </a:ext>
          </a:extLst>
        </xdr:cNvPr>
        <xdr:cNvSpPr txBox="1"/>
      </xdr:nvSpPr>
      <xdr:spPr>
        <a:xfrm>
          <a:off x="8506587" y="6671166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4</xdr:col>
      <xdr:colOff>127</xdr:colOff>
      <xdr:row>84</xdr:row>
      <xdr:rowOff>86360</xdr:rowOff>
    </xdr:from>
    <xdr:to>
      <xdr:col>4</xdr:col>
      <xdr:colOff>183007</xdr:colOff>
      <xdr:row>85</xdr:row>
      <xdr:rowOff>86360</xdr:rowOff>
    </xdr:to>
    <xdr:sp macro="_xll.PtreeEvent_ObjectClick" textlink="">
      <xdr:nvSpPr>
        <xdr:cNvPr id="112" name="PTObj_DNode_3_5">
          <a:extLst>
            <a:ext uri="{FF2B5EF4-FFF2-40B4-BE49-F238E27FC236}">
              <a16:creationId xmlns:a16="http://schemas.microsoft.com/office/drawing/2014/main" id="{6E85B1A3-0411-F413-471E-E4ECE8204156}"/>
            </a:ext>
          </a:extLst>
        </xdr:cNvPr>
        <xdr:cNvSpPr/>
      </xdr:nvSpPr>
      <xdr:spPr>
        <a:xfrm>
          <a:off x="5174107" y="74015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127</xdr:colOff>
      <xdr:row>46</xdr:row>
      <xdr:rowOff>86360</xdr:rowOff>
    </xdr:from>
    <xdr:to>
      <xdr:col>6</xdr:col>
      <xdr:colOff>183007</xdr:colOff>
      <xdr:row>47</xdr:row>
      <xdr:rowOff>86360</xdr:rowOff>
    </xdr:to>
    <xdr:sp macro="_xll.PtreeEvent_ObjectClick" textlink="">
      <xdr:nvSpPr>
        <xdr:cNvPr id="164" name="PTObj_DNode_3_22">
          <a:extLst>
            <a:ext uri="{FF2B5EF4-FFF2-40B4-BE49-F238E27FC236}">
              <a16:creationId xmlns:a16="http://schemas.microsoft.com/office/drawing/2014/main" id="{77D375CF-B92D-C35D-7701-DD48D74AFB5C}"/>
            </a:ext>
          </a:extLst>
        </xdr:cNvPr>
        <xdr:cNvSpPr/>
      </xdr:nvSpPr>
      <xdr:spPr>
        <a:xfrm>
          <a:off x="8237347" y="84988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127</xdr:colOff>
      <xdr:row>42</xdr:row>
      <xdr:rowOff>86360</xdr:rowOff>
    </xdr:from>
    <xdr:to>
      <xdr:col>7</xdr:col>
      <xdr:colOff>183008</xdr:colOff>
      <xdr:row>43</xdr:row>
      <xdr:rowOff>86360</xdr:rowOff>
    </xdr:to>
    <xdr:sp macro="_xll.PtreeEvent_ObjectClick" textlink="">
      <xdr:nvSpPr>
        <xdr:cNvPr id="168" name="PTObj_DNode_3_28">
          <a:extLst>
            <a:ext uri="{FF2B5EF4-FFF2-40B4-BE49-F238E27FC236}">
              <a16:creationId xmlns:a16="http://schemas.microsoft.com/office/drawing/2014/main" id="{446DD3D5-2C4E-BC1A-88C7-2494039AA22E}"/>
            </a:ext>
          </a:extLst>
        </xdr:cNvPr>
        <xdr:cNvSpPr/>
      </xdr:nvSpPr>
      <xdr:spPr>
        <a:xfrm>
          <a:off x="9768967" y="776732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42</xdr:row>
      <xdr:rowOff>87487</xdr:rowOff>
    </xdr:from>
    <xdr:ext cx="607602" cy="180627"/>
    <xdr:sp macro="_xll.PtreeEvent_ObjectClick" textlink="">
      <xdr:nvSpPr>
        <xdr:cNvPr id="171" name="PTObj_DBranchName_3_28">
          <a:extLst>
            <a:ext uri="{FF2B5EF4-FFF2-40B4-BE49-F238E27FC236}">
              <a16:creationId xmlns:a16="http://schemas.microsoft.com/office/drawing/2014/main" id="{8D9B6435-2C7E-B149-4B4B-8F63ACB8AEF0}"/>
            </a:ext>
          </a:extLst>
        </xdr:cNvPr>
        <xdr:cNvSpPr txBox="1"/>
      </xdr:nvSpPr>
      <xdr:spPr>
        <a:xfrm>
          <a:off x="8514207" y="7768447"/>
          <a:ext cx="6076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Student Loan</a:t>
          </a:r>
        </a:p>
      </xdr:txBody>
    </xdr:sp>
    <xdr:clientData/>
  </xdr:oneCellAnchor>
  <xdr:twoCellAnchor editAs="oneCell">
    <xdr:from>
      <xdr:col>8</xdr:col>
      <xdr:colOff>128</xdr:colOff>
      <xdr:row>40</xdr:row>
      <xdr:rowOff>86359</xdr:rowOff>
    </xdr:from>
    <xdr:to>
      <xdr:col>8</xdr:col>
      <xdr:colOff>183008</xdr:colOff>
      <xdr:row>41</xdr:row>
      <xdr:rowOff>86360</xdr:rowOff>
    </xdr:to>
    <xdr:sp macro="_xll.PtreeEvent_ObjectClick" textlink="">
      <xdr:nvSpPr>
        <xdr:cNvPr id="172" name="PTObj_DNode_3_29">
          <a:extLst>
            <a:ext uri="{FF2B5EF4-FFF2-40B4-BE49-F238E27FC236}">
              <a16:creationId xmlns:a16="http://schemas.microsoft.com/office/drawing/2014/main" id="{31D9E974-8707-76C9-3FAA-0AB416474B9C}"/>
            </a:ext>
          </a:extLst>
        </xdr:cNvPr>
        <xdr:cNvSpPr/>
      </xdr:nvSpPr>
      <xdr:spPr>
        <a:xfrm rot="-5400000">
          <a:off x="11292967" y="740156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40</xdr:row>
      <xdr:rowOff>87486</xdr:rowOff>
    </xdr:from>
    <xdr:ext cx="196144" cy="180627"/>
    <xdr:sp macro="_xll.PtreeEvent_ObjectClick" textlink="">
      <xdr:nvSpPr>
        <xdr:cNvPr id="175" name="PTObj_DBranchName_3_29">
          <a:extLst>
            <a:ext uri="{FF2B5EF4-FFF2-40B4-BE49-F238E27FC236}">
              <a16:creationId xmlns:a16="http://schemas.microsoft.com/office/drawing/2014/main" id="{6689525A-81AF-ADCE-57A0-D4A63E70F052}"/>
            </a:ext>
          </a:extLst>
        </xdr:cNvPr>
        <xdr:cNvSpPr txBox="1"/>
      </xdr:nvSpPr>
      <xdr:spPr>
        <a:xfrm>
          <a:off x="10045828" y="7402686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127</xdr:colOff>
      <xdr:row>44</xdr:row>
      <xdr:rowOff>86360</xdr:rowOff>
    </xdr:from>
    <xdr:to>
      <xdr:col>8</xdr:col>
      <xdr:colOff>183008</xdr:colOff>
      <xdr:row>45</xdr:row>
      <xdr:rowOff>86361</xdr:rowOff>
    </xdr:to>
    <xdr:sp macro="_xll.PtreeEvent_ObjectClick" textlink="">
      <xdr:nvSpPr>
        <xdr:cNvPr id="176" name="PTObj_DNode_3_30">
          <a:extLst>
            <a:ext uri="{FF2B5EF4-FFF2-40B4-BE49-F238E27FC236}">
              <a16:creationId xmlns:a16="http://schemas.microsoft.com/office/drawing/2014/main" id="{2C43303C-5560-6D96-8200-38486938C881}"/>
            </a:ext>
          </a:extLst>
        </xdr:cNvPr>
        <xdr:cNvSpPr/>
      </xdr:nvSpPr>
      <xdr:spPr>
        <a:xfrm rot="-5400000">
          <a:off x="11292967" y="81330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44</xdr:row>
      <xdr:rowOff>87487</xdr:rowOff>
    </xdr:from>
    <xdr:ext cx="339708" cy="180627"/>
    <xdr:sp macro="_xll.PtreeEvent_ObjectClick" textlink="">
      <xdr:nvSpPr>
        <xdr:cNvPr id="179" name="PTObj_DBranchName_3_30">
          <a:extLst>
            <a:ext uri="{FF2B5EF4-FFF2-40B4-BE49-F238E27FC236}">
              <a16:creationId xmlns:a16="http://schemas.microsoft.com/office/drawing/2014/main" id="{971DC6A9-1527-0DA3-BD44-D567002C939E}"/>
            </a:ext>
          </a:extLst>
        </xdr:cNvPr>
        <xdr:cNvSpPr txBox="1"/>
      </xdr:nvSpPr>
      <xdr:spPr>
        <a:xfrm>
          <a:off x="10045828" y="8134207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7</xdr:col>
      <xdr:colOff>127</xdr:colOff>
      <xdr:row>50</xdr:row>
      <xdr:rowOff>86360</xdr:rowOff>
    </xdr:from>
    <xdr:to>
      <xdr:col>7</xdr:col>
      <xdr:colOff>183008</xdr:colOff>
      <xdr:row>51</xdr:row>
      <xdr:rowOff>86360</xdr:rowOff>
    </xdr:to>
    <xdr:sp macro="_xll.PtreeEvent_ObjectClick" textlink="">
      <xdr:nvSpPr>
        <xdr:cNvPr id="180" name="PTObj_DNode_3_31">
          <a:extLst>
            <a:ext uri="{FF2B5EF4-FFF2-40B4-BE49-F238E27FC236}">
              <a16:creationId xmlns:a16="http://schemas.microsoft.com/office/drawing/2014/main" id="{C8178A12-822F-5DA7-2CA3-E60B74AD119E}"/>
            </a:ext>
          </a:extLst>
        </xdr:cNvPr>
        <xdr:cNvSpPr/>
      </xdr:nvSpPr>
      <xdr:spPr>
        <a:xfrm>
          <a:off x="9768967" y="923036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50</xdr:row>
      <xdr:rowOff>87486</xdr:rowOff>
    </xdr:from>
    <xdr:ext cx="688330" cy="180627"/>
    <xdr:sp macro="_xll.PtreeEvent_ObjectClick" textlink="">
      <xdr:nvSpPr>
        <xdr:cNvPr id="183" name="PTObj_DBranchName_3_31">
          <a:extLst>
            <a:ext uri="{FF2B5EF4-FFF2-40B4-BE49-F238E27FC236}">
              <a16:creationId xmlns:a16="http://schemas.microsoft.com/office/drawing/2014/main" id="{CA4F8074-BE83-DF7E-769A-016558522E03}"/>
            </a:ext>
          </a:extLst>
        </xdr:cNvPr>
        <xdr:cNvSpPr txBox="1"/>
      </xdr:nvSpPr>
      <xdr:spPr>
        <a:xfrm>
          <a:off x="8514207" y="9231486"/>
          <a:ext cx="6883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Personal Funds</a:t>
          </a:r>
        </a:p>
      </xdr:txBody>
    </xdr:sp>
    <xdr:clientData/>
  </xdr:oneCellAnchor>
  <xdr:twoCellAnchor editAs="oneCell">
    <xdr:from>
      <xdr:col>8</xdr:col>
      <xdr:colOff>128</xdr:colOff>
      <xdr:row>48</xdr:row>
      <xdr:rowOff>86359</xdr:rowOff>
    </xdr:from>
    <xdr:to>
      <xdr:col>8</xdr:col>
      <xdr:colOff>183008</xdr:colOff>
      <xdr:row>49</xdr:row>
      <xdr:rowOff>86360</xdr:rowOff>
    </xdr:to>
    <xdr:sp macro="_xll.PtreeEvent_ObjectClick" textlink="">
      <xdr:nvSpPr>
        <xdr:cNvPr id="184" name="PTObj_DNode_3_32">
          <a:extLst>
            <a:ext uri="{FF2B5EF4-FFF2-40B4-BE49-F238E27FC236}">
              <a16:creationId xmlns:a16="http://schemas.microsoft.com/office/drawing/2014/main" id="{83FD0798-995F-CC91-0C82-17B36120CA9F}"/>
            </a:ext>
          </a:extLst>
        </xdr:cNvPr>
        <xdr:cNvSpPr/>
      </xdr:nvSpPr>
      <xdr:spPr>
        <a:xfrm rot="-5400000">
          <a:off x="11292967" y="88646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48</xdr:row>
      <xdr:rowOff>87486</xdr:rowOff>
    </xdr:from>
    <xdr:ext cx="196144" cy="180627"/>
    <xdr:sp macro="_xll.PtreeEvent_ObjectClick" textlink="">
      <xdr:nvSpPr>
        <xdr:cNvPr id="187" name="PTObj_DBranchName_3_32">
          <a:extLst>
            <a:ext uri="{FF2B5EF4-FFF2-40B4-BE49-F238E27FC236}">
              <a16:creationId xmlns:a16="http://schemas.microsoft.com/office/drawing/2014/main" id="{9DCC5F94-54EA-73C3-6AF1-CFEC11CAC836}"/>
            </a:ext>
          </a:extLst>
        </xdr:cNvPr>
        <xdr:cNvSpPr txBox="1"/>
      </xdr:nvSpPr>
      <xdr:spPr>
        <a:xfrm>
          <a:off x="10045828" y="8865726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128</xdr:colOff>
      <xdr:row>52</xdr:row>
      <xdr:rowOff>86359</xdr:rowOff>
    </xdr:from>
    <xdr:to>
      <xdr:col>8</xdr:col>
      <xdr:colOff>183008</xdr:colOff>
      <xdr:row>53</xdr:row>
      <xdr:rowOff>86360</xdr:rowOff>
    </xdr:to>
    <xdr:sp macro="_xll.PtreeEvent_ObjectClick" textlink="">
      <xdr:nvSpPr>
        <xdr:cNvPr id="188" name="PTObj_DNode_3_33">
          <a:extLst>
            <a:ext uri="{FF2B5EF4-FFF2-40B4-BE49-F238E27FC236}">
              <a16:creationId xmlns:a16="http://schemas.microsoft.com/office/drawing/2014/main" id="{049A8673-B343-027F-44A0-89D83698479F}"/>
            </a:ext>
          </a:extLst>
        </xdr:cNvPr>
        <xdr:cNvSpPr/>
      </xdr:nvSpPr>
      <xdr:spPr>
        <a:xfrm rot="-5400000">
          <a:off x="11292967" y="95961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52</xdr:row>
      <xdr:rowOff>87487</xdr:rowOff>
    </xdr:from>
    <xdr:ext cx="339708" cy="180627"/>
    <xdr:sp macro="_xll.PtreeEvent_ObjectClick" textlink="">
      <xdr:nvSpPr>
        <xdr:cNvPr id="191" name="PTObj_DBranchName_3_33">
          <a:extLst>
            <a:ext uri="{FF2B5EF4-FFF2-40B4-BE49-F238E27FC236}">
              <a16:creationId xmlns:a16="http://schemas.microsoft.com/office/drawing/2014/main" id="{E4F767BE-1485-7BAF-4645-39031125360D}"/>
            </a:ext>
          </a:extLst>
        </xdr:cNvPr>
        <xdr:cNvSpPr txBox="1"/>
      </xdr:nvSpPr>
      <xdr:spPr>
        <a:xfrm>
          <a:off x="10045828" y="9597247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6</xdr:col>
      <xdr:colOff>127</xdr:colOff>
      <xdr:row>92</xdr:row>
      <xdr:rowOff>86360</xdr:rowOff>
    </xdr:from>
    <xdr:to>
      <xdr:col>6</xdr:col>
      <xdr:colOff>183007</xdr:colOff>
      <xdr:row>93</xdr:row>
      <xdr:rowOff>89333</xdr:rowOff>
    </xdr:to>
    <xdr:sp macro="_xll.PtreeEvent_ObjectClick" textlink="">
      <xdr:nvSpPr>
        <xdr:cNvPr id="196" name="PTObj_DNode_3_25">
          <a:extLst>
            <a:ext uri="{FF2B5EF4-FFF2-40B4-BE49-F238E27FC236}">
              <a16:creationId xmlns:a16="http://schemas.microsoft.com/office/drawing/2014/main" id="{BEFE4921-176D-53C3-EBC2-C3B6C806BAE7}"/>
            </a:ext>
          </a:extLst>
        </xdr:cNvPr>
        <xdr:cNvSpPr/>
      </xdr:nvSpPr>
      <xdr:spPr>
        <a:xfrm>
          <a:off x="8237347" y="125222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127</xdr:colOff>
      <xdr:row>88</xdr:row>
      <xdr:rowOff>86360</xdr:rowOff>
    </xdr:from>
    <xdr:to>
      <xdr:col>7</xdr:col>
      <xdr:colOff>183008</xdr:colOff>
      <xdr:row>89</xdr:row>
      <xdr:rowOff>86361</xdr:rowOff>
    </xdr:to>
    <xdr:sp macro="_xll.PtreeEvent_ObjectClick" textlink="">
      <xdr:nvSpPr>
        <xdr:cNvPr id="200" name="PTObj_DNode_3_34">
          <a:extLst>
            <a:ext uri="{FF2B5EF4-FFF2-40B4-BE49-F238E27FC236}">
              <a16:creationId xmlns:a16="http://schemas.microsoft.com/office/drawing/2014/main" id="{FB7CB15A-3936-75B0-6B7D-458CA2FD56D8}"/>
            </a:ext>
          </a:extLst>
        </xdr:cNvPr>
        <xdr:cNvSpPr/>
      </xdr:nvSpPr>
      <xdr:spPr>
        <a:xfrm>
          <a:off x="9768967" y="11790680"/>
          <a:ext cx="182881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88</xdr:row>
      <xdr:rowOff>87487</xdr:rowOff>
    </xdr:from>
    <xdr:ext cx="607602" cy="180627"/>
    <xdr:sp macro="_xll.PtreeEvent_ObjectClick" textlink="">
      <xdr:nvSpPr>
        <xdr:cNvPr id="203" name="PTObj_DBranchName_3_34">
          <a:extLst>
            <a:ext uri="{FF2B5EF4-FFF2-40B4-BE49-F238E27FC236}">
              <a16:creationId xmlns:a16="http://schemas.microsoft.com/office/drawing/2014/main" id="{E576CF7D-BFAE-C560-0107-16A6C369C453}"/>
            </a:ext>
          </a:extLst>
        </xdr:cNvPr>
        <xdr:cNvSpPr txBox="1"/>
      </xdr:nvSpPr>
      <xdr:spPr>
        <a:xfrm>
          <a:off x="8514207" y="11791807"/>
          <a:ext cx="6076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Student Loan</a:t>
          </a:r>
        </a:p>
      </xdr:txBody>
    </xdr:sp>
    <xdr:clientData/>
  </xdr:oneCellAnchor>
  <xdr:twoCellAnchor editAs="oneCell">
    <xdr:from>
      <xdr:col>8</xdr:col>
      <xdr:colOff>128</xdr:colOff>
      <xdr:row>86</xdr:row>
      <xdr:rowOff>86359</xdr:rowOff>
    </xdr:from>
    <xdr:to>
      <xdr:col>8</xdr:col>
      <xdr:colOff>183008</xdr:colOff>
      <xdr:row>87</xdr:row>
      <xdr:rowOff>86360</xdr:rowOff>
    </xdr:to>
    <xdr:sp macro="_xll.PtreeEvent_ObjectClick" textlink="">
      <xdr:nvSpPr>
        <xdr:cNvPr id="204" name="PTObj_DNode_3_35">
          <a:extLst>
            <a:ext uri="{FF2B5EF4-FFF2-40B4-BE49-F238E27FC236}">
              <a16:creationId xmlns:a16="http://schemas.microsoft.com/office/drawing/2014/main" id="{67D7CA6D-12A8-D0B5-A93D-0A4599F2A709}"/>
            </a:ext>
          </a:extLst>
        </xdr:cNvPr>
        <xdr:cNvSpPr/>
      </xdr:nvSpPr>
      <xdr:spPr>
        <a:xfrm rot="-5400000">
          <a:off x="11292967" y="114249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86</xdr:row>
      <xdr:rowOff>87487</xdr:rowOff>
    </xdr:from>
    <xdr:ext cx="196144" cy="180627"/>
    <xdr:sp macro="_xll.PtreeEvent_ObjectClick" textlink="">
      <xdr:nvSpPr>
        <xdr:cNvPr id="207" name="PTObj_DBranchName_3_35">
          <a:extLst>
            <a:ext uri="{FF2B5EF4-FFF2-40B4-BE49-F238E27FC236}">
              <a16:creationId xmlns:a16="http://schemas.microsoft.com/office/drawing/2014/main" id="{35A2B5B4-AA4F-03CF-46AA-47B59C6EEE42}"/>
            </a:ext>
          </a:extLst>
        </xdr:cNvPr>
        <xdr:cNvSpPr txBox="1"/>
      </xdr:nvSpPr>
      <xdr:spPr>
        <a:xfrm>
          <a:off x="10045828" y="11426047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128</xdr:colOff>
      <xdr:row>90</xdr:row>
      <xdr:rowOff>86359</xdr:rowOff>
    </xdr:from>
    <xdr:to>
      <xdr:col>8</xdr:col>
      <xdr:colOff>183008</xdr:colOff>
      <xdr:row>91</xdr:row>
      <xdr:rowOff>86360</xdr:rowOff>
    </xdr:to>
    <xdr:sp macro="_xll.PtreeEvent_ObjectClick" textlink="">
      <xdr:nvSpPr>
        <xdr:cNvPr id="208" name="PTObj_DNode_3_36">
          <a:extLst>
            <a:ext uri="{FF2B5EF4-FFF2-40B4-BE49-F238E27FC236}">
              <a16:creationId xmlns:a16="http://schemas.microsoft.com/office/drawing/2014/main" id="{D25F9753-719E-922C-967E-54B50050BE05}"/>
            </a:ext>
          </a:extLst>
        </xdr:cNvPr>
        <xdr:cNvSpPr/>
      </xdr:nvSpPr>
      <xdr:spPr>
        <a:xfrm rot="-5400000">
          <a:off x="11292967" y="1215644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90</xdr:row>
      <xdr:rowOff>87486</xdr:rowOff>
    </xdr:from>
    <xdr:ext cx="339708" cy="180627"/>
    <xdr:sp macro="_xll.PtreeEvent_ObjectClick" textlink="">
      <xdr:nvSpPr>
        <xdr:cNvPr id="211" name="PTObj_DBranchName_3_36">
          <a:extLst>
            <a:ext uri="{FF2B5EF4-FFF2-40B4-BE49-F238E27FC236}">
              <a16:creationId xmlns:a16="http://schemas.microsoft.com/office/drawing/2014/main" id="{AA5762E6-D7AB-A77B-C102-05564441A320}"/>
            </a:ext>
          </a:extLst>
        </xdr:cNvPr>
        <xdr:cNvSpPr txBox="1"/>
      </xdr:nvSpPr>
      <xdr:spPr>
        <a:xfrm>
          <a:off x="10045828" y="12157566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7</xdr:col>
      <xdr:colOff>127</xdr:colOff>
      <xdr:row>96</xdr:row>
      <xdr:rowOff>86360</xdr:rowOff>
    </xdr:from>
    <xdr:to>
      <xdr:col>7</xdr:col>
      <xdr:colOff>183008</xdr:colOff>
      <xdr:row>97</xdr:row>
      <xdr:rowOff>89333</xdr:rowOff>
    </xdr:to>
    <xdr:sp macro="_xll.PtreeEvent_ObjectClick" textlink="">
      <xdr:nvSpPr>
        <xdr:cNvPr id="212" name="PTObj_DNode_3_37">
          <a:extLst>
            <a:ext uri="{FF2B5EF4-FFF2-40B4-BE49-F238E27FC236}">
              <a16:creationId xmlns:a16="http://schemas.microsoft.com/office/drawing/2014/main" id="{26736DDB-D8E0-9A06-998A-2BB1F4987675}"/>
            </a:ext>
          </a:extLst>
        </xdr:cNvPr>
        <xdr:cNvSpPr/>
      </xdr:nvSpPr>
      <xdr:spPr>
        <a:xfrm>
          <a:off x="9768967" y="1325372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96</xdr:row>
      <xdr:rowOff>87487</xdr:rowOff>
    </xdr:from>
    <xdr:ext cx="688330" cy="180627"/>
    <xdr:sp macro="_xll.PtreeEvent_ObjectClick" textlink="">
      <xdr:nvSpPr>
        <xdr:cNvPr id="215" name="PTObj_DBranchName_3_37">
          <a:extLst>
            <a:ext uri="{FF2B5EF4-FFF2-40B4-BE49-F238E27FC236}">
              <a16:creationId xmlns:a16="http://schemas.microsoft.com/office/drawing/2014/main" id="{CBB7C52B-A454-804A-45A5-9361F1C6005F}"/>
            </a:ext>
          </a:extLst>
        </xdr:cNvPr>
        <xdr:cNvSpPr txBox="1"/>
      </xdr:nvSpPr>
      <xdr:spPr>
        <a:xfrm>
          <a:off x="8514207" y="13254847"/>
          <a:ext cx="6883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Personal Funds</a:t>
          </a:r>
        </a:p>
      </xdr:txBody>
    </xdr:sp>
    <xdr:clientData/>
  </xdr:oneCellAnchor>
  <xdr:twoCellAnchor editAs="oneCell">
    <xdr:from>
      <xdr:col>8</xdr:col>
      <xdr:colOff>128</xdr:colOff>
      <xdr:row>94</xdr:row>
      <xdr:rowOff>86359</xdr:rowOff>
    </xdr:from>
    <xdr:to>
      <xdr:col>8</xdr:col>
      <xdr:colOff>183007</xdr:colOff>
      <xdr:row>95</xdr:row>
      <xdr:rowOff>86360</xdr:rowOff>
    </xdr:to>
    <xdr:sp macro="_xll.PtreeEvent_ObjectClick" textlink="">
      <xdr:nvSpPr>
        <xdr:cNvPr id="216" name="PTObj_DNode_3_38">
          <a:extLst>
            <a:ext uri="{FF2B5EF4-FFF2-40B4-BE49-F238E27FC236}">
              <a16:creationId xmlns:a16="http://schemas.microsoft.com/office/drawing/2014/main" id="{41D427F4-6039-B7A2-15CD-2C6FCAD9E317}"/>
            </a:ext>
          </a:extLst>
        </xdr:cNvPr>
        <xdr:cNvSpPr/>
      </xdr:nvSpPr>
      <xdr:spPr>
        <a:xfrm rot="-5400000">
          <a:off x="11292967" y="12887960"/>
          <a:ext cx="182881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94</xdr:row>
      <xdr:rowOff>87486</xdr:rowOff>
    </xdr:from>
    <xdr:ext cx="196144" cy="180627"/>
    <xdr:sp macro="_xll.PtreeEvent_ObjectClick" textlink="">
      <xdr:nvSpPr>
        <xdr:cNvPr id="219" name="PTObj_DBranchName_3_38">
          <a:extLst>
            <a:ext uri="{FF2B5EF4-FFF2-40B4-BE49-F238E27FC236}">
              <a16:creationId xmlns:a16="http://schemas.microsoft.com/office/drawing/2014/main" id="{D0E331E2-BEB3-FD68-C511-CA2EFB76606D}"/>
            </a:ext>
          </a:extLst>
        </xdr:cNvPr>
        <xdr:cNvSpPr txBox="1"/>
      </xdr:nvSpPr>
      <xdr:spPr>
        <a:xfrm>
          <a:off x="10045828" y="12889086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127</xdr:colOff>
      <xdr:row>98</xdr:row>
      <xdr:rowOff>86360</xdr:rowOff>
    </xdr:from>
    <xdr:to>
      <xdr:col>8</xdr:col>
      <xdr:colOff>183008</xdr:colOff>
      <xdr:row>99</xdr:row>
      <xdr:rowOff>86361</xdr:rowOff>
    </xdr:to>
    <xdr:sp macro="_xll.PtreeEvent_ObjectClick" textlink="">
      <xdr:nvSpPr>
        <xdr:cNvPr id="220" name="PTObj_DNode_3_39">
          <a:extLst>
            <a:ext uri="{FF2B5EF4-FFF2-40B4-BE49-F238E27FC236}">
              <a16:creationId xmlns:a16="http://schemas.microsoft.com/office/drawing/2014/main" id="{65C38C46-1313-2927-5FA1-EB8BE65D53BF}"/>
            </a:ext>
          </a:extLst>
        </xdr:cNvPr>
        <xdr:cNvSpPr/>
      </xdr:nvSpPr>
      <xdr:spPr>
        <a:xfrm rot="-5400000">
          <a:off x="11292967" y="136194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98</xdr:row>
      <xdr:rowOff>87486</xdr:rowOff>
    </xdr:from>
    <xdr:ext cx="339708" cy="180627"/>
    <xdr:sp macro="_xll.PtreeEvent_ObjectClick" textlink="">
      <xdr:nvSpPr>
        <xdr:cNvPr id="223" name="PTObj_DBranchName_3_39">
          <a:extLst>
            <a:ext uri="{FF2B5EF4-FFF2-40B4-BE49-F238E27FC236}">
              <a16:creationId xmlns:a16="http://schemas.microsoft.com/office/drawing/2014/main" id="{B60412E7-7DBB-1B1B-1E7F-9620BDE4BBF5}"/>
            </a:ext>
          </a:extLst>
        </xdr:cNvPr>
        <xdr:cNvSpPr txBox="1"/>
      </xdr:nvSpPr>
      <xdr:spPr>
        <a:xfrm>
          <a:off x="10045828" y="13620606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6</xdr:col>
      <xdr:colOff>127</xdr:colOff>
      <xdr:row>62</xdr:row>
      <xdr:rowOff>86360</xdr:rowOff>
    </xdr:from>
    <xdr:to>
      <xdr:col>6</xdr:col>
      <xdr:colOff>183007</xdr:colOff>
      <xdr:row>63</xdr:row>
      <xdr:rowOff>86360</xdr:rowOff>
    </xdr:to>
    <xdr:sp macro="_xll.PtreeEvent_ObjectClick" textlink="">
      <xdr:nvSpPr>
        <xdr:cNvPr id="228" name="PTObj_DNode_3_23">
          <a:extLst>
            <a:ext uri="{FF2B5EF4-FFF2-40B4-BE49-F238E27FC236}">
              <a16:creationId xmlns:a16="http://schemas.microsoft.com/office/drawing/2014/main" id="{640BFF83-991F-395A-188A-6C9872EEC1A8}"/>
            </a:ext>
          </a:extLst>
        </xdr:cNvPr>
        <xdr:cNvSpPr/>
      </xdr:nvSpPr>
      <xdr:spPr>
        <a:xfrm>
          <a:off x="8237347" y="114249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127</xdr:colOff>
      <xdr:row>58</xdr:row>
      <xdr:rowOff>86360</xdr:rowOff>
    </xdr:from>
    <xdr:to>
      <xdr:col>7</xdr:col>
      <xdr:colOff>183008</xdr:colOff>
      <xdr:row>59</xdr:row>
      <xdr:rowOff>86360</xdr:rowOff>
    </xdr:to>
    <xdr:sp macro="_xll.PtreeEvent_ObjectClick" textlink="">
      <xdr:nvSpPr>
        <xdr:cNvPr id="232" name="PTObj_DNode_3_40">
          <a:extLst>
            <a:ext uri="{FF2B5EF4-FFF2-40B4-BE49-F238E27FC236}">
              <a16:creationId xmlns:a16="http://schemas.microsoft.com/office/drawing/2014/main" id="{C880E152-37FB-812A-5A38-617A67352A80}"/>
            </a:ext>
          </a:extLst>
        </xdr:cNvPr>
        <xdr:cNvSpPr/>
      </xdr:nvSpPr>
      <xdr:spPr>
        <a:xfrm>
          <a:off x="9768967" y="1069340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58</xdr:row>
      <xdr:rowOff>87486</xdr:rowOff>
    </xdr:from>
    <xdr:ext cx="607602" cy="180627"/>
    <xdr:sp macro="_xll.PtreeEvent_ObjectClick" textlink="">
      <xdr:nvSpPr>
        <xdr:cNvPr id="235" name="PTObj_DBranchName_3_40">
          <a:extLst>
            <a:ext uri="{FF2B5EF4-FFF2-40B4-BE49-F238E27FC236}">
              <a16:creationId xmlns:a16="http://schemas.microsoft.com/office/drawing/2014/main" id="{1551A897-E238-3493-8AFD-FD44E394E256}"/>
            </a:ext>
          </a:extLst>
        </xdr:cNvPr>
        <xdr:cNvSpPr txBox="1"/>
      </xdr:nvSpPr>
      <xdr:spPr>
        <a:xfrm>
          <a:off x="8514207" y="10694526"/>
          <a:ext cx="6076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Student Loan</a:t>
          </a:r>
        </a:p>
      </xdr:txBody>
    </xdr:sp>
    <xdr:clientData/>
  </xdr:oneCellAnchor>
  <xdr:twoCellAnchor editAs="oneCell">
    <xdr:from>
      <xdr:col>8</xdr:col>
      <xdr:colOff>128</xdr:colOff>
      <xdr:row>56</xdr:row>
      <xdr:rowOff>86359</xdr:rowOff>
    </xdr:from>
    <xdr:to>
      <xdr:col>8</xdr:col>
      <xdr:colOff>183008</xdr:colOff>
      <xdr:row>57</xdr:row>
      <xdr:rowOff>86360</xdr:rowOff>
    </xdr:to>
    <xdr:sp macro="_xll.PtreeEvent_ObjectClick" textlink="">
      <xdr:nvSpPr>
        <xdr:cNvPr id="236" name="PTObj_DNode_3_41">
          <a:extLst>
            <a:ext uri="{FF2B5EF4-FFF2-40B4-BE49-F238E27FC236}">
              <a16:creationId xmlns:a16="http://schemas.microsoft.com/office/drawing/2014/main" id="{E33957F9-97DF-9B88-27D0-25A949379A52}"/>
            </a:ext>
          </a:extLst>
        </xdr:cNvPr>
        <xdr:cNvSpPr/>
      </xdr:nvSpPr>
      <xdr:spPr>
        <a:xfrm rot="-5400000">
          <a:off x="11292967" y="1032764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56</xdr:row>
      <xdr:rowOff>87486</xdr:rowOff>
    </xdr:from>
    <xdr:ext cx="196144" cy="180627"/>
    <xdr:sp macro="_xll.PtreeEvent_ObjectClick" textlink="">
      <xdr:nvSpPr>
        <xdr:cNvPr id="239" name="PTObj_DBranchName_3_41">
          <a:extLst>
            <a:ext uri="{FF2B5EF4-FFF2-40B4-BE49-F238E27FC236}">
              <a16:creationId xmlns:a16="http://schemas.microsoft.com/office/drawing/2014/main" id="{2201791B-E469-9CAD-58D8-D02898427DE0}"/>
            </a:ext>
          </a:extLst>
        </xdr:cNvPr>
        <xdr:cNvSpPr txBox="1"/>
      </xdr:nvSpPr>
      <xdr:spPr>
        <a:xfrm>
          <a:off x="10045828" y="10328766"/>
          <a:ext cx="19614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128</xdr:colOff>
      <xdr:row>60</xdr:row>
      <xdr:rowOff>86359</xdr:rowOff>
    </xdr:from>
    <xdr:to>
      <xdr:col>8</xdr:col>
      <xdr:colOff>183008</xdr:colOff>
      <xdr:row>61</xdr:row>
      <xdr:rowOff>86360</xdr:rowOff>
    </xdr:to>
    <xdr:sp macro="_xll.PtreeEvent_ObjectClick" textlink="">
      <xdr:nvSpPr>
        <xdr:cNvPr id="240" name="PTObj_DNode_3_42">
          <a:extLst>
            <a:ext uri="{FF2B5EF4-FFF2-40B4-BE49-F238E27FC236}">
              <a16:creationId xmlns:a16="http://schemas.microsoft.com/office/drawing/2014/main" id="{CE7A8FE2-291B-CBBF-879D-1350F45B0F92}"/>
            </a:ext>
          </a:extLst>
        </xdr:cNvPr>
        <xdr:cNvSpPr/>
      </xdr:nvSpPr>
      <xdr:spPr>
        <a:xfrm rot="-5400000">
          <a:off x="11292967" y="1105916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60</xdr:row>
      <xdr:rowOff>87486</xdr:rowOff>
    </xdr:from>
    <xdr:ext cx="339708" cy="180627"/>
    <xdr:sp macro="_xll.PtreeEvent_ObjectClick" textlink="">
      <xdr:nvSpPr>
        <xdr:cNvPr id="243" name="PTObj_DBranchName_3_42">
          <a:extLst>
            <a:ext uri="{FF2B5EF4-FFF2-40B4-BE49-F238E27FC236}">
              <a16:creationId xmlns:a16="http://schemas.microsoft.com/office/drawing/2014/main" id="{0B1915D0-BBB1-014D-A966-A63FCF93EE9E}"/>
            </a:ext>
          </a:extLst>
        </xdr:cNvPr>
        <xdr:cNvSpPr txBox="1"/>
      </xdr:nvSpPr>
      <xdr:spPr>
        <a:xfrm>
          <a:off x="10045828" y="11060286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7</xdr:col>
      <xdr:colOff>127</xdr:colOff>
      <xdr:row>66</xdr:row>
      <xdr:rowOff>86360</xdr:rowOff>
    </xdr:from>
    <xdr:to>
      <xdr:col>7</xdr:col>
      <xdr:colOff>183008</xdr:colOff>
      <xdr:row>67</xdr:row>
      <xdr:rowOff>86360</xdr:rowOff>
    </xdr:to>
    <xdr:sp macro="_xll.PtreeEvent_ObjectClick" textlink="">
      <xdr:nvSpPr>
        <xdr:cNvPr id="244" name="PTObj_DNode_3_43">
          <a:extLst>
            <a:ext uri="{FF2B5EF4-FFF2-40B4-BE49-F238E27FC236}">
              <a16:creationId xmlns:a16="http://schemas.microsoft.com/office/drawing/2014/main" id="{A68FF685-4D3C-E41C-6CF3-F8F72AC75B17}"/>
            </a:ext>
          </a:extLst>
        </xdr:cNvPr>
        <xdr:cNvSpPr/>
      </xdr:nvSpPr>
      <xdr:spPr>
        <a:xfrm>
          <a:off x="9768967" y="1215644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66</xdr:row>
      <xdr:rowOff>87486</xdr:rowOff>
    </xdr:from>
    <xdr:ext cx="688330" cy="180627"/>
    <xdr:sp macro="_xll.PtreeEvent_ObjectClick" textlink="">
      <xdr:nvSpPr>
        <xdr:cNvPr id="247" name="PTObj_DBranchName_3_43">
          <a:extLst>
            <a:ext uri="{FF2B5EF4-FFF2-40B4-BE49-F238E27FC236}">
              <a16:creationId xmlns:a16="http://schemas.microsoft.com/office/drawing/2014/main" id="{D14A32D8-F998-1A70-45AA-A03461F1A453}"/>
            </a:ext>
          </a:extLst>
        </xdr:cNvPr>
        <xdr:cNvSpPr txBox="1"/>
      </xdr:nvSpPr>
      <xdr:spPr>
        <a:xfrm>
          <a:off x="8514207" y="12157566"/>
          <a:ext cx="6883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Personal Funds</a:t>
          </a:r>
        </a:p>
      </xdr:txBody>
    </xdr:sp>
    <xdr:clientData/>
  </xdr:oneCellAnchor>
  <xdr:twoCellAnchor editAs="oneCell">
    <xdr:from>
      <xdr:col>8</xdr:col>
      <xdr:colOff>127</xdr:colOff>
      <xdr:row>64</xdr:row>
      <xdr:rowOff>86360</xdr:rowOff>
    </xdr:from>
    <xdr:to>
      <xdr:col>8</xdr:col>
      <xdr:colOff>183008</xdr:colOff>
      <xdr:row>65</xdr:row>
      <xdr:rowOff>86361</xdr:rowOff>
    </xdr:to>
    <xdr:sp macro="_xll.PtreeEvent_ObjectClick" textlink="">
      <xdr:nvSpPr>
        <xdr:cNvPr id="248" name="PTObj_DNode_3_44">
          <a:extLst>
            <a:ext uri="{FF2B5EF4-FFF2-40B4-BE49-F238E27FC236}">
              <a16:creationId xmlns:a16="http://schemas.microsoft.com/office/drawing/2014/main" id="{E8BDEC2E-4442-7A56-02CA-629594F9A37D}"/>
            </a:ext>
          </a:extLst>
        </xdr:cNvPr>
        <xdr:cNvSpPr/>
      </xdr:nvSpPr>
      <xdr:spPr>
        <a:xfrm rot="-5400000">
          <a:off x="11292967" y="117906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64</xdr:row>
      <xdr:rowOff>87487</xdr:rowOff>
    </xdr:from>
    <xdr:ext cx="196144" cy="180627"/>
    <xdr:sp macro="_xll.PtreeEvent_ObjectClick" textlink="">
      <xdr:nvSpPr>
        <xdr:cNvPr id="251" name="PTObj_DBranchName_3_44">
          <a:extLst>
            <a:ext uri="{FF2B5EF4-FFF2-40B4-BE49-F238E27FC236}">
              <a16:creationId xmlns:a16="http://schemas.microsoft.com/office/drawing/2014/main" id="{121C2E91-7F18-B578-E99E-35244D81D576}"/>
            </a:ext>
          </a:extLst>
        </xdr:cNvPr>
        <xdr:cNvSpPr txBox="1"/>
      </xdr:nvSpPr>
      <xdr:spPr>
        <a:xfrm>
          <a:off x="10045828" y="11791807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128</xdr:colOff>
      <xdr:row>68</xdr:row>
      <xdr:rowOff>86359</xdr:rowOff>
    </xdr:from>
    <xdr:to>
      <xdr:col>8</xdr:col>
      <xdr:colOff>183008</xdr:colOff>
      <xdr:row>69</xdr:row>
      <xdr:rowOff>86360</xdr:rowOff>
    </xdr:to>
    <xdr:sp macro="_xll.PtreeEvent_ObjectClick" textlink="">
      <xdr:nvSpPr>
        <xdr:cNvPr id="252" name="PTObj_DNode_3_45">
          <a:extLst>
            <a:ext uri="{FF2B5EF4-FFF2-40B4-BE49-F238E27FC236}">
              <a16:creationId xmlns:a16="http://schemas.microsoft.com/office/drawing/2014/main" id="{5703FB7C-2558-5C81-55BD-D59962C77714}"/>
            </a:ext>
          </a:extLst>
        </xdr:cNvPr>
        <xdr:cNvSpPr/>
      </xdr:nvSpPr>
      <xdr:spPr>
        <a:xfrm rot="-5400000">
          <a:off x="11292967" y="125222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68</xdr:row>
      <xdr:rowOff>87486</xdr:rowOff>
    </xdr:from>
    <xdr:ext cx="339708" cy="180627"/>
    <xdr:sp macro="_xll.PtreeEvent_ObjectClick" textlink="">
      <xdr:nvSpPr>
        <xdr:cNvPr id="255" name="PTObj_DBranchName_3_45">
          <a:extLst>
            <a:ext uri="{FF2B5EF4-FFF2-40B4-BE49-F238E27FC236}">
              <a16:creationId xmlns:a16="http://schemas.microsoft.com/office/drawing/2014/main" id="{4F921E93-D065-79C4-3110-4E58C8F2B192}"/>
            </a:ext>
          </a:extLst>
        </xdr:cNvPr>
        <xdr:cNvSpPr txBox="1"/>
      </xdr:nvSpPr>
      <xdr:spPr>
        <a:xfrm>
          <a:off x="10045828" y="12523326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6</xdr:col>
      <xdr:colOff>127</xdr:colOff>
      <xdr:row>108</xdr:row>
      <xdr:rowOff>86359</xdr:rowOff>
    </xdr:from>
    <xdr:to>
      <xdr:col>6</xdr:col>
      <xdr:colOff>183007</xdr:colOff>
      <xdr:row>109</xdr:row>
      <xdr:rowOff>86360</xdr:rowOff>
    </xdr:to>
    <xdr:sp macro="_xll.PtreeEvent_ObjectClick" textlink="">
      <xdr:nvSpPr>
        <xdr:cNvPr id="260" name="PTObj_DNode_3_26">
          <a:extLst>
            <a:ext uri="{FF2B5EF4-FFF2-40B4-BE49-F238E27FC236}">
              <a16:creationId xmlns:a16="http://schemas.microsoft.com/office/drawing/2014/main" id="{716E25B7-5F5C-EFC1-F416-022BF30485B8}"/>
            </a:ext>
          </a:extLst>
        </xdr:cNvPr>
        <xdr:cNvSpPr/>
      </xdr:nvSpPr>
      <xdr:spPr>
        <a:xfrm>
          <a:off x="8237347" y="17642839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127</xdr:colOff>
      <xdr:row>104</xdr:row>
      <xdr:rowOff>86360</xdr:rowOff>
    </xdr:from>
    <xdr:to>
      <xdr:col>7</xdr:col>
      <xdr:colOff>183008</xdr:colOff>
      <xdr:row>105</xdr:row>
      <xdr:rowOff>89333</xdr:rowOff>
    </xdr:to>
    <xdr:sp macro="_xll.PtreeEvent_ObjectClick" textlink="">
      <xdr:nvSpPr>
        <xdr:cNvPr id="264" name="PTObj_DNode_3_46">
          <a:extLst>
            <a:ext uri="{FF2B5EF4-FFF2-40B4-BE49-F238E27FC236}">
              <a16:creationId xmlns:a16="http://schemas.microsoft.com/office/drawing/2014/main" id="{B7D54C4B-5735-F43C-7CDD-0399E82DD561}"/>
            </a:ext>
          </a:extLst>
        </xdr:cNvPr>
        <xdr:cNvSpPr/>
      </xdr:nvSpPr>
      <xdr:spPr>
        <a:xfrm>
          <a:off x="9768967" y="1691132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104</xdr:row>
      <xdr:rowOff>87487</xdr:rowOff>
    </xdr:from>
    <xdr:ext cx="607602" cy="180627"/>
    <xdr:sp macro="_xll.PtreeEvent_ObjectClick" textlink="">
      <xdr:nvSpPr>
        <xdr:cNvPr id="267" name="PTObj_DBranchName_3_46">
          <a:extLst>
            <a:ext uri="{FF2B5EF4-FFF2-40B4-BE49-F238E27FC236}">
              <a16:creationId xmlns:a16="http://schemas.microsoft.com/office/drawing/2014/main" id="{A7F16CA9-98CA-B212-FB79-61B100B2A50A}"/>
            </a:ext>
          </a:extLst>
        </xdr:cNvPr>
        <xdr:cNvSpPr txBox="1"/>
      </xdr:nvSpPr>
      <xdr:spPr>
        <a:xfrm>
          <a:off x="8514207" y="16912447"/>
          <a:ext cx="6076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Student Loan</a:t>
          </a:r>
        </a:p>
      </xdr:txBody>
    </xdr:sp>
    <xdr:clientData/>
  </xdr:oneCellAnchor>
  <xdr:twoCellAnchor editAs="oneCell">
    <xdr:from>
      <xdr:col>8</xdr:col>
      <xdr:colOff>128</xdr:colOff>
      <xdr:row>102</xdr:row>
      <xdr:rowOff>86360</xdr:rowOff>
    </xdr:from>
    <xdr:to>
      <xdr:col>8</xdr:col>
      <xdr:colOff>183008</xdr:colOff>
      <xdr:row>103</xdr:row>
      <xdr:rowOff>86361</xdr:rowOff>
    </xdr:to>
    <xdr:sp macro="_xll.PtreeEvent_ObjectClick" textlink="">
      <xdr:nvSpPr>
        <xdr:cNvPr id="268" name="PTObj_DNode_3_47">
          <a:extLst>
            <a:ext uri="{FF2B5EF4-FFF2-40B4-BE49-F238E27FC236}">
              <a16:creationId xmlns:a16="http://schemas.microsoft.com/office/drawing/2014/main" id="{EEEBC5D3-D108-7E6F-46F4-3F0679CBA445}"/>
            </a:ext>
          </a:extLst>
        </xdr:cNvPr>
        <xdr:cNvSpPr/>
      </xdr:nvSpPr>
      <xdr:spPr>
        <a:xfrm rot="-5400000">
          <a:off x="11292967" y="16545561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102</xdr:row>
      <xdr:rowOff>87486</xdr:rowOff>
    </xdr:from>
    <xdr:ext cx="196144" cy="180627"/>
    <xdr:sp macro="_xll.PtreeEvent_ObjectClick" textlink="">
      <xdr:nvSpPr>
        <xdr:cNvPr id="271" name="PTObj_DBranchName_3_47">
          <a:extLst>
            <a:ext uri="{FF2B5EF4-FFF2-40B4-BE49-F238E27FC236}">
              <a16:creationId xmlns:a16="http://schemas.microsoft.com/office/drawing/2014/main" id="{FDBC3E31-FDA5-5B9F-7097-EA9909A72837}"/>
            </a:ext>
          </a:extLst>
        </xdr:cNvPr>
        <xdr:cNvSpPr txBox="1"/>
      </xdr:nvSpPr>
      <xdr:spPr>
        <a:xfrm>
          <a:off x="10045828" y="16546686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127</xdr:colOff>
      <xdr:row>106</xdr:row>
      <xdr:rowOff>86360</xdr:rowOff>
    </xdr:from>
    <xdr:to>
      <xdr:col>8</xdr:col>
      <xdr:colOff>183008</xdr:colOff>
      <xdr:row>107</xdr:row>
      <xdr:rowOff>86361</xdr:rowOff>
    </xdr:to>
    <xdr:sp macro="_xll.PtreeEvent_ObjectClick" textlink="">
      <xdr:nvSpPr>
        <xdr:cNvPr id="272" name="PTObj_DNode_3_48">
          <a:extLst>
            <a:ext uri="{FF2B5EF4-FFF2-40B4-BE49-F238E27FC236}">
              <a16:creationId xmlns:a16="http://schemas.microsoft.com/office/drawing/2014/main" id="{57FEEFEA-D532-A970-9B4C-704DA504A434}"/>
            </a:ext>
          </a:extLst>
        </xdr:cNvPr>
        <xdr:cNvSpPr/>
      </xdr:nvSpPr>
      <xdr:spPr>
        <a:xfrm rot="-5400000">
          <a:off x="11292967" y="172770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106</xdr:row>
      <xdr:rowOff>87486</xdr:rowOff>
    </xdr:from>
    <xdr:ext cx="339708" cy="180627"/>
    <xdr:sp macro="_xll.PtreeEvent_ObjectClick" textlink="">
      <xdr:nvSpPr>
        <xdr:cNvPr id="275" name="PTObj_DBranchName_3_48">
          <a:extLst>
            <a:ext uri="{FF2B5EF4-FFF2-40B4-BE49-F238E27FC236}">
              <a16:creationId xmlns:a16="http://schemas.microsoft.com/office/drawing/2014/main" id="{BE618CB4-EA09-FC66-DC16-CEAA7F22F490}"/>
            </a:ext>
          </a:extLst>
        </xdr:cNvPr>
        <xdr:cNvSpPr txBox="1"/>
      </xdr:nvSpPr>
      <xdr:spPr>
        <a:xfrm>
          <a:off x="10045828" y="17278206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7</xdr:col>
      <xdr:colOff>127</xdr:colOff>
      <xdr:row>112</xdr:row>
      <xdr:rowOff>86361</xdr:rowOff>
    </xdr:from>
    <xdr:to>
      <xdr:col>7</xdr:col>
      <xdr:colOff>183008</xdr:colOff>
      <xdr:row>113</xdr:row>
      <xdr:rowOff>89334</xdr:rowOff>
    </xdr:to>
    <xdr:sp macro="_xll.PtreeEvent_ObjectClick" textlink="">
      <xdr:nvSpPr>
        <xdr:cNvPr id="276" name="PTObj_DNode_3_49">
          <a:extLst>
            <a:ext uri="{FF2B5EF4-FFF2-40B4-BE49-F238E27FC236}">
              <a16:creationId xmlns:a16="http://schemas.microsoft.com/office/drawing/2014/main" id="{2BFC6F80-FDB3-38FC-982B-3987344C4BD3}"/>
            </a:ext>
          </a:extLst>
        </xdr:cNvPr>
        <xdr:cNvSpPr/>
      </xdr:nvSpPr>
      <xdr:spPr>
        <a:xfrm>
          <a:off x="9768967" y="18374361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112</xdr:row>
      <xdr:rowOff>87486</xdr:rowOff>
    </xdr:from>
    <xdr:ext cx="688330" cy="180627"/>
    <xdr:sp macro="_xll.PtreeEvent_ObjectClick" textlink="">
      <xdr:nvSpPr>
        <xdr:cNvPr id="279" name="PTObj_DBranchName_3_49">
          <a:extLst>
            <a:ext uri="{FF2B5EF4-FFF2-40B4-BE49-F238E27FC236}">
              <a16:creationId xmlns:a16="http://schemas.microsoft.com/office/drawing/2014/main" id="{91A2031E-3524-5560-8BDF-7778B7BD9977}"/>
            </a:ext>
          </a:extLst>
        </xdr:cNvPr>
        <xdr:cNvSpPr txBox="1"/>
      </xdr:nvSpPr>
      <xdr:spPr>
        <a:xfrm>
          <a:off x="8514207" y="18375486"/>
          <a:ext cx="6883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Personal Funds</a:t>
          </a:r>
        </a:p>
      </xdr:txBody>
    </xdr:sp>
    <xdr:clientData/>
  </xdr:oneCellAnchor>
  <xdr:twoCellAnchor editAs="oneCell">
    <xdr:from>
      <xdr:col>8</xdr:col>
      <xdr:colOff>128</xdr:colOff>
      <xdr:row>110</xdr:row>
      <xdr:rowOff>86359</xdr:rowOff>
    </xdr:from>
    <xdr:to>
      <xdr:col>8</xdr:col>
      <xdr:colOff>183008</xdr:colOff>
      <xdr:row>111</xdr:row>
      <xdr:rowOff>86360</xdr:rowOff>
    </xdr:to>
    <xdr:sp macro="_xll.PtreeEvent_ObjectClick" textlink="">
      <xdr:nvSpPr>
        <xdr:cNvPr id="280" name="PTObj_DNode_3_50">
          <a:extLst>
            <a:ext uri="{FF2B5EF4-FFF2-40B4-BE49-F238E27FC236}">
              <a16:creationId xmlns:a16="http://schemas.microsoft.com/office/drawing/2014/main" id="{F5964CA4-4E82-95A4-EE9B-C297EBE48791}"/>
            </a:ext>
          </a:extLst>
        </xdr:cNvPr>
        <xdr:cNvSpPr/>
      </xdr:nvSpPr>
      <xdr:spPr>
        <a:xfrm rot="-5400000">
          <a:off x="11292967" y="180086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110</xdr:row>
      <xdr:rowOff>87487</xdr:rowOff>
    </xdr:from>
    <xdr:ext cx="196144" cy="180627"/>
    <xdr:sp macro="_xll.PtreeEvent_ObjectClick" textlink="">
      <xdr:nvSpPr>
        <xdr:cNvPr id="283" name="PTObj_DBranchName_3_50">
          <a:extLst>
            <a:ext uri="{FF2B5EF4-FFF2-40B4-BE49-F238E27FC236}">
              <a16:creationId xmlns:a16="http://schemas.microsoft.com/office/drawing/2014/main" id="{F2867206-68DE-0921-70B0-23CE1413FB8F}"/>
            </a:ext>
          </a:extLst>
        </xdr:cNvPr>
        <xdr:cNvSpPr txBox="1"/>
      </xdr:nvSpPr>
      <xdr:spPr>
        <a:xfrm>
          <a:off x="10045828" y="18009727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128</xdr:colOff>
      <xdr:row>114</xdr:row>
      <xdr:rowOff>86359</xdr:rowOff>
    </xdr:from>
    <xdr:to>
      <xdr:col>8</xdr:col>
      <xdr:colOff>183008</xdr:colOff>
      <xdr:row>115</xdr:row>
      <xdr:rowOff>86360</xdr:rowOff>
    </xdr:to>
    <xdr:sp macro="_xll.PtreeEvent_ObjectClick" textlink="">
      <xdr:nvSpPr>
        <xdr:cNvPr id="284" name="PTObj_DNode_3_51">
          <a:extLst>
            <a:ext uri="{FF2B5EF4-FFF2-40B4-BE49-F238E27FC236}">
              <a16:creationId xmlns:a16="http://schemas.microsoft.com/office/drawing/2014/main" id="{081CCE9C-38FB-9EAA-97B7-3EFBC789B491}"/>
            </a:ext>
          </a:extLst>
        </xdr:cNvPr>
        <xdr:cNvSpPr/>
      </xdr:nvSpPr>
      <xdr:spPr>
        <a:xfrm rot="-5400000">
          <a:off x="11292967" y="187401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114</xdr:row>
      <xdr:rowOff>87487</xdr:rowOff>
    </xdr:from>
    <xdr:ext cx="339708" cy="180627"/>
    <xdr:sp macro="_xll.PtreeEvent_ObjectClick" textlink="">
      <xdr:nvSpPr>
        <xdr:cNvPr id="287" name="PTObj_DBranchName_3_51">
          <a:extLst>
            <a:ext uri="{FF2B5EF4-FFF2-40B4-BE49-F238E27FC236}">
              <a16:creationId xmlns:a16="http://schemas.microsoft.com/office/drawing/2014/main" id="{FBFCD5FA-DCE3-A5DF-B487-64A4B9BAA210}"/>
            </a:ext>
          </a:extLst>
        </xdr:cNvPr>
        <xdr:cNvSpPr txBox="1"/>
      </xdr:nvSpPr>
      <xdr:spPr>
        <a:xfrm>
          <a:off x="10045828" y="18741247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6</xdr:col>
      <xdr:colOff>127</xdr:colOff>
      <xdr:row>76</xdr:row>
      <xdr:rowOff>86359</xdr:rowOff>
    </xdr:from>
    <xdr:to>
      <xdr:col>6</xdr:col>
      <xdr:colOff>183007</xdr:colOff>
      <xdr:row>77</xdr:row>
      <xdr:rowOff>86360</xdr:rowOff>
    </xdr:to>
    <xdr:sp macro="_xll.PtreeEvent_ObjectClick" textlink="">
      <xdr:nvSpPr>
        <xdr:cNvPr id="292" name="PTObj_DNode_3_24">
          <a:extLst>
            <a:ext uri="{FF2B5EF4-FFF2-40B4-BE49-F238E27FC236}">
              <a16:creationId xmlns:a16="http://schemas.microsoft.com/office/drawing/2014/main" id="{591C213C-B51C-5CC5-EB80-8358975DAD08}"/>
            </a:ext>
          </a:extLst>
        </xdr:cNvPr>
        <xdr:cNvSpPr/>
      </xdr:nvSpPr>
      <xdr:spPr>
        <a:xfrm>
          <a:off x="8237347" y="13985239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127</xdr:colOff>
      <xdr:row>72</xdr:row>
      <xdr:rowOff>86360</xdr:rowOff>
    </xdr:from>
    <xdr:to>
      <xdr:col>7</xdr:col>
      <xdr:colOff>183008</xdr:colOff>
      <xdr:row>73</xdr:row>
      <xdr:rowOff>86360</xdr:rowOff>
    </xdr:to>
    <xdr:sp macro="_xll.PtreeEvent_ObjectClick" textlink="">
      <xdr:nvSpPr>
        <xdr:cNvPr id="296" name="PTObj_DNode_3_52">
          <a:extLst>
            <a:ext uri="{FF2B5EF4-FFF2-40B4-BE49-F238E27FC236}">
              <a16:creationId xmlns:a16="http://schemas.microsoft.com/office/drawing/2014/main" id="{7D224E95-52D7-4E3C-B2F8-F90B52457279}"/>
            </a:ext>
          </a:extLst>
        </xdr:cNvPr>
        <xdr:cNvSpPr/>
      </xdr:nvSpPr>
      <xdr:spPr>
        <a:xfrm>
          <a:off x="9768967" y="1325372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72</xdr:row>
      <xdr:rowOff>87487</xdr:rowOff>
    </xdr:from>
    <xdr:ext cx="607602" cy="180627"/>
    <xdr:sp macro="_xll.PtreeEvent_ObjectClick" textlink="">
      <xdr:nvSpPr>
        <xdr:cNvPr id="299" name="PTObj_DBranchName_3_52">
          <a:extLst>
            <a:ext uri="{FF2B5EF4-FFF2-40B4-BE49-F238E27FC236}">
              <a16:creationId xmlns:a16="http://schemas.microsoft.com/office/drawing/2014/main" id="{0F8CE006-8D8F-A6F3-5DDC-965159428A15}"/>
            </a:ext>
          </a:extLst>
        </xdr:cNvPr>
        <xdr:cNvSpPr txBox="1"/>
      </xdr:nvSpPr>
      <xdr:spPr>
        <a:xfrm>
          <a:off x="8514207" y="13254847"/>
          <a:ext cx="6076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Student Loan</a:t>
          </a:r>
        </a:p>
      </xdr:txBody>
    </xdr:sp>
    <xdr:clientData/>
  </xdr:oneCellAnchor>
  <xdr:twoCellAnchor editAs="oneCell">
    <xdr:from>
      <xdr:col>8</xdr:col>
      <xdr:colOff>128</xdr:colOff>
      <xdr:row>70</xdr:row>
      <xdr:rowOff>86359</xdr:rowOff>
    </xdr:from>
    <xdr:to>
      <xdr:col>8</xdr:col>
      <xdr:colOff>183007</xdr:colOff>
      <xdr:row>71</xdr:row>
      <xdr:rowOff>86360</xdr:rowOff>
    </xdr:to>
    <xdr:sp macro="_xll.PtreeEvent_ObjectClick" textlink="">
      <xdr:nvSpPr>
        <xdr:cNvPr id="300" name="PTObj_DNode_3_53">
          <a:extLst>
            <a:ext uri="{FF2B5EF4-FFF2-40B4-BE49-F238E27FC236}">
              <a16:creationId xmlns:a16="http://schemas.microsoft.com/office/drawing/2014/main" id="{BF942C00-7DAD-D221-EF46-BFAF083B54D3}"/>
            </a:ext>
          </a:extLst>
        </xdr:cNvPr>
        <xdr:cNvSpPr/>
      </xdr:nvSpPr>
      <xdr:spPr>
        <a:xfrm rot="-5400000">
          <a:off x="11292967" y="12887960"/>
          <a:ext cx="182881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70</xdr:row>
      <xdr:rowOff>87486</xdr:rowOff>
    </xdr:from>
    <xdr:ext cx="196144" cy="180627"/>
    <xdr:sp macro="_xll.PtreeEvent_ObjectClick" textlink="">
      <xdr:nvSpPr>
        <xdr:cNvPr id="303" name="PTObj_DBranchName_3_53">
          <a:extLst>
            <a:ext uri="{FF2B5EF4-FFF2-40B4-BE49-F238E27FC236}">
              <a16:creationId xmlns:a16="http://schemas.microsoft.com/office/drawing/2014/main" id="{246524E9-E8CF-FF5B-DD4F-2B6137B91658}"/>
            </a:ext>
          </a:extLst>
        </xdr:cNvPr>
        <xdr:cNvSpPr txBox="1"/>
      </xdr:nvSpPr>
      <xdr:spPr>
        <a:xfrm>
          <a:off x="10045828" y="12889086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127</xdr:colOff>
      <xdr:row>74</xdr:row>
      <xdr:rowOff>86360</xdr:rowOff>
    </xdr:from>
    <xdr:to>
      <xdr:col>8</xdr:col>
      <xdr:colOff>183008</xdr:colOff>
      <xdr:row>75</xdr:row>
      <xdr:rowOff>86361</xdr:rowOff>
    </xdr:to>
    <xdr:sp macro="_xll.PtreeEvent_ObjectClick" textlink="">
      <xdr:nvSpPr>
        <xdr:cNvPr id="304" name="PTObj_DNode_3_54">
          <a:extLst>
            <a:ext uri="{FF2B5EF4-FFF2-40B4-BE49-F238E27FC236}">
              <a16:creationId xmlns:a16="http://schemas.microsoft.com/office/drawing/2014/main" id="{EF272DD5-F75D-F26F-F313-A177288F8BD9}"/>
            </a:ext>
          </a:extLst>
        </xdr:cNvPr>
        <xdr:cNvSpPr/>
      </xdr:nvSpPr>
      <xdr:spPr>
        <a:xfrm rot="-5400000">
          <a:off x="11292967" y="136194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74</xdr:row>
      <xdr:rowOff>87486</xdr:rowOff>
    </xdr:from>
    <xdr:ext cx="339708" cy="180627"/>
    <xdr:sp macro="_xll.PtreeEvent_ObjectClick" textlink="">
      <xdr:nvSpPr>
        <xdr:cNvPr id="307" name="PTObj_DBranchName_3_54">
          <a:extLst>
            <a:ext uri="{FF2B5EF4-FFF2-40B4-BE49-F238E27FC236}">
              <a16:creationId xmlns:a16="http://schemas.microsoft.com/office/drawing/2014/main" id="{400FE069-444F-E685-ABF8-F0F2ADFE8A63}"/>
            </a:ext>
          </a:extLst>
        </xdr:cNvPr>
        <xdr:cNvSpPr txBox="1"/>
      </xdr:nvSpPr>
      <xdr:spPr>
        <a:xfrm>
          <a:off x="10045828" y="13620606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7</xdr:col>
      <xdr:colOff>127</xdr:colOff>
      <xdr:row>80</xdr:row>
      <xdr:rowOff>86361</xdr:rowOff>
    </xdr:from>
    <xdr:to>
      <xdr:col>7</xdr:col>
      <xdr:colOff>183008</xdr:colOff>
      <xdr:row>81</xdr:row>
      <xdr:rowOff>86361</xdr:rowOff>
    </xdr:to>
    <xdr:sp macro="_xll.PtreeEvent_ObjectClick" textlink="">
      <xdr:nvSpPr>
        <xdr:cNvPr id="308" name="PTObj_DNode_3_55">
          <a:extLst>
            <a:ext uri="{FF2B5EF4-FFF2-40B4-BE49-F238E27FC236}">
              <a16:creationId xmlns:a16="http://schemas.microsoft.com/office/drawing/2014/main" id="{5FE8D1D7-AC58-217B-CE4C-262049365FF1}"/>
            </a:ext>
          </a:extLst>
        </xdr:cNvPr>
        <xdr:cNvSpPr/>
      </xdr:nvSpPr>
      <xdr:spPr>
        <a:xfrm>
          <a:off x="9768967" y="14716761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80</xdr:row>
      <xdr:rowOff>87486</xdr:rowOff>
    </xdr:from>
    <xdr:ext cx="688330" cy="180627"/>
    <xdr:sp macro="_xll.PtreeEvent_ObjectClick" textlink="">
      <xdr:nvSpPr>
        <xdr:cNvPr id="311" name="PTObj_DBranchName_3_55">
          <a:extLst>
            <a:ext uri="{FF2B5EF4-FFF2-40B4-BE49-F238E27FC236}">
              <a16:creationId xmlns:a16="http://schemas.microsoft.com/office/drawing/2014/main" id="{C3BF7E90-EC5B-D4CF-0428-166D6BC45368}"/>
            </a:ext>
          </a:extLst>
        </xdr:cNvPr>
        <xdr:cNvSpPr txBox="1"/>
      </xdr:nvSpPr>
      <xdr:spPr>
        <a:xfrm>
          <a:off x="8514207" y="14717886"/>
          <a:ext cx="6883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Personal Funds</a:t>
          </a:r>
        </a:p>
      </xdr:txBody>
    </xdr:sp>
    <xdr:clientData/>
  </xdr:oneCellAnchor>
  <xdr:twoCellAnchor editAs="oneCell">
    <xdr:from>
      <xdr:col>8</xdr:col>
      <xdr:colOff>128</xdr:colOff>
      <xdr:row>78</xdr:row>
      <xdr:rowOff>86359</xdr:rowOff>
    </xdr:from>
    <xdr:to>
      <xdr:col>8</xdr:col>
      <xdr:colOff>183008</xdr:colOff>
      <xdr:row>79</xdr:row>
      <xdr:rowOff>86360</xdr:rowOff>
    </xdr:to>
    <xdr:sp macro="_xll.PtreeEvent_ObjectClick" textlink="">
      <xdr:nvSpPr>
        <xdr:cNvPr id="312" name="PTObj_DNode_3_56">
          <a:extLst>
            <a:ext uri="{FF2B5EF4-FFF2-40B4-BE49-F238E27FC236}">
              <a16:creationId xmlns:a16="http://schemas.microsoft.com/office/drawing/2014/main" id="{B42DC49C-2FB1-946F-0CAD-C1165A1AF7FF}"/>
            </a:ext>
          </a:extLst>
        </xdr:cNvPr>
        <xdr:cNvSpPr/>
      </xdr:nvSpPr>
      <xdr:spPr>
        <a:xfrm rot="-5400000">
          <a:off x="11292967" y="143510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78</xdr:row>
      <xdr:rowOff>87487</xdr:rowOff>
    </xdr:from>
    <xdr:ext cx="196144" cy="180627"/>
    <xdr:sp macro="_xll.PtreeEvent_ObjectClick" textlink="">
      <xdr:nvSpPr>
        <xdr:cNvPr id="315" name="PTObj_DBranchName_3_56">
          <a:extLst>
            <a:ext uri="{FF2B5EF4-FFF2-40B4-BE49-F238E27FC236}">
              <a16:creationId xmlns:a16="http://schemas.microsoft.com/office/drawing/2014/main" id="{B136E8C4-516F-05E4-17F8-4AE15587EEED}"/>
            </a:ext>
          </a:extLst>
        </xdr:cNvPr>
        <xdr:cNvSpPr txBox="1"/>
      </xdr:nvSpPr>
      <xdr:spPr>
        <a:xfrm>
          <a:off x="10045828" y="14352127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128</xdr:colOff>
      <xdr:row>82</xdr:row>
      <xdr:rowOff>86359</xdr:rowOff>
    </xdr:from>
    <xdr:to>
      <xdr:col>8</xdr:col>
      <xdr:colOff>183008</xdr:colOff>
      <xdr:row>83</xdr:row>
      <xdr:rowOff>86360</xdr:rowOff>
    </xdr:to>
    <xdr:sp macro="_xll.PtreeEvent_ObjectClick" textlink="">
      <xdr:nvSpPr>
        <xdr:cNvPr id="316" name="PTObj_DNode_3_57">
          <a:extLst>
            <a:ext uri="{FF2B5EF4-FFF2-40B4-BE49-F238E27FC236}">
              <a16:creationId xmlns:a16="http://schemas.microsoft.com/office/drawing/2014/main" id="{9ED53D82-1A58-03CC-C076-5ECE2F5590FB}"/>
            </a:ext>
          </a:extLst>
        </xdr:cNvPr>
        <xdr:cNvSpPr/>
      </xdr:nvSpPr>
      <xdr:spPr>
        <a:xfrm rot="-5400000">
          <a:off x="11292967" y="150825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82</xdr:row>
      <xdr:rowOff>87487</xdr:rowOff>
    </xdr:from>
    <xdr:ext cx="339708" cy="180627"/>
    <xdr:sp macro="_xll.PtreeEvent_ObjectClick" textlink="">
      <xdr:nvSpPr>
        <xdr:cNvPr id="319" name="PTObj_DBranchName_3_57">
          <a:extLst>
            <a:ext uri="{FF2B5EF4-FFF2-40B4-BE49-F238E27FC236}">
              <a16:creationId xmlns:a16="http://schemas.microsoft.com/office/drawing/2014/main" id="{739F55B2-B715-E54E-FD1A-855AD2B8AB43}"/>
            </a:ext>
          </a:extLst>
        </xdr:cNvPr>
        <xdr:cNvSpPr txBox="1"/>
      </xdr:nvSpPr>
      <xdr:spPr>
        <a:xfrm>
          <a:off x="10045828" y="15083647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6</xdr:col>
      <xdr:colOff>127</xdr:colOff>
      <xdr:row>122</xdr:row>
      <xdr:rowOff>86360</xdr:rowOff>
    </xdr:from>
    <xdr:to>
      <xdr:col>6</xdr:col>
      <xdr:colOff>183007</xdr:colOff>
      <xdr:row>123</xdr:row>
      <xdr:rowOff>89333</xdr:rowOff>
    </xdr:to>
    <xdr:sp macro="_xll.PtreeEvent_ObjectClick" textlink="">
      <xdr:nvSpPr>
        <xdr:cNvPr id="324" name="PTObj_DNode_3_27">
          <a:extLst>
            <a:ext uri="{FF2B5EF4-FFF2-40B4-BE49-F238E27FC236}">
              <a16:creationId xmlns:a16="http://schemas.microsoft.com/office/drawing/2014/main" id="{36F89CC9-AF21-4064-D6B7-B0B73A76A14D}"/>
            </a:ext>
          </a:extLst>
        </xdr:cNvPr>
        <xdr:cNvSpPr/>
      </xdr:nvSpPr>
      <xdr:spPr>
        <a:xfrm>
          <a:off x="8237347" y="223977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127</xdr:colOff>
      <xdr:row>118</xdr:row>
      <xdr:rowOff>86360</xdr:rowOff>
    </xdr:from>
    <xdr:to>
      <xdr:col>7</xdr:col>
      <xdr:colOff>183008</xdr:colOff>
      <xdr:row>119</xdr:row>
      <xdr:rowOff>89333</xdr:rowOff>
    </xdr:to>
    <xdr:sp macro="_xll.PtreeEvent_ObjectClick" textlink="">
      <xdr:nvSpPr>
        <xdr:cNvPr id="328" name="PTObj_DNode_3_58">
          <a:extLst>
            <a:ext uri="{FF2B5EF4-FFF2-40B4-BE49-F238E27FC236}">
              <a16:creationId xmlns:a16="http://schemas.microsoft.com/office/drawing/2014/main" id="{0D42996E-EF9E-ECEC-7435-9C30BB7226EE}"/>
            </a:ext>
          </a:extLst>
        </xdr:cNvPr>
        <xdr:cNvSpPr/>
      </xdr:nvSpPr>
      <xdr:spPr>
        <a:xfrm>
          <a:off x="9768967" y="2166620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118</xdr:row>
      <xdr:rowOff>87487</xdr:rowOff>
    </xdr:from>
    <xdr:ext cx="607602" cy="180627"/>
    <xdr:sp macro="_xll.PtreeEvent_ObjectClick" textlink="">
      <xdr:nvSpPr>
        <xdr:cNvPr id="331" name="PTObj_DBranchName_3_58">
          <a:extLst>
            <a:ext uri="{FF2B5EF4-FFF2-40B4-BE49-F238E27FC236}">
              <a16:creationId xmlns:a16="http://schemas.microsoft.com/office/drawing/2014/main" id="{8DABA608-3830-ABF0-CD96-8F169470D0DC}"/>
            </a:ext>
          </a:extLst>
        </xdr:cNvPr>
        <xdr:cNvSpPr txBox="1"/>
      </xdr:nvSpPr>
      <xdr:spPr>
        <a:xfrm>
          <a:off x="8514207" y="21667327"/>
          <a:ext cx="6076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Student Loan</a:t>
          </a:r>
        </a:p>
      </xdr:txBody>
    </xdr:sp>
    <xdr:clientData/>
  </xdr:oneCellAnchor>
  <xdr:twoCellAnchor editAs="oneCell">
    <xdr:from>
      <xdr:col>8</xdr:col>
      <xdr:colOff>127</xdr:colOff>
      <xdr:row>116</xdr:row>
      <xdr:rowOff>86359</xdr:rowOff>
    </xdr:from>
    <xdr:to>
      <xdr:col>8</xdr:col>
      <xdr:colOff>183008</xdr:colOff>
      <xdr:row>117</xdr:row>
      <xdr:rowOff>86360</xdr:rowOff>
    </xdr:to>
    <xdr:sp macro="_xll.PtreeEvent_ObjectClick" textlink="">
      <xdr:nvSpPr>
        <xdr:cNvPr id="332" name="PTObj_DNode_3_59">
          <a:extLst>
            <a:ext uri="{FF2B5EF4-FFF2-40B4-BE49-F238E27FC236}">
              <a16:creationId xmlns:a16="http://schemas.microsoft.com/office/drawing/2014/main" id="{02AF86F4-2902-A945-A170-D45EB0F47A67}"/>
            </a:ext>
          </a:extLst>
        </xdr:cNvPr>
        <xdr:cNvSpPr/>
      </xdr:nvSpPr>
      <xdr:spPr>
        <a:xfrm rot="-5400000">
          <a:off x="11292967" y="21300439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116</xdr:row>
      <xdr:rowOff>87486</xdr:rowOff>
    </xdr:from>
    <xdr:ext cx="196144" cy="180627"/>
    <xdr:sp macro="_xll.PtreeEvent_ObjectClick" textlink="">
      <xdr:nvSpPr>
        <xdr:cNvPr id="335" name="PTObj_DBranchName_3_59">
          <a:extLst>
            <a:ext uri="{FF2B5EF4-FFF2-40B4-BE49-F238E27FC236}">
              <a16:creationId xmlns:a16="http://schemas.microsoft.com/office/drawing/2014/main" id="{AEC6C8DB-74CB-6266-5559-7C831CED3162}"/>
            </a:ext>
          </a:extLst>
        </xdr:cNvPr>
        <xdr:cNvSpPr txBox="1"/>
      </xdr:nvSpPr>
      <xdr:spPr>
        <a:xfrm>
          <a:off x="10045828" y="21301566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128</xdr:colOff>
      <xdr:row>120</xdr:row>
      <xdr:rowOff>86360</xdr:rowOff>
    </xdr:from>
    <xdr:to>
      <xdr:col>8</xdr:col>
      <xdr:colOff>183008</xdr:colOff>
      <xdr:row>121</xdr:row>
      <xdr:rowOff>86361</xdr:rowOff>
    </xdr:to>
    <xdr:sp macro="_xll.PtreeEvent_ObjectClick" textlink="">
      <xdr:nvSpPr>
        <xdr:cNvPr id="336" name="PTObj_DNode_3_60">
          <a:extLst>
            <a:ext uri="{FF2B5EF4-FFF2-40B4-BE49-F238E27FC236}">
              <a16:creationId xmlns:a16="http://schemas.microsoft.com/office/drawing/2014/main" id="{65C5C56D-913B-AC32-4ABB-DFB7882A3562}"/>
            </a:ext>
          </a:extLst>
        </xdr:cNvPr>
        <xdr:cNvSpPr/>
      </xdr:nvSpPr>
      <xdr:spPr>
        <a:xfrm rot="-5400000">
          <a:off x="11292967" y="22031961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120</xdr:row>
      <xdr:rowOff>87486</xdr:rowOff>
    </xdr:from>
    <xdr:ext cx="339708" cy="180627"/>
    <xdr:sp macro="_xll.PtreeEvent_ObjectClick" textlink="">
      <xdr:nvSpPr>
        <xdr:cNvPr id="339" name="PTObj_DBranchName_3_60">
          <a:extLst>
            <a:ext uri="{FF2B5EF4-FFF2-40B4-BE49-F238E27FC236}">
              <a16:creationId xmlns:a16="http://schemas.microsoft.com/office/drawing/2014/main" id="{574489FA-B1F8-1472-3AD0-2861C23DC2B4}"/>
            </a:ext>
          </a:extLst>
        </xdr:cNvPr>
        <xdr:cNvSpPr txBox="1"/>
      </xdr:nvSpPr>
      <xdr:spPr>
        <a:xfrm>
          <a:off x="10045828" y="22033086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7</xdr:col>
      <xdr:colOff>127</xdr:colOff>
      <xdr:row>126</xdr:row>
      <xdr:rowOff>86359</xdr:rowOff>
    </xdr:from>
    <xdr:to>
      <xdr:col>7</xdr:col>
      <xdr:colOff>183008</xdr:colOff>
      <xdr:row>127</xdr:row>
      <xdr:rowOff>86360</xdr:rowOff>
    </xdr:to>
    <xdr:sp macro="_xll.PtreeEvent_ObjectClick" textlink="">
      <xdr:nvSpPr>
        <xdr:cNvPr id="340" name="PTObj_DNode_3_61">
          <a:extLst>
            <a:ext uri="{FF2B5EF4-FFF2-40B4-BE49-F238E27FC236}">
              <a16:creationId xmlns:a16="http://schemas.microsoft.com/office/drawing/2014/main" id="{15B2C3B0-C8C3-FAB6-F517-3CC07B2DCABF}"/>
            </a:ext>
          </a:extLst>
        </xdr:cNvPr>
        <xdr:cNvSpPr/>
      </xdr:nvSpPr>
      <xdr:spPr>
        <a:xfrm>
          <a:off x="9768967" y="23129239"/>
          <a:ext cx="182881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276987</xdr:colOff>
      <xdr:row>126</xdr:row>
      <xdr:rowOff>87486</xdr:rowOff>
    </xdr:from>
    <xdr:ext cx="688330" cy="180627"/>
    <xdr:sp macro="_xll.PtreeEvent_ObjectClick" textlink="">
      <xdr:nvSpPr>
        <xdr:cNvPr id="343" name="PTObj_DBranchName_3_61">
          <a:extLst>
            <a:ext uri="{FF2B5EF4-FFF2-40B4-BE49-F238E27FC236}">
              <a16:creationId xmlns:a16="http://schemas.microsoft.com/office/drawing/2014/main" id="{D9BA1546-6314-DBBD-9A03-1C729206287C}"/>
            </a:ext>
          </a:extLst>
        </xdr:cNvPr>
        <xdr:cNvSpPr txBox="1"/>
      </xdr:nvSpPr>
      <xdr:spPr>
        <a:xfrm>
          <a:off x="8514207" y="23130366"/>
          <a:ext cx="6883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Personal Funds</a:t>
          </a:r>
        </a:p>
      </xdr:txBody>
    </xdr:sp>
    <xdr:clientData/>
  </xdr:oneCellAnchor>
  <xdr:twoCellAnchor editAs="oneCell">
    <xdr:from>
      <xdr:col>8</xdr:col>
      <xdr:colOff>127</xdr:colOff>
      <xdr:row>124</xdr:row>
      <xdr:rowOff>86360</xdr:rowOff>
    </xdr:from>
    <xdr:to>
      <xdr:col>8</xdr:col>
      <xdr:colOff>183008</xdr:colOff>
      <xdr:row>125</xdr:row>
      <xdr:rowOff>86361</xdr:rowOff>
    </xdr:to>
    <xdr:sp macro="_xll.PtreeEvent_ObjectClick" textlink="">
      <xdr:nvSpPr>
        <xdr:cNvPr id="344" name="PTObj_DNode_3_62">
          <a:extLst>
            <a:ext uri="{FF2B5EF4-FFF2-40B4-BE49-F238E27FC236}">
              <a16:creationId xmlns:a16="http://schemas.microsoft.com/office/drawing/2014/main" id="{042A7483-71A9-3234-E553-DC94A00E801F}"/>
            </a:ext>
          </a:extLst>
        </xdr:cNvPr>
        <xdr:cNvSpPr/>
      </xdr:nvSpPr>
      <xdr:spPr>
        <a:xfrm rot="-5400000">
          <a:off x="11292967" y="22763480"/>
          <a:ext cx="182881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124</xdr:row>
      <xdr:rowOff>87486</xdr:rowOff>
    </xdr:from>
    <xdr:ext cx="196144" cy="180627"/>
    <xdr:sp macro="_xll.PtreeEvent_ObjectClick" textlink="">
      <xdr:nvSpPr>
        <xdr:cNvPr id="347" name="PTObj_DBranchName_3_62">
          <a:extLst>
            <a:ext uri="{FF2B5EF4-FFF2-40B4-BE49-F238E27FC236}">
              <a16:creationId xmlns:a16="http://schemas.microsoft.com/office/drawing/2014/main" id="{31F58DF3-1999-4F7F-1D51-F37025BC112B}"/>
            </a:ext>
          </a:extLst>
        </xdr:cNvPr>
        <xdr:cNvSpPr txBox="1"/>
      </xdr:nvSpPr>
      <xdr:spPr>
        <a:xfrm>
          <a:off x="10045828" y="22764606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8</xdr:col>
      <xdr:colOff>128</xdr:colOff>
      <xdr:row>128</xdr:row>
      <xdr:rowOff>86359</xdr:rowOff>
    </xdr:from>
    <xdr:to>
      <xdr:col>8</xdr:col>
      <xdr:colOff>183008</xdr:colOff>
      <xdr:row>129</xdr:row>
      <xdr:rowOff>86360</xdr:rowOff>
    </xdr:to>
    <xdr:sp macro="_xll.PtreeEvent_ObjectClick" textlink="">
      <xdr:nvSpPr>
        <xdr:cNvPr id="348" name="PTObj_DNode_3_63">
          <a:extLst>
            <a:ext uri="{FF2B5EF4-FFF2-40B4-BE49-F238E27FC236}">
              <a16:creationId xmlns:a16="http://schemas.microsoft.com/office/drawing/2014/main" id="{DA5BA437-C4B3-2286-AE6F-890BE762A477}"/>
            </a:ext>
          </a:extLst>
        </xdr:cNvPr>
        <xdr:cNvSpPr/>
      </xdr:nvSpPr>
      <xdr:spPr>
        <a:xfrm rot="-5400000">
          <a:off x="11292967" y="234950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276988</xdr:colOff>
      <xdr:row>128</xdr:row>
      <xdr:rowOff>87487</xdr:rowOff>
    </xdr:from>
    <xdr:ext cx="339708" cy="180627"/>
    <xdr:sp macro="_xll.PtreeEvent_ObjectClick" textlink="">
      <xdr:nvSpPr>
        <xdr:cNvPr id="351" name="PTObj_DBranchName_3_63">
          <a:extLst>
            <a:ext uri="{FF2B5EF4-FFF2-40B4-BE49-F238E27FC236}">
              <a16:creationId xmlns:a16="http://schemas.microsoft.com/office/drawing/2014/main" id="{7FC1A160-0557-5CD9-B4B9-8219D19AD43C}"/>
            </a:ext>
          </a:extLst>
        </xdr:cNvPr>
        <xdr:cNvSpPr txBox="1"/>
      </xdr:nvSpPr>
      <xdr:spPr>
        <a:xfrm>
          <a:off x="10045828" y="23496127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3</xdr:col>
      <xdr:colOff>127</xdr:colOff>
      <xdr:row>140</xdr:row>
      <xdr:rowOff>86360</xdr:rowOff>
    </xdr:from>
    <xdr:to>
      <xdr:col>3</xdr:col>
      <xdr:colOff>183007</xdr:colOff>
      <xdr:row>141</xdr:row>
      <xdr:rowOff>86360</xdr:rowOff>
    </xdr:to>
    <xdr:sp macro="_xll.PtreeEvent_ObjectClick" textlink="">
      <xdr:nvSpPr>
        <xdr:cNvPr id="352" name="PTObj_DNode_3_3">
          <a:extLst>
            <a:ext uri="{FF2B5EF4-FFF2-40B4-BE49-F238E27FC236}">
              <a16:creationId xmlns:a16="http://schemas.microsoft.com/office/drawing/2014/main" id="{654F0D92-1707-7941-21FB-5BE09FC8AAE9}"/>
            </a:ext>
          </a:extLst>
        </xdr:cNvPr>
        <xdr:cNvSpPr/>
      </xdr:nvSpPr>
      <xdr:spPr>
        <a:xfrm>
          <a:off x="3650107" y="242265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</xdr:col>
      <xdr:colOff>276987</xdr:colOff>
      <xdr:row>140</xdr:row>
      <xdr:rowOff>87487</xdr:rowOff>
    </xdr:from>
    <xdr:ext cx="526362" cy="180627"/>
    <xdr:sp macro="_xll.PtreeEvent_ObjectClick" textlink="">
      <xdr:nvSpPr>
        <xdr:cNvPr id="355" name="PTObj_DBranchName_3_3">
          <a:extLst>
            <a:ext uri="{FF2B5EF4-FFF2-40B4-BE49-F238E27FC236}">
              <a16:creationId xmlns:a16="http://schemas.microsoft.com/office/drawing/2014/main" id="{31937A44-2D15-98BC-695F-76D5D57AAB7D}"/>
            </a:ext>
          </a:extLst>
        </xdr:cNvPr>
        <xdr:cNvSpPr txBox="1"/>
      </xdr:nvSpPr>
      <xdr:spPr>
        <a:xfrm>
          <a:off x="2326767" y="24227647"/>
          <a:ext cx="52636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 in India</a:t>
          </a:r>
        </a:p>
      </xdr:txBody>
    </xdr:sp>
    <xdr:clientData/>
  </xdr:oneCellAnchor>
  <xdr:twoCellAnchor editAs="oneCell">
    <xdr:from>
      <xdr:col>4</xdr:col>
      <xdr:colOff>127</xdr:colOff>
      <xdr:row>134</xdr:row>
      <xdr:rowOff>86360</xdr:rowOff>
    </xdr:from>
    <xdr:to>
      <xdr:col>4</xdr:col>
      <xdr:colOff>183007</xdr:colOff>
      <xdr:row>135</xdr:row>
      <xdr:rowOff>86360</xdr:rowOff>
    </xdr:to>
    <xdr:sp macro="_xll.PtreeEvent_ObjectClick" textlink="">
      <xdr:nvSpPr>
        <xdr:cNvPr id="364" name="PTObj_DNode_3_64">
          <a:extLst>
            <a:ext uri="{FF2B5EF4-FFF2-40B4-BE49-F238E27FC236}">
              <a16:creationId xmlns:a16="http://schemas.microsoft.com/office/drawing/2014/main" id="{C6C0E2B9-10CD-2229-EEC2-820395B8F128}"/>
            </a:ext>
          </a:extLst>
        </xdr:cNvPr>
        <xdr:cNvSpPr/>
      </xdr:nvSpPr>
      <xdr:spPr>
        <a:xfrm>
          <a:off x="5181727" y="242265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</xdr:col>
      <xdr:colOff>276987</xdr:colOff>
      <xdr:row>134</xdr:row>
      <xdr:rowOff>87487</xdr:rowOff>
    </xdr:from>
    <xdr:ext cx="534185" cy="180627"/>
    <xdr:sp macro="_xll.PtreeEvent_ObjectClick" textlink="">
      <xdr:nvSpPr>
        <xdr:cNvPr id="367" name="PTObj_DBranchName_3_64">
          <a:extLst>
            <a:ext uri="{FF2B5EF4-FFF2-40B4-BE49-F238E27FC236}">
              <a16:creationId xmlns:a16="http://schemas.microsoft.com/office/drawing/2014/main" id="{47B0F754-D9F1-7DDB-1A9F-8FBBD165DBFE}"/>
            </a:ext>
          </a:extLst>
        </xdr:cNvPr>
        <xdr:cNvSpPr txBox="1"/>
      </xdr:nvSpPr>
      <xdr:spPr>
        <a:xfrm>
          <a:off x="3926967" y="24227647"/>
          <a:ext cx="53418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On Campus</a:t>
          </a:r>
        </a:p>
      </xdr:txBody>
    </xdr:sp>
    <xdr:clientData/>
  </xdr:oneCellAnchor>
  <xdr:twoCellAnchor editAs="oneCell">
    <xdr:from>
      <xdr:col>5</xdr:col>
      <xdr:colOff>127</xdr:colOff>
      <xdr:row>132</xdr:row>
      <xdr:rowOff>86360</xdr:rowOff>
    </xdr:from>
    <xdr:to>
      <xdr:col>5</xdr:col>
      <xdr:colOff>183007</xdr:colOff>
      <xdr:row>133</xdr:row>
      <xdr:rowOff>86360</xdr:rowOff>
    </xdr:to>
    <xdr:sp macro="_xll.PtreeEvent_ObjectClick" textlink="">
      <xdr:nvSpPr>
        <xdr:cNvPr id="368" name="PTObj_DNode_3_66">
          <a:extLst>
            <a:ext uri="{FF2B5EF4-FFF2-40B4-BE49-F238E27FC236}">
              <a16:creationId xmlns:a16="http://schemas.microsoft.com/office/drawing/2014/main" id="{A13FF442-C040-E6FA-DE27-A0CE7FEB9F5F}"/>
            </a:ext>
          </a:extLst>
        </xdr:cNvPr>
        <xdr:cNvSpPr/>
      </xdr:nvSpPr>
      <xdr:spPr>
        <a:xfrm rot="-5400000">
          <a:off x="6713347" y="242265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276987</xdr:colOff>
      <xdr:row>132</xdr:row>
      <xdr:rowOff>87487</xdr:rowOff>
    </xdr:from>
    <xdr:ext cx="196143" cy="180627"/>
    <xdr:sp macro="_xll.PtreeEvent_ObjectClick" textlink="">
      <xdr:nvSpPr>
        <xdr:cNvPr id="371" name="PTObj_DBranchName_3_66">
          <a:extLst>
            <a:ext uri="{FF2B5EF4-FFF2-40B4-BE49-F238E27FC236}">
              <a16:creationId xmlns:a16="http://schemas.microsoft.com/office/drawing/2014/main" id="{73CC3DE8-7DF7-E0DC-F5FD-14B945D23D9D}"/>
            </a:ext>
          </a:extLst>
        </xdr:cNvPr>
        <xdr:cNvSpPr txBox="1"/>
      </xdr:nvSpPr>
      <xdr:spPr>
        <a:xfrm>
          <a:off x="5458587" y="24227647"/>
          <a:ext cx="1961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5</xdr:col>
      <xdr:colOff>126</xdr:colOff>
      <xdr:row>136</xdr:row>
      <xdr:rowOff>86360</xdr:rowOff>
    </xdr:from>
    <xdr:to>
      <xdr:col>5</xdr:col>
      <xdr:colOff>183007</xdr:colOff>
      <xdr:row>137</xdr:row>
      <xdr:rowOff>86360</xdr:rowOff>
    </xdr:to>
    <xdr:sp macro="_xll.PtreeEvent_ObjectClick" textlink="">
      <xdr:nvSpPr>
        <xdr:cNvPr id="372" name="PTObj_DNode_3_67">
          <a:extLst>
            <a:ext uri="{FF2B5EF4-FFF2-40B4-BE49-F238E27FC236}">
              <a16:creationId xmlns:a16="http://schemas.microsoft.com/office/drawing/2014/main" id="{81C249A0-6C84-CD62-64E9-F6F985AD2A48}"/>
            </a:ext>
          </a:extLst>
        </xdr:cNvPr>
        <xdr:cNvSpPr/>
      </xdr:nvSpPr>
      <xdr:spPr>
        <a:xfrm rot="-5400000">
          <a:off x="6713347" y="24958039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276987</xdr:colOff>
      <xdr:row>136</xdr:row>
      <xdr:rowOff>87486</xdr:rowOff>
    </xdr:from>
    <xdr:ext cx="481799" cy="180627"/>
    <xdr:sp macro="_xll.PtreeEvent_ObjectClick" textlink="">
      <xdr:nvSpPr>
        <xdr:cNvPr id="375" name="PTObj_DBranchName_3_67">
          <a:extLst>
            <a:ext uri="{FF2B5EF4-FFF2-40B4-BE49-F238E27FC236}">
              <a16:creationId xmlns:a16="http://schemas.microsoft.com/office/drawing/2014/main" id="{E5ACFCD6-5C5F-9442-2E7C-2D1810890A88}"/>
            </a:ext>
          </a:extLst>
        </xdr:cNvPr>
        <xdr:cNvSpPr txBox="1"/>
      </xdr:nvSpPr>
      <xdr:spPr>
        <a:xfrm>
          <a:off x="5458587" y="24959166"/>
          <a:ext cx="48179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Internship</a:t>
          </a:r>
        </a:p>
      </xdr:txBody>
    </xdr:sp>
    <xdr:clientData/>
  </xdr:oneCellAnchor>
  <xdr:twoCellAnchor editAs="oneCell">
    <xdr:from>
      <xdr:col>5</xdr:col>
      <xdr:colOff>127</xdr:colOff>
      <xdr:row>138</xdr:row>
      <xdr:rowOff>86360</xdr:rowOff>
    </xdr:from>
    <xdr:to>
      <xdr:col>5</xdr:col>
      <xdr:colOff>183007</xdr:colOff>
      <xdr:row>139</xdr:row>
      <xdr:rowOff>86360</xdr:rowOff>
    </xdr:to>
    <xdr:sp macro="_xll.PtreeEvent_ObjectClick" textlink="">
      <xdr:nvSpPr>
        <xdr:cNvPr id="376" name="PTObj_DNode_3_68">
          <a:extLst>
            <a:ext uri="{FF2B5EF4-FFF2-40B4-BE49-F238E27FC236}">
              <a16:creationId xmlns:a16="http://schemas.microsoft.com/office/drawing/2014/main" id="{BDB0CDBD-ACBB-D7DD-8412-42520076C390}"/>
            </a:ext>
          </a:extLst>
        </xdr:cNvPr>
        <xdr:cNvSpPr/>
      </xdr:nvSpPr>
      <xdr:spPr>
        <a:xfrm rot="-5400000">
          <a:off x="6713347" y="253238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276987</xdr:colOff>
      <xdr:row>138</xdr:row>
      <xdr:rowOff>87487</xdr:rowOff>
    </xdr:from>
    <xdr:ext cx="339708" cy="180627"/>
    <xdr:sp macro="_xll.PtreeEvent_ObjectClick" textlink="">
      <xdr:nvSpPr>
        <xdr:cNvPr id="379" name="PTObj_DBranchName_3_68">
          <a:extLst>
            <a:ext uri="{FF2B5EF4-FFF2-40B4-BE49-F238E27FC236}">
              <a16:creationId xmlns:a16="http://schemas.microsoft.com/office/drawing/2014/main" id="{0E978C5C-97F2-59D8-5A71-F30A7E84E613}"/>
            </a:ext>
          </a:extLst>
        </xdr:cNvPr>
        <xdr:cNvSpPr txBox="1"/>
      </xdr:nvSpPr>
      <xdr:spPr>
        <a:xfrm>
          <a:off x="5458587" y="25324927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4</xdr:col>
      <xdr:colOff>127</xdr:colOff>
      <xdr:row>144</xdr:row>
      <xdr:rowOff>86359</xdr:rowOff>
    </xdr:from>
    <xdr:to>
      <xdr:col>4</xdr:col>
      <xdr:colOff>183007</xdr:colOff>
      <xdr:row>145</xdr:row>
      <xdr:rowOff>95067</xdr:rowOff>
    </xdr:to>
    <xdr:sp macro="_xll.PtreeEvent_ObjectClick" textlink="">
      <xdr:nvSpPr>
        <xdr:cNvPr id="384" name="PTObj_DNode_3_65">
          <a:extLst>
            <a:ext uri="{FF2B5EF4-FFF2-40B4-BE49-F238E27FC236}">
              <a16:creationId xmlns:a16="http://schemas.microsoft.com/office/drawing/2014/main" id="{03ECDA58-43AF-6945-9DA4-805A3B6C2633}"/>
            </a:ext>
          </a:extLst>
        </xdr:cNvPr>
        <xdr:cNvSpPr/>
      </xdr:nvSpPr>
      <xdr:spPr>
        <a:xfrm>
          <a:off x="5181727" y="26421079"/>
          <a:ext cx="182880" cy="182879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</xdr:col>
      <xdr:colOff>276987</xdr:colOff>
      <xdr:row>144</xdr:row>
      <xdr:rowOff>87487</xdr:rowOff>
    </xdr:from>
    <xdr:ext cx="542841" cy="180627"/>
    <xdr:sp macro="_xll.PtreeEvent_ObjectClick" textlink="">
      <xdr:nvSpPr>
        <xdr:cNvPr id="387" name="PTObj_DBranchName_3_65">
          <a:extLst>
            <a:ext uri="{FF2B5EF4-FFF2-40B4-BE49-F238E27FC236}">
              <a16:creationId xmlns:a16="http://schemas.microsoft.com/office/drawing/2014/main" id="{1A8B40A5-18CA-051E-BEC6-24B8C86A6AA5}"/>
            </a:ext>
          </a:extLst>
        </xdr:cNvPr>
        <xdr:cNvSpPr txBox="1"/>
      </xdr:nvSpPr>
      <xdr:spPr>
        <a:xfrm>
          <a:off x="3926967" y="26422207"/>
          <a:ext cx="54284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Off Campus</a:t>
          </a:r>
        </a:p>
      </xdr:txBody>
    </xdr:sp>
    <xdr:clientData/>
  </xdr:oneCellAnchor>
  <xdr:twoCellAnchor editAs="oneCell">
    <xdr:from>
      <xdr:col>5</xdr:col>
      <xdr:colOff>127</xdr:colOff>
      <xdr:row>142</xdr:row>
      <xdr:rowOff>86361</xdr:rowOff>
    </xdr:from>
    <xdr:to>
      <xdr:col>5</xdr:col>
      <xdr:colOff>183006</xdr:colOff>
      <xdr:row>143</xdr:row>
      <xdr:rowOff>89334</xdr:rowOff>
    </xdr:to>
    <xdr:sp macro="_xll.PtreeEvent_ObjectClick" textlink="">
      <xdr:nvSpPr>
        <xdr:cNvPr id="388" name="PTObj_DNode_3_69">
          <a:extLst>
            <a:ext uri="{FF2B5EF4-FFF2-40B4-BE49-F238E27FC236}">
              <a16:creationId xmlns:a16="http://schemas.microsoft.com/office/drawing/2014/main" id="{4FFBF9E3-4BF2-8735-C634-C5F53FE6FA67}"/>
            </a:ext>
          </a:extLst>
        </xdr:cNvPr>
        <xdr:cNvSpPr/>
      </xdr:nvSpPr>
      <xdr:spPr>
        <a:xfrm rot="-5400000">
          <a:off x="6713347" y="26055321"/>
          <a:ext cx="182880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276987</xdr:colOff>
      <xdr:row>142</xdr:row>
      <xdr:rowOff>87487</xdr:rowOff>
    </xdr:from>
    <xdr:ext cx="196144" cy="180627"/>
    <xdr:sp macro="_xll.PtreeEvent_ObjectClick" textlink="">
      <xdr:nvSpPr>
        <xdr:cNvPr id="391" name="PTObj_DBranchName_3_69">
          <a:extLst>
            <a:ext uri="{FF2B5EF4-FFF2-40B4-BE49-F238E27FC236}">
              <a16:creationId xmlns:a16="http://schemas.microsoft.com/office/drawing/2014/main" id="{FFAF0FDD-A3E1-03DC-F68E-58D470532F88}"/>
            </a:ext>
          </a:extLst>
        </xdr:cNvPr>
        <xdr:cNvSpPr txBox="1"/>
      </xdr:nvSpPr>
      <xdr:spPr>
        <a:xfrm>
          <a:off x="5458587" y="26056447"/>
          <a:ext cx="1961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Job</a:t>
          </a:r>
        </a:p>
      </xdr:txBody>
    </xdr:sp>
    <xdr:clientData/>
  </xdr:oneCellAnchor>
  <xdr:twoCellAnchor editAs="oneCell">
    <xdr:from>
      <xdr:col>5</xdr:col>
      <xdr:colOff>127</xdr:colOff>
      <xdr:row>146</xdr:row>
      <xdr:rowOff>86359</xdr:rowOff>
    </xdr:from>
    <xdr:to>
      <xdr:col>5</xdr:col>
      <xdr:colOff>183006</xdr:colOff>
      <xdr:row>147</xdr:row>
      <xdr:rowOff>89332</xdr:rowOff>
    </xdr:to>
    <xdr:sp macro="_xll.PtreeEvent_ObjectClick" textlink="">
      <xdr:nvSpPr>
        <xdr:cNvPr id="392" name="PTObj_DNode_3_70">
          <a:extLst>
            <a:ext uri="{FF2B5EF4-FFF2-40B4-BE49-F238E27FC236}">
              <a16:creationId xmlns:a16="http://schemas.microsoft.com/office/drawing/2014/main" id="{B308154F-B6AC-8140-7AF8-97CDD563EE6E}"/>
            </a:ext>
          </a:extLst>
        </xdr:cNvPr>
        <xdr:cNvSpPr/>
      </xdr:nvSpPr>
      <xdr:spPr>
        <a:xfrm rot="-5400000">
          <a:off x="6713347" y="26786839"/>
          <a:ext cx="182880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276987</xdr:colOff>
      <xdr:row>146</xdr:row>
      <xdr:rowOff>87488</xdr:rowOff>
    </xdr:from>
    <xdr:ext cx="481799" cy="180627"/>
    <xdr:sp macro="_xll.PtreeEvent_ObjectClick" textlink="">
      <xdr:nvSpPr>
        <xdr:cNvPr id="395" name="PTObj_DBranchName_3_70">
          <a:extLst>
            <a:ext uri="{FF2B5EF4-FFF2-40B4-BE49-F238E27FC236}">
              <a16:creationId xmlns:a16="http://schemas.microsoft.com/office/drawing/2014/main" id="{A11220B5-CF8E-A794-654B-C15954EBA9AA}"/>
            </a:ext>
          </a:extLst>
        </xdr:cNvPr>
        <xdr:cNvSpPr txBox="1"/>
      </xdr:nvSpPr>
      <xdr:spPr>
        <a:xfrm>
          <a:off x="5458587" y="26787968"/>
          <a:ext cx="48179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Internship</a:t>
          </a:r>
        </a:p>
      </xdr:txBody>
    </xdr:sp>
    <xdr:clientData/>
  </xdr:oneCellAnchor>
  <xdr:twoCellAnchor editAs="oneCell">
    <xdr:from>
      <xdr:col>5</xdr:col>
      <xdr:colOff>127</xdr:colOff>
      <xdr:row>148</xdr:row>
      <xdr:rowOff>86360</xdr:rowOff>
    </xdr:from>
    <xdr:to>
      <xdr:col>5</xdr:col>
      <xdr:colOff>183006</xdr:colOff>
      <xdr:row>149</xdr:row>
      <xdr:rowOff>89333</xdr:rowOff>
    </xdr:to>
    <xdr:sp macro="_xll.PtreeEvent_ObjectClick" textlink="">
      <xdr:nvSpPr>
        <xdr:cNvPr id="396" name="PTObj_DNode_3_71">
          <a:extLst>
            <a:ext uri="{FF2B5EF4-FFF2-40B4-BE49-F238E27FC236}">
              <a16:creationId xmlns:a16="http://schemas.microsoft.com/office/drawing/2014/main" id="{C9685D8B-B1C9-78F5-E9A0-E0CEFE6FD059}"/>
            </a:ext>
          </a:extLst>
        </xdr:cNvPr>
        <xdr:cNvSpPr/>
      </xdr:nvSpPr>
      <xdr:spPr>
        <a:xfrm rot="-5400000">
          <a:off x="6713347" y="27152600"/>
          <a:ext cx="182880" cy="182879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276987</xdr:colOff>
      <xdr:row>148</xdr:row>
      <xdr:rowOff>87486</xdr:rowOff>
    </xdr:from>
    <xdr:ext cx="339708" cy="180627"/>
    <xdr:sp macro="_xll.PtreeEvent_ObjectClick" textlink="">
      <xdr:nvSpPr>
        <xdr:cNvPr id="399" name="PTObj_DBranchName_3_71">
          <a:extLst>
            <a:ext uri="{FF2B5EF4-FFF2-40B4-BE49-F238E27FC236}">
              <a16:creationId xmlns:a16="http://schemas.microsoft.com/office/drawing/2014/main" id="{847B77BF-4BE8-C361-F5AF-6106A64BF896}"/>
            </a:ext>
          </a:extLst>
        </xdr:cNvPr>
        <xdr:cNvSpPr txBox="1"/>
      </xdr:nvSpPr>
      <xdr:spPr>
        <a:xfrm>
          <a:off x="5458587" y="27153726"/>
          <a:ext cx="3397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No Job</a:t>
          </a:r>
        </a:p>
      </xdr:txBody>
    </xdr:sp>
    <xdr:clientData/>
  </xdr:oneCellAnchor>
  <xdr:twoCellAnchor editAs="oneCell">
    <xdr:from>
      <xdr:col>3</xdr:col>
      <xdr:colOff>127</xdr:colOff>
      <xdr:row>38</xdr:row>
      <xdr:rowOff>86360</xdr:rowOff>
    </xdr:from>
    <xdr:to>
      <xdr:col>3</xdr:col>
      <xdr:colOff>183007</xdr:colOff>
      <xdr:row>39</xdr:row>
      <xdr:rowOff>86360</xdr:rowOff>
    </xdr:to>
    <xdr:sp macro="_xll.PtreeEvent_ObjectClick" textlink="">
      <xdr:nvSpPr>
        <xdr:cNvPr id="400" name="PTObj_DNode_3_2">
          <a:extLst>
            <a:ext uri="{FF2B5EF4-FFF2-40B4-BE49-F238E27FC236}">
              <a16:creationId xmlns:a16="http://schemas.microsoft.com/office/drawing/2014/main" id="{F361D032-52DE-36E1-D033-1D33AD630F8D}"/>
            </a:ext>
          </a:extLst>
        </xdr:cNvPr>
        <xdr:cNvSpPr/>
      </xdr:nvSpPr>
      <xdr:spPr>
        <a:xfrm>
          <a:off x="3650107" y="70358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</xdr:col>
      <xdr:colOff>276987</xdr:colOff>
      <xdr:row>38</xdr:row>
      <xdr:rowOff>87486</xdr:rowOff>
    </xdr:from>
    <xdr:ext cx="771493" cy="180627"/>
    <xdr:sp macro="_xll.PtreeEvent_ObjectClick" textlink="">
      <xdr:nvSpPr>
        <xdr:cNvPr id="403" name="PTObj_DBranchName_3_2">
          <a:extLst>
            <a:ext uri="{FF2B5EF4-FFF2-40B4-BE49-F238E27FC236}">
              <a16:creationId xmlns:a16="http://schemas.microsoft.com/office/drawing/2014/main" id="{E8B1C9B6-990E-659A-0D56-48924FDFB1A3}"/>
            </a:ext>
          </a:extLst>
        </xdr:cNvPr>
        <xdr:cNvSpPr txBox="1"/>
      </xdr:nvSpPr>
      <xdr:spPr>
        <a:xfrm>
          <a:off x="2326767" y="7036926"/>
          <a:ext cx="7714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Higher Education</a:t>
          </a:r>
        </a:p>
      </xdr:txBody>
    </xdr:sp>
    <xdr:clientData/>
  </xdr:oneCellAnchor>
  <xdr:oneCellAnchor>
    <xdr:from>
      <xdr:col>3</xdr:col>
      <xdr:colOff>276987</xdr:colOff>
      <xdr:row>22</xdr:row>
      <xdr:rowOff>87486</xdr:rowOff>
    </xdr:from>
    <xdr:ext cx="261738" cy="180627"/>
    <xdr:sp macro="_xll.PtreeEvent_ObjectClick" textlink="">
      <xdr:nvSpPr>
        <xdr:cNvPr id="406" name="PTObj_DBranchName_3_4">
          <a:extLst>
            <a:ext uri="{FF2B5EF4-FFF2-40B4-BE49-F238E27FC236}">
              <a16:creationId xmlns:a16="http://schemas.microsoft.com/office/drawing/2014/main" id="{F6B472E5-B5F5-0E9E-EAB8-6F9894EC9D1B}"/>
            </a:ext>
          </a:extLst>
        </xdr:cNvPr>
        <xdr:cNvSpPr txBox="1"/>
      </xdr:nvSpPr>
      <xdr:spPr>
        <a:xfrm>
          <a:off x="3926967" y="4110846"/>
          <a:ext cx="26173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India</a:t>
          </a:r>
        </a:p>
      </xdr:txBody>
    </xdr:sp>
    <xdr:clientData/>
  </xdr:oneCellAnchor>
  <xdr:oneCellAnchor>
    <xdr:from>
      <xdr:col>3</xdr:col>
      <xdr:colOff>276987</xdr:colOff>
      <xdr:row>84</xdr:row>
      <xdr:rowOff>87486</xdr:rowOff>
    </xdr:from>
    <xdr:ext cx="361637" cy="180627"/>
    <xdr:sp macro="_xll.PtreeEvent_ObjectClick" textlink="">
      <xdr:nvSpPr>
        <xdr:cNvPr id="409" name="PTObj_DBranchName_3_5">
          <a:extLst>
            <a:ext uri="{FF2B5EF4-FFF2-40B4-BE49-F238E27FC236}">
              <a16:creationId xmlns:a16="http://schemas.microsoft.com/office/drawing/2014/main" id="{5EAA22EF-4A9D-C065-4289-6ACB01C939B6}"/>
            </a:ext>
          </a:extLst>
        </xdr:cNvPr>
        <xdr:cNvSpPr txBox="1"/>
      </xdr:nvSpPr>
      <xdr:spPr>
        <a:xfrm>
          <a:off x="3926967" y="15449406"/>
          <a:ext cx="36163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Abroad</a:t>
          </a:r>
        </a:p>
      </xdr:txBody>
    </xdr:sp>
    <xdr:clientData/>
  </xdr:oneCellAnchor>
  <xdr:twoCellAnchor editAs="oneCell">
    <xdr:from>
      <xdr:col>5</xdr:col>
      <xdr:colOff>127</xdr:colOff>
      <xdr:row>54</xdr:row>
      <xdr:rowOff>86360</xdr:rowOff>
    </xdr:from>
    <xdr:to>
      <xdr:col>5</xdr:col>
      <xdr:colOff>183007</xdr:colOff>
      <xdr:row>55</xdr:row>
      <xdr:rowOff>86361</xdr:rowOff>
    </xdr:to>
    <xdr:sp macro="_xll.PtreeEvent_ObjectClick" textlink="">
      <xdr:nvSpPr>
        <xdr:cNvPr id="410" name="PTObj_DNode_3_20">
          <a:extLst>
            <a:ext uri="{FF2B5EF4-FFF2-40B4-BE49-F238E27FC236}">
              <a16:creationId xmlns:a16="http://schemas.microsoft.com/office/drawing/2014/main" id="{95295F09-E6D5-6326-8082-AF826FDB4369}"/>
            </a:ext>
          </a:extLst>
        </xdr:cNvPr>
        <xdr:cNvSpPr/>
      </xdr:nvSpPr>
      <xdr:spPr>
        <a:xfrm>
          <a:off x="6713347" y="9961880"/>
          <a:ext cx="182880" cy="18288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276987</xdr:colOff>
      <xdr:row>54</xdr:row>
      <xdr:rowOff>87487</xdr:rowOff>
    </xdr:from>
    <xdr:ext cx="258276" cy="180627"/>
    <xdr:sp macro="_xll.PtreeEvent_ObjectClick" textlink="">
      <xdr:nvSpPr>
        <xdr:cNvPr id="413" name="PTObj_DBranchName_3_20">
          <a:extLst>
            <a:ext uri="{FF2B5EF4-FFF2-40B4-BE49-F238E27FC236}">
              <a16:creationId xmlns:a16="http://schemas.microsoft.com/office/drawing/2014/main" id="{3B19B563-156D-49BB-8194-2064CA90CB15}"/>
            </a:ext>
          </a:extLst>
        </xdr:cNvPr>
        <xdr:cNvSpPr txBox="1"/>
      </xdr:nvSpPr>
      <xdr:spPr>
        <a:xfrm>
          <a:off x="5458587" y="9963007"/>
          <a:ext cx="2582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MBA</a:t>
          </a:r>
        </a:p>
      </xdr:txBody>
    </xdr:sp>
    <xdr:clientData/>
  </xdr:oneCellAnchor>
  <xdr:oneCellAnchor>
    <xdr:from>
      <xdr:col>5</xdr:col>
      <xdr:colOff>276987</xdr:colOff>
      <xdr:row>46</xdr:row>
      <xdr:rowOff>87486</xdr:rowOff>
    </xdr:from>
    <xdr:ext cx="227755" cy="180627"/>
    <xdr:sp macro="_xll.PtreeEvent_ObjectClick" textlink="">
      <xdr:nvSpPr>
        <xdr:cNvPr id="416" name="PTObj_DBranchName_3_22">
          <a:extLst>
            <a:ext uri="{FF2B5EF4-FFF2-40B4-BE49-F238E27FC236}">
              <a16:creationId xmlns:a16="http://schemas.microsoft.com/office/drawing/2014/main" id="{9D0B3059-29EB-D01F-B12C-76D597519C96}"/>
            </a:ext>
          </a:extLst>
        </xdr:cNvPr>
        <xdr:cNvSpPr txBox="1"/>
      </xdr:nvSpPr>
      <xdr:spPr>
        <a:xfrm>
          <a:off x="6990207" y="8499966"/>
          <a:ext cx="22775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USA</a:t>
          </a:r>
        </a:p>
      </xdr:txBody>
    </xdr:sp>
    <xdr:clientData/>
  </xdr:oneCellAnchor>
  <xdr:oneCellAnchor>
    <xdr:from>
      <xdr:col>5</xdr:col>
      <xdr:colOff>276987</xdr:colOff>
      <xdr:row>62</xdr:row>
      <xdr:rowOff>87487</xdr:rowOff>
    </xdr:from>
    <xdr:ext cx="174535" cy="180627"/>
    <xdr:sp macro="_xll.PtreeEvent_ObjectClick" textlink="">
      <xdr:nvSpPr>
        <xdr:cNvPr id="419" name="PTObj_DBranchName_3_23">
          <a:extLst>
            <a:ext uri="{FF2B5EF4-FFF2-40B4-BE49-F238E27FC236}">
              <a16:creationId xmlns:a16="http://schemas.microsoft.com/office/drawing/2014/main" id="{33508F89-0CCF-C037-1250-6D48887EB3FF}"/>
            </a:ext>
          </a:extLst>
        </xdr:cNvPr>
        <xdr:cNvSpPr txBox="1"/>
      </xdr:nvSpPr>
      <xdr:spPr>
        <a:xfrm>
          <a:off x="6990207" y="11426047"/>
          <a:ext cx="174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UK</a:t>
          </a:r>
        </a:p>
      </xdr:txBody>
    </xdr:sp>
    <xdr:clientData/>
  </xdr:oneCellAnchor>
  <xdr:oneCellAnchor>
    <xdr:from>
      <xdr:col>5</xdr:col>
      <xdr:colOff>276987</xdr:colOff>
      <xdr:row>76</xdr:row>
      <xdr:rowOff>87486</xdr:rowOff>
    </xdr:from>
    <xdr:ext cx="365292" cy="180627"/>
    <xdr:sp macro="_xll.PtreeEvent_ObjectClick" textlink="">
      <xdr:nvSpPr>
        <xdr:cNvPr id="422" name="PTObj_DBranchName_3_24">
          <a:extLst>
            <a:ext uri="{FF2B5EF4-FFF2-40B4-BE49-F238E27FC236}">
              <a16:creationId xmlns:a16="http://schemas.microsoft.com/office/drawing/2014/main" id="{288BC2EB-047C-6D16-7328-F76EBD91B21D}"/>
            </a:ext>
          </a:extLst>
        </xdr:cNvPr>
        <xdr:cNvSpPr txBox="1"/>
      </xdr:nvSpPr>
      <xdr:spPr>
        <a:xfrm>
          <a:off x="6990207" y="13986366"/>
          <a:ext cx="3652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Canada</a:t>
          </a:r>
        </a:p>
      </xdr:txBody>
    </xdr:sp>
    <xdr:clientData/>
  </xdr:oneCellAnchor>
  <xdr:twoCellAnchor editAs="oneCell">
    <xdr:from>
      <xdr:col>5</xdr:col>
      <xdr:colOff>127</xdr:colOff>
      <xdr:row>100</xdr:row>
      <xdr:rowOff>86361</xdr:rowOff>
    </xdr:from>
    <xdr:to>
      <xdr:col>5</xdr:col>
      <xdr:colOff>183007</xdr:colOff>
      <xdr:row>101</xdr:row>
      <xdr:rowOff>89334</xdr:rowOff>
    </xdr:to>
    <xdr:sp macro="_xll.PtreeEvent_ObjectClick" textlink="">
      <xdr:nvSpPr>
        <xdr:cNvPr id="423" name="PTObj_DNode_3_21">
          <a:extLst>
            <a:ext uri="{FF2B5EF4-FFF2-40B4-BE49-F238E27FC236}">
              <a16:creationId xmlns:a16="http://schemas.microsoft.com/office/drawing/2014/main" id="{0EFBE453-AF2B-79BB-9B94-3E82AB2C6455}"/>
            </a:ext>
          </a:extLst>
        </xdr:cNvPr>
        <xdr:cNvSpPr/>
      </xdr:nvSpPr>
      <xdr:spPr>
        <a:xfrm>
          <a:off x="6713347" y="18374361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276987</xdr:colOff>
      <xdr:row>100</xdr:row>
      <xdr:rowOff>87486</xdr:rowOff>
    </xdr:from>
    <xdr:ext cx="190245" cy="180627"/>
    <xdr:sp macro="_xll.PtreeEvent_ObjectClick" textlink="">
      <xdr:nvSpPr>
        <xdr:cNvPr id="426" name="PTObj_DBranchName_3_21">
          <a:extLst>
            <a:ext uri="{FF2B5EF4-FFF2-40B4-BE49-F238E27FC236}">
              <a16:creationId xmlns:a16="http://schemas.microsoft.com/office/drawing/2014/main" id="{B5CF36CD-C1D6-0E04-FC16-BBF7CAEA0F32}"/>
            </a:ext>
          </a:extLst>
        </xdr:cNvPr>
        <xdr:cNvSpPr txBox="1"/>
      </xdr:nvSpPr>
      <xdr:spPr>
        <a:xfrm>
          <a:off x="5458587" y="18375486"/>
          <a:ext cx="1902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MS</a:t>
          </a:r>
        </a:p>
      </xdr:txBody>
    </xdr:sp>
    <xdr:clientData/>
  </xdr:oneCellAnchor>
  <xdr:oneCellAnchor>
    <xdr:from>
      <xdr:col>5</xdr:col>
      <xdr:colOff>276987</xdr:colOff>
      <xdr:row>92</xdr:row>
      <xdr:rowOff>87487</xdr:rowOff>
    </xdr:from>
    <xdr:ext cx="227755" cy="180627"/>
    <xdr:sp macro="_xll.PtreeEvent_ObjectClick" textlink="">
      <xdr:nvSpPr>
        <xdr:cNvPr id="429" name="PTObj_DBranchName_3_25">
          <a:extLst>
            <a:ext uri="{FF2B5EF4-FFF2-40B4-BE49-F238E27FC236}">
              <a16:creationId xmlns:a16="http://schemas.microsoft.com/office/drawing/2014/main" id="{9793288F-39C7-F9A8-A669-746D096D38A2}"/>
            </a:ext>
          </a:extLst>
        </xdr:cNvPr>
        <xdr:cNvSpPr txBox="1"/>
      </xdr:nvSpPr>
      <xdr:spPr>
        <a:xfrm>
          <a:off x="6990207" y="16912447"/>
          <a:ext cx="22775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USA</a:t>
          </a:r>
        </a:p>
      </xdr:txBody>
    </xdr:sp>
    <xdr:clientData/>
  </xdr:oneCellAnchor>
  <xdr:oneCellAnchor>
    <xdr:from>
      <xdr:col>5</xdr:col>
      <xdr:colOff>276987</xdr:colOff>
      <xdr:row>108</xdr:row>
      <xdr:rowOff>87487</xdr:rowOff>
    </xdr:from>
    <xdr:ext cx="174535" cy="180627"/>
    <xdr:sp macro="_xll.PtreeEvent_ObjectClick" textlink="">
      <xdr:nvSpPr>
        <xdr:cNvPr id="432" name="PTObj_DBranchName_3_26">
          <a:extLst>
            <a:ext uri="{FF2B5EF4-FFF2-40B4-BE49-F238E27FC236}">
              <a16:creationId xmlns:a16="http://schemas.microsoft.com/office/drawing/2014/main" id="{A79EDDAC-7BDB-9DA2-9A64-6F1B07BBB230}"/>
            </a:ext>
          </a:extLst>
        </xdr:cNvPr>
        <xdr:cNvSpPr txBox="1"/>
      </xdr:nvSpPr>
      <xdr:spPr>
        <a:xfrm>
          <a:off x="6990207" y="19838527"/>
          <a:ext cx="174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UK</a:t>
          </a:r>
        </a:p>
      </xdr:txBody>
    </xdr:sp>
    <xdr:clientData/>
  </xdr:oneCellAnchor>
  <xdr:oneCellAnchor>
    <xdr:from>
      <xdr:col>5</xdr:col>
      <xdr:colOff>276987</xdr:colOff>
      <xdr:row>122</xdr:row>
      <xdr:rowOff>87487</xdr:rowOff>
    </xdr:from>
    <xdr:ext cx="365292" cy="180627"/>
    <xdr:sp macro="_xll.PtreeEvent_ObjectClick" textlink="">
      <xdr:nvSpPr>
        <xdr:cNvPr id="435" name="PTObj_DBranchName_3_27">
          <a:extLst>
            <a:ext uri="{FF2B5EF4-FFF2-40B4-BE49-F238E27FC236}">
              <a16:creationId xmlns:a16="http://schemas.microsoft.com/office/drawing/2014/main" id="{509C0480-EBF8-E3BA-7AE7-96E221D77BC7}"/>
            </a:ext>
          </a:extLst>
        </xdr:cNvPr>
        <xdr:cNvSpPr txBox="1"/>
      </xdr:nvSpPr>
      <xdr:spPr>
        <a:xfrm>
          <a:off x="6990207" y="22398847"/>
          <a:ext cx="3652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Canada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0417          ">
          <a:extLst xmlns:a="http://schemas.openxmlformats.org/drawingml/2006/main">
            <a:ext uri="{FF2B5EF4-FFF2-40B4-BE49-F238E27FC236}">
              <a16:creationId xmlns:a16="http://schemas.microsoft.com/office/drawing/2014/main" id="{306F32FB-A9A0-0CB2-E057-C5E4847A155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0417         ">
          <a:extLst xmlns:a="http://schemas.openxmlformats.org/drawingml/2006/main">
            <a:ext uri="{FF2B5EF4-FFF2-40B4-BE49-F238E27FC236}">
              <a16:creationId xmlns:a16="http://schemas.microsoft.com/office/drawing/2014/main" id="{EF201375-F55C-5DF8-7D66-F2ADCF8BE4D8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0417        ">
          <a:extLst xmlns:a="http://schemas.openxmlformats.org/drawingml/2006/main">
            <a:ext uri="{FF2B5EF4-FFF2-40B4-BE49-F238E27FC236}">
              <a16:creationId xmlns:a16="http://schemas.microsoft.com/office/drawing/2014/main" id="{374C0DC2-8D02-E722-1EAB-DB93DB6FF74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0417       ">
          <a:extLst xmlns:a="http://schemas.openxmlformats.org/drawingml/2006/main">
            <a:ext uri="{FF2B5EF4-FFF2-40B4-BE49-F238E27FC236}">
              <a16:creationId xmlns:a16="http://schemas.microsoft.com/office/drawing/2014/main" id="{13058F1D-4F6F-3841-989E-E735D17664F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0417      ">
          <a:extLst xmlns:a="http://schemas.openxmlformats.org/drawingml/2006/main">
            <a:ext uri="{FF2B5EF4-FFF2-40B4-BE49-F238E27FC236}">
              <a16:creationId xmlns:a16="http://schemas.microsoft.com/office/drawing/2014/main" id="{1217505B-2E6D-2D4F-A360-FBFA79F542B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375920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B7744-DF63-FEC0-B5AA-5BC37EAD5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8083          ">
          <a:extLst xmlns:a="http://schemas.openxmlformats.org/drawingml/2006/main">
            <a:ext uri="{FF2B5EF4-FFF2-40B4-BE49-F238E27FC236}">
              <a16:creationId xmlns:a16="http://schemas.microsoft.com/office/drawing/2014/main" id="{F5F654EE-ED2E-A27B-174B-6E5ABBD9CE5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8083         ">
          <a:extLst xmlns:a="http://schemas.openxmlformats.org/drawingml/2006/main">
            <a:ext uri="{FF2B5EF4-FFF2-40B4-BE49-F238E27FC236}">
              <a16:creationId xmlns:a16="http://schemas.microsoft.com/office/drawing/2014/main" id="{8E3A27ED-9AA0-5B25-DA34-05ADBB9AB05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8083        ">
          <a:extLst xmlns:a="http://schemas.openxmlformats.org/drawingml/2006/main">
            <a:ext uri="{FF2B5EF4-FFF2-40B4-BE49-F238E27FC236}">
              <a16:creationId xmlns:a16="http://schemas.microsoft.com/office/drawing/2014/main" id="{79C3553C-9052-DC6F-12A2-45B90478F2D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8083       ">
          <a:extLst xmlns:a="http://schemas.openxmlformats.org/drawingml/2006/main">
            <a:ext uri="{FF2B5EF4-FFF2-40B4-BE49-F238E27FC236}">
              <a16:creationId xmlns:a16="http://schemas.microsoft.com/office/drawing/2014/main" id="{E76F8554-95B4-D69B-3AD5-9A6E46A674C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8083      ">
          <a:extLst xmlns:a="http://schemas.openxmlformats.org/drawingml/2006/main">
            <a:ext uri="{FF2B5EF4-FFF2-40B4-BE49-F238E27FC236}">
              <a16:creationId xmlns:a16="http://schemas.microsoft.com/office/drawing/2014/main" id="{A929483F-4680-FDDD-C9EB-BB6BA26D565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375920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9D2FB-7EA9-D2CF-4C25-57FCA0C50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2912          ">
          <a:extLst xmlns:a="http://schemas.openxmlformats.org/drawingml/2006/main">
            <a:ext uri="{FF2B5EF4-FFF2-40B4-BE49-F238E27FC236}">
              <a16:creationId xmlns:a16="http://schemas.microsoft.com/office/drawing/2014/main" id="{EA7038FF-027C-4112-4CA7-E96FE7899EF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2912         ">
          <a:extLst xmlns:a="http://schemas.openxmlformats.org/drawingml/2006/main">
            <a:ext uri="{FF2B5EF4-FFF2-40B4-BE49-F238E27FC236}">
              <a16:creationId xmlns:a16="http://schemas.microsoft.com/office/drawing/2014/main" id="{E9A977FC-1F5C-45B8-1804-9381AF9D9E5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2912        ">
          <a:extLst xmlns:a="http://schemas.openxmlformats.org/drawingml/2006/main">
            <a:ext uri="{FF2B5EF4-FFF2-40B4-BE49-F238E27FC236}">
              <a16:creationId xmlns:a16="http://schemas.microsoft.com/office/drawing/2014/main" id="{7B52AE79-4862-8F85-5315-C42BA701495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2912       ">
          <a:extLst xmlns:a="http://schemas.openxmlformats.org/drawingml/2006/main">
            <a:ext uri="{FF2B5EF4-FFF2-40B4-BE49-F238E27FC236}">
              <a16:creationId xmlns:a16="http://schemas.microsoft.com/office/drawing/2014/main" id="{7750F54E-F432-AB4B-1FFA-CB1EF084F74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2912      ">
          <a:extLst xmlns:a="http://schemas.openxmlformats.org/drawingml/2006/main">
            <a:ext uri="{FF2B5EF4-FFF2-40B4-BE49-F238E27FC236}">
              <a16:creationId xmlns:a16="http://schemas.microsoft.com/office/drawing/2014/main" id="{EB00C328-11D9-2E0E-0E67-5594C328891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82550</xdr:rowOff>
    </xdr:from>
    <xdr:to>
      <xdr:col>0</xdr:col>
      <xdr:colOff>175260</xdr:colOff>
      <xdr:row>2</xdr:row>
      <xdr:rowOff>82550</xdr:rowOff>
    </xdr:to>
    <xdr:sp macro="_xll.PtreeEvent_ObjectClick" textlink="">
      <xdr:nvSpPr>
        <xdr:cNvPr id="472" name="PTObj_DNode_2_1">
          <a:extLst>
            <a:ext uri="{FF2B5EF4-FFF2-40B4-BE49-F238E27FC236}">
              <a16:creationId xmlns:a16="http://schemas.microsoft.com/office/drawing/2014/main" id="{91E5C175-9062-9205-C0E6-27F7153ABD44}"/>
            </a:ext>
          </a:extLst>
        </xdr:cNvPr>
        <xdr:cNvSpPr/>
      </xdr:nvSpPr>
      <xdr:spPr>
        <a:xfrm rot="-5400000">
          <a:off x="1257427" y="265430"/>
          <a:ext cx="175260" cy="17526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0</xdr:col>
      <xdr:colOff>0</xdr:colOff>
      <xdr:row>1</xdr:row>
      <xdr:rowOff>79867</xdr:rowOff>
    </xdr:from>
    <xdr:ext cx="660501" cy="180627"/>
    <xdr:sp macro="_xll.PtreeEvent_ObjectClick" textlink="">
      <xdr:nvSpPr>
        <xdr:cNvPr id="474" name="PTObj_DBranchName_2_1">
          <a:extLst>
            <a:ext uri="{FF2B5EF4-FFF2-40B4-BE49-F238E27FC236}">
              <a16:creationId xmlns:a16="http://schemas.microsoft.com/office/drawing/2014/main" id="{073AA141-892C-B481-EC99-C1C98A4B6F22}"/>
            </a:ext>
          </a:extLst>
        </xdr:cNvPr>
        <xdr:cNvSpPr txBox="1"/>
      </xdr:nvSpPr>
      <xdr:spPr>
        <a:xfrm>
          <a:off x="215900" y="262747"/>
          <a:ext cx="66050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IN" sz="800"/>
            <a:t>Vyshu Decison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383540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5A4C7-00BE-8094-70E9-ACB6B2045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31360          ">
          <a:extLst xmlns:a="http://schemas.openxmlformats.org/drawingml/2006/main">
            <a:ext uri="{FF2B5EF4-FFF2-40B4-BE49-F238E27FC236}">
              <a16:creationId xmlns:a16="http://schemas.microsoft.com/office/drawing/2014/main" id="{480C1E68-D674-B123-55A9-CF729DB7602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31360         ">
          <a:extLst xmlns:a="http://schemas.openxmlformats.org/drawingml/2006/main">
            <a:ext uri="{FF2B5EF4-FFF2-40B4-BE49-F238E27FC236}">
              <a16:creationId xmlns:a16="http://schemas.microsoft.com/office/drawing/2014/main" id="{1B8E0BDD-2906-3C06-5DBA-02742701DC5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31360        ">
          <a:extLst xmlns:a="http://schemas.openxmlformats.org/drawingml/2006/main">
            <a:ext uri="{FF2B5EF4-FFF2-40B4-BE49-F238E27FC236}">
              <a16:creationId xmlns:a16="http://schemas.microsoft.com/office/drawing/2014/main" id="{3F138BB5-1D47-54D1-949E-F4F37D23BC2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31360       ">
          <a:extLst xmlns:a="http://schemas.openxmlformats.org/drawingml/2006/main">
            <a:ext uri="{FF2B5EF4-FFF2-40B4-BE49-F238E27FC236}">
              <a16:creationId xmlns:a16="http://schemas.microsoft.com/office/drawing/2014/main" id="{27561365-D532-C24A-44D3-605D4BA458A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31360      ">
          <a:extLst xmlns:a="http://schemas.openxmlformats.org/drawingml/2006/main">
            <a:ext uri="{FF2B5EF4-FFF2-40B4-BE49-F238E27FC236}">
              <a16:creationId xmlns:a16="http://schemas.microsoft.com/office/drawing/2014/main" id="{98BCD564-9911-2C13-B84E-625648EB0D9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383540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5BB3-A682-331E-B3F2-56F471660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1492          ">
          <a:extLst xmlns:a="http://schemas.openxmlformats.org/drawingml/2006/main">
            <a:ext uri="{FF2B5EF4-FFF2-40B4-BE49-F238E27FC236}">
              <a16:creationId xmlns:a16="http://schemas.microsoft.com/office/drawing/2014/main" id="{0E83C1A9-0EA4-E2E9-31CC-DFC3B64D36C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1492         ">
          <a:extLst xmlns:a="http://schemas.openxmlformats.org/drawingml/2006/main">
            <a:ext uri="{FF2B5EF4-FFF2-40B4-BE49-F238E27FC236}">
              <a16:creationId xmlns:a16="http://schemas.microsoft.com/office/drawing/2014/main" id="{205BEAF2-5C72-89B3-7A1C-C5FCA2BC1CF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1492        ">
          <a:extLst xmlns:a="http://schemas.openxmlformats.org/drawingml/2006/main">
            <a:ext uri="{FF2B5EF4-FFF2-40B4-BE49-F238E27FC236}">
              <a16:creationId xmlns:a16="http://schemas.microsoft.com/office/drawing/2014/main" id="{7075E359-B31B-CC20-F590-CD34B13B0A70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1492       ">
          <a:extLst xmlns:a="http://schemas.openxmlformats.org/drawingml/2006/main">
            <a:ext uri="{FF2B5EF4-FFF2-40B4-BE49-F238E27FC236}">
              <a16:creationId xmlns:a16="http://schemas.microsoft.com/office/drawing/2014/main" id="{024DB2C6-DF49-8CA2-45C6-3B8442F27CD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1492      ">
          <a:extLst xmlns:a="http://schemas.openxmlformats.org/drawingml/2006/main">
            <a:ext uri="{FF2B5EF4-FFF2-40B4-BE49-F238E27FC236}">
              <a16:creationId xmlns:a16="http://schemas.microsoft.com/office/drawing/2014/main" id="{7C683372-2BB0-BF7D-8743-1F6EC2572A6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383540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07F69-F3A7-A421-41AC-31EC4FA3A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30516          ">
          <a:extLst xmlns:a="http://schemas.openxmlformats.org/drawingml/2006/main">
            <a:ext uri="{FF2B5EF4-FFF2-40B4-BE49-F238E27FC236}">
              <a16:creationId xmlns:a16="http://schemas.microsoft.com/office/drawing/2014/main" id="{67DDD567-9B72-2028-3311-70FB30491A1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30516         ">
          <a:extLst xmlns:a="http://schemas.openxmlformats.org/drawingml/2006/main">
            <a:ext uri="{FF2B5EF4-FFF2-40B4-BE49-F238E27FC236}">
              <a16:creationId xmlns:a16="http://schemas.microsoft.com/office/drawing/2014/main" id="{AF124FD2-C68C-4DE1-A099-CE626FC4EEB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30516        ">
          <a:extLst xmlns:a="http://schemas.openxmlformats.org/drawingml/2006/main">
            <a:ext uri="{FF2B5EF4-FFF2-40B4-BE49-F238E27FC236}">
              <a16:creationId xmlns:a16="http://schemas.microsoft.com/office/drawing/2014/main" id="{9DB5F4BB-A41F-DCD3-E250-1914D55695C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30516       ">
          <a:extLst xmlns:a="http://schemas.openxmlformats.org/drawingml/2006/main">
            <a:ext uri="{FF2B5EF4-FFF2-40B4-BE49-F238E27FC236}">
              <a16:creationId xmlns:a16="http://schemas.microsoft.com/office/drawing/2014/main" id="{F49A2277-9F0F-99F5-35CE-3FDBE870095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30516      ">
          <a:extLst xmlns:a="http://schemas.openxmlformats.org/drawingml/2006/main">
            <a:ext uri="{FF2B5EF4-FFF2-40B4-BE49-F238E27FC236}">
              <a16:creationId xmlns:a16="http://schemas.microsoft.com/office/drawing/2014/main" id="{9B27E776-1156-00C6-EA30-0B1E4271142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IN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375920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3DBC-C969-E363-DE4F-66EC4553D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Palisade\PrecisionTree8\Ptree.xla" TargetMode="External"/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PTreeMain"/>
    </sheetNames>
    <definedNames>
      <definedName name="PtreeEvent_Watermark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eerindia.com/study-abroad/indian-students-studying-abroad-latest-data-available-034395.html" TargetMode="External"/><Relationship Id="rId2" Type="http://schemas.openxmlformats.org/officeDocument/2006/relationships/hyperlink" Target="https://www.globaldata.com/data-insights/macroeconomic/employment-rate-in-india-2137608/" TargetMode="External"/><Relationship Id="rId1" Type="http://schemas.openxmlformats.org/officeDocument/2006/relationships/hyperlink" Target="https://www.newindianexpress.com/nation/2023/Mar/30/over-75-lakhindians-opted-to-study-abroad-in-2022-us-canada-uk-preferred-picks-256089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E976-BF6E-4A25-AB2F-0BCA97B84E89}">
  <dimension ref="B9:L150"/>
  <sheetViews>
    <sheetView topLeftCell="A28" zoomScale="74" zoomScaleNormal="74" workbookViewId="0">
      <selection activeCell="L11" sqref="L11:L13"/>
    </sheetView>
  </sheetViews>
  <sheetFormatPr defaultRowHeight="14.4" x14ac:dyDescent="0.3"/>
  <cols>
    <col min="2" max="2" width="21" customWidth="1"/>
    <col min="3" max="3" width="23.33203125" customWidth="1"/>
    <col min="4" max="7" width="22.33203125" customWidth="1"/>
    <col min="8" max="8" width="22.21875" customWidth="1"/>
    <col min="9" max="9" width="16.77734375" customWidth="1"/>
  </cols>
  <sheetData>
    <row r="9" spans="5:12" ht="14.4" customHeight="1" x14ac:dyDescent="0.3">
      <c r="G9" s="11">
        <f>Data!$B$18</f>
        <v>0.48707600000000001</v>
      </c>
      <c r="H9" s="4" t="e">
        <f ca="1">_xll.PTreeNodeProbability(treeCalc_3!$F$2,10)</f>
        <v>#VALUE!</v>
      </c>
    </row>
    <row r="10" spans="5:12" ht="14.4" customHeight="1" x14ac:dyDescent="0.3">
      <c r="G10" s="56">
        <f>Utilities!M2</f>
        <v>8.5587102857142892</v>
      </c>
      <c r="H10" s="3" t="e">
        <f ca="1">_xll.PTreeNodeValue(treeCalc_3!$F$2,10)</f>
        <v>#VALUE!</v>
      </c>
      <c r="K10" t="s">
        <v>204</v>
      </c>
      <c r="L10" t="s">
        <v>205</v>
      </c>
    </row>
    <row r="11" spans="5:12" ht="14.4" customHeight="1" x14ac:dyDescent="0.3">
      <c r="F11" s="11">
        <f>Data!$B$15</f>
        <v>0.28000000000000003</v>
      </c>
      <c r="G11" s="9" t="s">
        <v>148</v>
      </c>
      <c r="K11">
        <v>85</v>
      </c>
      <c r="L11">
        <f>K11/SUM($K$11:$K$13)</f>
        <v>0.34</v>
      </c>
    </row>
    <row r="12" spans="5:12" ht="14.4" customHeight="1" x14ac:dyDescent="0.3">
      <c r="F12" s="5">
        <v>0</v>
      </c>
      <c r="G12" s="10" t="e">
        <f ca="1">_xll.PTreeNodeValue(treeCalc_3!$F$2,8)</f>
        <v>#VALUE!</v>
      </c>
      <c r="K12">
        <v>65</v>
      </c>
      <c r="L12">
        <f>K12/SUM($K$11:$K$13)</f>
        <v>0.26</v>
      </c>
    </row>
    <row r="13" spans="5:12" ht="14.4" customHeight="1" x14ac:dyDescent="0.3">
      <c r="G13" s="11">
        <f>Data!$B$19</f>
        <v>0.51292399999999994</v>
      </c>
      <c r="H13" s="4" t="e">
        <f ca="1">_xll.PTreeNodeProbability(treeCalc_3!$F$2,11)</f>
        <v>#VALUE!</v>
      </c>
      <c r="K13">
        <v>100</v>
      </c>
      <c r="L13">
        <f>K13/SUM($K$11:$K$13)</f>
        <v>0.4</v>
      </c>
    </row>
    <row r="14" spans="5:12" ht="14.4" customHeight="1" x14ac:dyDescent="0.3">
      <c r="G14" s="56">
        <f>Utilities!M3</f>
        <v>8.5587102857142892</v>
      </c>
      <c r="H14" s="3" t="e">
        <f ca="1">_xll.PTreeNodeValue(treeCalc_3!$F$2,11)</f>
        <v>#VALUE!</v>
      </c>
    </row>
    <row r="15" spans="5:12" ht="14.4" customHeight="1" x14ac:dyDescent="0.3">
      <c r="E15" s="11">
        <f>Data!$B$5</f>
        <v>0.56000000000000005</v>
      </c>
      <c r="F15" s="9" t="s">
        <v>147</v>
      </c>
    </row>
    <row r="16" spans="5:12" ht="14.4" customHeight="1" x14ac:dyDescent="0.3">
      <c r="E16" s="5">
        <v>0</v>
      </c>
      <c r="F16" s="10" t="e">
        <f ca="1">_xll.PTreeNodeValue(treeCalc_3!$F$2,6)</f>
        <v>#VALUE!</v>
      </c>
    </row>
    <row r="17" spans="4:8" ht="14.4" customHeight="1" x14ac:dyDescent="0.3">
      <c r="G17" s="11">
        <f>Data!$B$18</f>
        <v>0.48707600000000001</v>
      </c>
      <c r="H17" s="4" t="e">
        <f ca="1">_xll.PTreeNodeProbability(treeCalc_3!$F$2,12)</f>
        <v>#VALUE!</v>
      </c>
    </row>
    <row r="18" spans="4:8" ht="14.4" customHeight="1" x14ac:dyDescent="0.3">
      <c r="G18" s="56">
        <f>Utilities!M4</f>
        <v>8.5587102857142892</v>
      </c>
      <c r="H18" s="3" t="e">
        <f ca="1">_xll.PTreeNodeValue(treeCalc_3!$F$2,12)</f>
        <v>#VALUE!</v>
      </c>
    </row>
    <row r="19" spans="4:8" ht="14.4" customHeight="1" x14ac:dyDescent="0.3">
      <c r="F19" s="11">
        <f>Data!$B$16</f>
        <v>0.72</v>
      </c>
      <c r="G19" s="9" t="s">
        <v>148</v>
      </c>
    </row>
    <row r="20" spans="4:8" ht="14.4" customHeight="1" x14ac:dyDescent="0.3">
      <c r="F20" s="5">
        <v>0</v>
      </c>
      <c r="G20" s="10" t="e">
        <f ca="1">_xll.PTreeNodeValue(treeCalc_3!$F$2,9)</f>
        <v>#VALUE!</v>
      </c>
    </row>
    <row r="21" spans="4:8" ht="14.4" customHeight="1" x14ac:dyDescent="0.3">
      <c r="G21" s="11">
        <f>Data!$B$19</f>
        <v>0.51292399999999994</v>
      </c>
      <c r="H21" s="4" t="e">
        <f ca="1">_xll.PTreeNodeProbability(treeCalc_3!$F$2,13)</f>
        <v>#VALUE!</v>
      </c>
    </row>
    <row r="22" spans="4:8" ht="14.4" customHeight="1" x14ac:dyDescent="0.3">
      <c r="G22" s="56">
        <f>Utilities!M5</f>
        <v>8.5587102857142892</v>
      </c>
      <c r="H22" s="3" t="e">
        <f ca="1">_xll.PTreeNodeValue(treeCalc_3!$F$2,13)</f>
        <v>#VALUE!</v>
      </c>
    </row>
    <row r="23" spans="4:8" ht="14.4" customHeight="1" x14ac:dyDescent="0.3">
      <c r="D23" s="8" t="e">
        <f ca="1">_xll.PTreeNodeDecision(treeCalc_3!$F$2,4)</f>
        <v>#VALUE!</v>
      </c>
      <c r="E23" s="9" t="s">
        <v>146</v>
      </c>
    </row>
    <row r="24" spans="4:8" ht="14.4" customHeight="1" x14ac:dyDescent="0.3">
      <c r="D24" s="5">
        <v>0</v>
      </c>
      <c r="E24" s="10" t="e">
        <f ca="1">_xll.PTreeNodeValue(treeCalc_3!$F$2,4)</f>
        <v>#VALUE!</v>
      </c>
    </row>
    <row r="25" spans="4:8" ht="14.4" customHeight="1" x14ac:dyDescent="0.3">
      <c r="G25" s="11">
        <f>Data!$B$18</f>
        <v>0.48707600000000001</v>
      </c>
      <c r="H25" s="4" t="e">
        <f ca="1">_xll.PTreeNodeProbability(treeCalc_3!$F$2,15)</f>
        <v>#VALUE!</v>
      </c>
    </row>
    <row r="26" spans="4:8" ht="14.4" customHeight="1" x14ac:dyDescent="0.3">
      <c r="G26" s="56">
        <f>Utilities!M6</f>
        <v>7.4313532857142892</v>
      </c>
      <c r="H26" s="3" t="e">
        <f ca="1">_xll.PTreeNodeValue(treeCalc_3!$F$2,15)</f>
        <v>#VALUE!</v>
      </c>
    </row>
    <row r="27" spans="4:8" ht="14.4" customHeight="1" x14ac:dyDescent="0.3">
      <c r="F27" s="11">
        <f>Data!$B$15</f>
        <v>0.28000000000000003</v>
      </c>
      <c r="G27" s="9" t="s">
        <v>148</v>
      </c>
    </row>
    <row r="28" spans="4:8" ht="14.4" customHeight="1" x14ac:dyDescent="0.3">
      <c r="F28" s="5">
        <v>0</v>
      </c>
      <c r="G28" s="10" t="e">
        <f ca="1">_xll.PTreeNodeValue(treeCalc_3!$F$2,14)</f>
        <v>#VALUE!</v>
      </c>
    </row>
    <row r="29" spans="4:8" ht="14.4" customHeight="1" x14ac:dyDescent="0.3">
      <c r="G29" s="11">
        <f>Data!$B$19</f>
        <v>0.51292399999999994</v>
      </c>
      <c r="H29" s="4" t="e">
        <f ca="1">_xll.PTreeNodeProbability(treeCalc_3!$F$2,16)</f>
        <v>#VALUE!</v>
      </c>
    </row>
    <row r="30" spans="4:8" ht="14.4" customHeight="1" x14ac:dyDescent="0.3">
      <c r="G30" s="56">
        <f>Utilities!M7</f>
        <v>7.4313532857142892</v>
      </c>
      <c r="H30" s="3" t="e">
        <f ca="1">_xll.PTreeNodeValue(treeCalc_3!$F$2,16)</f>
        <v>#VALUE!</v>
      </c>
    </row>
    <row r="31" spans="4:8" ht="14.4" customHeight="1" x14ac:dyDescent="0.3">
      <c r="E31" s="11">
        <f>Data!$B$6</f>
        <v>0.43999999999999995</v>
      </c>
      <c r="F31" s="9" t="s">
        <v>147</v>
      </c>
    </row>
    <row r="32" spans="4:8" ht="14.4" customHeight="1" x14ac:dyDescent="0.3">
      <c r="E32" s="5">
        <v>0</v>
      </c>
      <c r="F32" s="10" t="e">
        <f ca="1">_xll.PTreeNodeValue(treeCalc_3!$F$2,7)</f>
        <v>#VALUE!</v>
      </c>
    </row>
    <row r="33" spans="3:9" ht="14.4" customHeight="1" x14ac:dyDescent="0.3">
      <c r="G33" s="11">
        <f>Data!$B$18</f>
        <v>0.48707600000000001</v>
      </c>
      <c r="H33" s="4" t="e">
        <f ca="1">_xll.PTreeNodeProbability(treeCalc_3!$F$2,18)</f>
        <v>#VALUE!</v>
      </c>
    </row>
    <row r="34" spans="3:9" ht="14.4" customHeight="1" x14ac:dyDescent="0.3">
      <c r="G34" s="56">
        <f>Utilities!M8</f>
        <v>7.4313532857142892</v>
      </c>
      <c r="H34" s="3" t="e">
        <f ca="1">_xll.PTreeNodeValue(treeCalc_3!$F$2,18)</f>
        <v>#VALUE!</v>
      </c>
    </row>
    <row r="35" spans="3:9" ht="14.4" customHeight="1" x14ac:dyDescent="0.3">
      <c r="F35" s="11">
        <f>Data!$B$16</f>
        <v>0.72</v>
      </c>
      <c r="G35" s="9" t="s">
        <v>148</v>
      </c>
    </row>
    <row r="36" spans="3:9" ht="14.4" customHeight="1" x14ac:dyDescent="0.3">
      <c r="F36" s="5">
        <v>0</v>
      </c>
      <c r="G36" s="10" t="e">
        <f ca="1">_xll.PTreeNodeValue(treeCalc_3!$F$2,17)</f>
        <v>#VALUE!</v>
      </c>
    </row>
    <row r="37" spans="3:9" ht="14.4" customHeight="1" x14ac:dyDescent="0.3">
      <c r="G37" s="11">
        <f>Data!$B$19</f>
        <v>0.51292399999999994</v>
      </c>
      <c r="H37" s="4" t="e">
        <f ca="1">_xll.PTreeNodeProbability(treeCalc_3!$F$2,19)</f>
        <v>#VALUE!</v>
      </c>
    </row>
    <row r="38" spans="3:9" ht="14.4" customHeight="1" x14ac:dyDescent="0.3">
      <c r="G38" s="56">
        <f>Utilities!M9</f>
        <v>7.4313532857142892</v>
      </c>
      <c r="H38" s="3" t="e">
        <f ca="1">_xll.PTreeNodeValue(treeCalc_3!$F$2,19)</f>
        <v>#VALUE!</v>
      </c>
    </row>
    <row r="39" spans="3:9" ht="14.4" customHeight="1" x14ac:dyDescent="0.3">
      <c r="C39" s="8" t="e">
        <f ca="1">_xll.PTreeNodeDecision(treeCalc_3!$F$2,2)</f>
        <v>#VALUE!</v>
      </c>
      <c r="D39" s="6" t="s">
        <v>145</v>
      </c>
    </row>
    <row r="40" spans="3:9" ht="14.4" customHeight="1" x14ac:dyDescent="0.3">
      <c r="C40" s="5">
        <v>0</v>
      </c>
      <c r="D40" s="7" t="e">
        <f ca="1">_xll.PTreeNodeValue(treeCalc_3!$F$2,2)</f>
        <v>#VALUE!</v>
      </c>
    </row>
    <row r="41" spans="3:9" ht="14.4" customHeight="1" x14ac:dyDescent="0.3">
      <c r="H41" s="11">
        <f>Data!$B$21</f>
        <v>0.73</v>
      </c>
      <c r="I41" s="4" t="e">
        <f ca="1">_xll.PTreeNodeProbability(treeCalc_3!$F$2,29)</f>
        <v>#VALUE!</v>
      </c>
    </row>
    <row r="42" spans="3:9" ht="14.4" customHeight="1" x14ac:dyDescent="0.3">
      <c r="H42" s="56">
        <f>Utilities!M10</f>
        <v>98.866666666666674</v>
      </c>
      <c r="I42" s="3" t="e">
        <f ca="1">_xll.PTreeNodeValue(treeCalc_3!$F$2,29)</f>
        <v>#VALUE!</v>
      </c>
    </row>
    <row r="43" spans="3:9" ht="14.4" customHeight="1" x14ac:dyDescent="0.3">
      <c r="G43" s="11">
        <f>Data!$B$15</f>
        <v>0.28000000000000003</v>
      </c>
      <c r="H43" s="9" t="s">
        <v>148</v>
      </c>
    </row>
    <row r="44" spans="3:9" ht="14.4" customHeight="1" x14ac:dyDescent="0.3">
      <c r="G44" s="5">
        <v>0</v>
      </c>
      <c r="H44" s="10" t="e">
        <f ca="1">_xll.PTreeNodeValue(treeCalc_3!$F$2,28)</f>
        <v>#VALUE!</v>
      </c>
    </row>
    <row r="45" spans="3:9" ht="14.4" customHeight="1" x14ac:dyDescent="0.3">
      <c r="H45" s="11">
        <f>Data!$B$22</f>
        <v>0.27</v>
      </c>
      <c r="I45" s="4" t="e">
        <f ca="1">_xll.PTreeNodeProbability(treeCalc_3!$F$2,30)</f>
        <v>#VALUE!</v>
      </c>
    </row>
    <row r="46" spans="3:9" ht="14.4" customHeight="1" x14ac:dyDescent="0.3">
      <c r="H46" s="56">
        <f>Utilities!M11</f>
        <v>98.866666666666674</v>
      </c>
      <c r="I46" s="3" t="e">
        <f ca="1">_xll.PTreeNodeValue(treeCalc_3!$F$2,30)</f>
        <v>#VALUE!</v>
      </c>
    </row>
    <row r="47" spans="3:9" ht="14.4" customHeight="1" x14ac:dyDescent="0.3">
      <c r="F47" s="8" t="e">
        <f ca="1">_xll.PTreeNodeDecision(treeCalc_3!$F$2,22)</f>
        <v>#VALUE!</v>
      </c>
      <c r="G47" s="9" t="s">
        <v>147</v>
      </c>
    </row>
    <row r="48" spans="3:9" ht="14.4" customHeight="1" x14ac:dyDescent="0.3">
      <c r="F48" s="5">
        <v>0</v>
      </c>
      <c r="G48" s="10" t="e">
        <f ca="1">_xll.PTreeNodeValue(treeCalc_3!$F$2,22)</f>
        <v>#VALUE!</v>
      </c>
    </row>
    <row r="49" spans="5:9" ht="14.4" customHeight="1" x14ac:dyDescent="0.3">
      <c r="H49" s="11">
        <f>H41</f>
        <v>0.73</v>
      </c>
      <c r="I49" s="4" t="e">
        <f ca="1">_xll.PTreeNodeProbability(treeCalc_3!$F$2,32)</f>
        <v>#VALUE!</v>
      </c>
    </row>
    <row r="50" spans="5:9" ht="14.4" customHeight="1" x14ac:dyDescent="0.3">
      <c r="H50" s="56">
        <f>Utilities!M12</f>
        <v>98.866666666666674</v>
      </c>
      <c r="I50" s="3" t="e">
        <f ca="1">_xll.PTreeNodeValue(treeCalc_3!$F$2,32)</f>
        <v>#VALUE!</v>
      </c>
    </row>
    <row r="51" spans="5:9" ht="14.4" customHeight="1" x14ac:dyDescent="0.3">
      <c r="G51" s="11">
        <f>Data!$B$16</f>
        <v>0.72</v>
      </c>
      <c r="H51" s="9" t="s">
        <v>148</v>
      </c>
    </row>
    <row r="52" spans="5:9" ht="14.4" customHeight="1" x14ac:dyDescent="0.3">
      <c r="G52" s="5">
        <v>0</v>
      </c>
      <c r="H52" s="10" t="e">
        <f ca="1">_xll.PTreeNodeValue(treeCalc_3!$F$2,31)</f>
        <v>#VALUE!</v>
      </c>
    </row>
    <row r="53" spans="5:9" ht="14.4" customHeight="1" x14ac:dyDescent="0.3">
      <c r="H53" s="11">
        <f>H45</f>
        <v>0.27</v>
      </c>
      <c r="I53" s="4" t="e">
        <f ca="1">_xll.PTreeNodeProbability(treeCalc_3!$F$2,33)</f>
        <v>#VALUE!</v>
      </c>
    </row>
    <row r="54" spans="5:9" ht="14.4" customHeight="1" x14ac:dyDescent="0.3">
      <c r="H54" s="56">
        <f>Utilities!M13</f>
        <v>98.866666666666674</v>
      </c>
      <c r="I54" s="3" t="e">
        <f ca="1">_xll.PTreeNodeValue(treeCalc_3!$F$2,33)</f>
        <v>#VALUE!</v>
      </c>
    </row>
    <row r="55" spans="5:9" ht="14.4" customHeight="1" x14ac:dyDescent="0.3">
      <c r="E55" s="11">
        <f>Data!$B$8</f>
        <v>0.68</v>
      </c>
      <c r="F55" s="6" t="s">
        <v>156</v>
      </c>
    </row>
    <row r="56" spans="5:9" ht="14.4" customHeight="1" x14ac:dyDescent="0.3">
      <c r="E56" s="5">
        <v>0</v>
      </c>
      <c r="F56" s="7" t="e">
        <f ca="1">_xll.PTreeNodeValue(treeCalc_3!$F$2,20)</f>
        <v>#VALUE!</v>
      </c>
    </row>
    <row r="57" spans="5:9" ht="14.4" customHeight="1" x14ac:dyDescent="0.3">
      <c r="H57" s="11">
        <f>Data!$B$24</f>
        <v>0.82</v>
      </c>
      <c r="I57" s="4" t="e">
        <f ca="1">_xll.PTreeNodeProbability(treeCalc_3!$F$2,41)</f>
        <v>#VALUE!</v>
      </c>
    </row>
    <row r="58" spans="5:9" ht="14.4" customHeight="1" x14ac:dyDescent="0.3">
      <c r="H58" s="56">
        <f>Utilities!M14</f>
        <v>79.161904761904765</v>
      </c>
      <c r="I58" s="3" t="e">
        <f ca="1">_xll.PTreeNodeValue(treeCalc_3!$F$2,41)</f>
        <v>#VALUE!</v>
      </c>
    </row>
    <row r="59" spans="5:9" ht="14.4" customHeight="1" x14ac:dyDescent="0.3">
      <c r="G59" s="11">
        <f>Data!$B$15</f>
        <v>0.28000000000000003</v>
      </c>
      <c r="H59" s="9" t="s">
        <v>148</v>
      </c>
    </row>
    <row r="60" spans="5:9" ht="14.4" customHeight="1" x14ac:dyDescent="0.3">
      <c r="G60" s="5">
        <v>0</v>
      </c>
      <c r="H60" s="10" t="e">
        <f ca="1">_xll.PTreeNodeValue(treeCalc_3!$F$2,40)</f>
        <v>#VALUE!</v>
      </c>
    </row>
    <row r="61" spans="5:9" ht="14.4" customHeight="1" x14ac:dyDescent="0.3">
      <c r="H61" s="11">
        <f>Data!$B$25</f>
        <v>0.18000000000000005</v>
      </c>
      <c r="I61" s="4" t="e">
        <f ca="1">_xll.PTreeNodeProbability(treeCalc_3!$F$2,42)</f>
        <v>#VALUE!</v>
      </c>
    </row>
    <row r="62" spans="5:9" ht="14.4" customHeight="1" x14ac:dyDescent="0.3">
      <c r="H62" s="56">
        <f>Utilities!M15</f>
        <v>79.161904761904765</v>
      </c>
      <c r="I62" s="3" t="e">
        <f ca="1">_xll.PTreeNodeValue(treeCalc_3!$F$2,42)</f>
        <v>#VALUE!</v>
      </c>
    </row>
    <row r="63" spans="5:9" ht="14.4" customHeight="1" x14ac:dyDescent="0.3">
      <c r="F63" s="8" t="e">
        <f ca="1">_xll.PTreeNodeDecision(treeCalc_3!$F$2,23)</f>
        <v>#VALUE!</v>
      </c>
      <c r="G63" s="9" t="s">
        <v>147</v>
      </c>
    </row>
    <row r="64" spans="5:9" ht="14.4" customHeight="1" x14ac:dyDescent="0.3">
      <c r="F64" s="5">
        <v>0</v>
      </c>
      <c r="G64" s="10" t="e">
        <f ca="1">_xll.PTreeNodeValue(treeCalc_3!$F$2,23)</f>
        <v>#VALUE!</v>
      </c>
    </row>
    <row r="65" spans="6:9" ht="14.4" customHeight="1" x14ac:dyDescent="0.3">
      <c r="H65" s="11">
        <f>H57</f>
        <v>0.82</v>
      </c>
      <c r="I65" s="4" t="e">
        <f ca="1">_xll.PTreeNodeProbability(treeCalc_3!$F$2,44)</f>
        <v>#VALUE!</v>
      </c>
    </row>
    <row r="66" spans="6:9" ht="14.4" customHeight="1" x14ac:dyDescent="0.3">
      <c r="H66" s="56">
        <f>Utilities!M16</f>
        <v>79.161904761904765</v>
      </c>
      <c r="I66" s="3" t="e">
        <f ca="1">_xll.PTreeNodeValue(treeCalc_3!$F$2,44)</f>
        <v>#VALUE!</v>
      </c>
    </row>
    <row r="67" spans="6:9" ht="14.4" customHeight="1" x14ac:dyDescent="0.3">
      <c r="G67" s="11">
        <f>Data!$B$16</f>
        <v>0.72</v>
      </c>
      <c r="H67" s="9" t="s">
        <v>148</v>
      </c>
    </row>
    <row r="68" spans="6:9" ht="14.4" customHeight="1" x14ac:dyDescent="0.3">
      <c r="G68" s="5">
        <v>0</v>
      </c>
      <c r="H68" s="10" t="e">
        <f ca="1">_xll.PTreeNodeValue(treeCalc_3!$F$2,43)</f>
        <v>#VALUE!</v>
      </c>
    </row>
    <row r="69" spans="6:9" ht="14.4" customHeight="1" x14ac:dyDescent="0.3">
      <c r="H69" s="11">
        <f>H61</f>
        <v>0.18000000000000005</v>
      </c>
      <c r="I69" s="4" t="e">
        <f ca="1">_xll.PTreeNodeProbability(treeCalc_3!$F$2,45)</f>
        <v>#VALUE!</v>
      </c>
    </row>
    <row r="70" spans="6:9" ht="14.4" customHeight="1" x14ac:dyDescent="0.3">
      <c r="H70" s="56">
        <f>Utilities!M17</f>
        <v>79.161904761904765</v>
      </c>
      <c r="I70" s="3" t="e">
        <f ca="1">_xll.PTreeNodeValue(treeCalc_3!$F$2,45)</f>
        <v>#VALUE!</v>
      </c>
    </row>
    <row r="71" spans="6:9" ht="14.4" customHeight="1" x14ac:dyDescent="0.3">
      <c r="H71" s="11">
        <f>Data!$B$27</f>
        <v>0.94299999999999995</v>
      </c>
      <c r="I71" s="4" t="e">
        <f ca="1">_xll.PTreeNodeProbability(treeCalc_3!$F$2,53)</f>
        <v>#VALUE!</v>
      </c>
    </row>
    <row r="72" spans="6:9" ht="14.4" customHeight="1" x14ac:dyDescent="0.3">
      <c r="H72" s="56">
        <f>Utilities!M18</f>
        <v>85.714285714285722</v>
      </c>
      <c r="I72" s="3" t="e">
        <f ca="1">_xll.PTreeNodeValue(treeCalc_3!$F$2,53)</f>
        <v>#VALUE!</v>
      </c>
    </row>
    <row r="73" spans="6:9" ht="14.4" customHeight="1" x14ac:dyDescent="0.3">
      <c r="G73" s="11">
        <f>Data!$B$15</f>
        <v>0.28000000000000003</v>
      </c>
      <c r="H73" s="9" t="s">
        <v>148</v>
      </c>
    </row>
    <row r="74" spans="6:9" ht="14.4" customHeight="1" x14ac:dyDescent="0.3">
      <c r="G74" s="5">
        <v>0</v>
      </c>
      <c r="H74" s="10" t="e">
        <f ca="1">_xll.PTreeNodeValue(treeCalc_3!$F$2,52)</f>
        <v>#VALUE!</v>
      </c>
    </row>
    <row r="75" spans="6:9" ht="14.4" customHeight="1" x14ac:dyDescent="0.3">
      <c r="H75" s="11">
        <f>Data!$B$28</f>
        <v>5.7000000000000002E-2</v>
      </c>
      <c r="I75" s="4" t="e">
        <f ca="1">_xll.PTreeNodeProbability(treeCalc_3!$F$2,54)</f>
        <v>#VALUE!</v>
      </c>
    </row>
    <row r="76" spans="6:9" ht="14.4" customHeight="1" x14ac:dyDescent="0.3">
      <c r="H76" s="56">
        <f>Utilities!M19</f>
        <v>85.714285714285722</v>
      </c>
      <c r="I76" s="3" t="e">
        <f ca="1">_xll.PTreeNodeValue(treeCalc_3!$F$2,54)</f>
        <v>#VALUE!</v>
      </c>
    </row>
    <row r="77" spans="6:9" ht="14.4" customHeight="1" x14ac:dyDescent="0.3">
      <c r="F77" s="8" t="e">
        <f ca="1">_xll.PTreeNodeDecision(treeCalc_3!$F$2,24)</f>
        <v>#VALUE!</v>
      </c>
      <c r="G77" s="9" t="s">
        <v>147</v>
      </c>
    </row>
    <row r="78" spans="6:9" ht="14.4" customHeight="1" x14ac:dyDescent="0.3">
      <c r="F78" s="5">
        <v>0</v>
      </c>
      <c r="G78" s="10" t="e">
        <f ca="1">_xll.PTreeNodeValue(treeCalc_3!$F$2,24)</f>
        <v>#VALUE!</v>
      </c>
    </row>
    <row r="79" spans="6:9" ht="14.4" customHeight="1" x14ac:dyDescent="0.3">
      <c r="H79" s="11">
        <f>H71</f>
        <v>0.94299999999999995</v>
      </c>
      <c r="I79" s="4" t="e">
        <f ca="1">_xll.PTreeNodeProbability(treeCalc_3!$F$2,56)</f>
        <v>#VALUE!</v>
      </c>
    </row>
    <row r="80" spans="6:9" ht="14.4" customHeight="1" x14ac:dyDescent="0.3">
      <c r="H80" s="56">
        <f>Utilities!M20</f>
        <v>85.714285714285722</v>
      </c>
      <c r="I80" s="3" t="e">
        <f ca="1">_xll.PTreeNodeValue(treeCalc_3!$F$2,56)</f>
        <v>#VALUE!</v>
      </c>
    </row>
    <row r="81" spans="4:9" ht="14.4" customHeight="1" x14ac:dyDescent="0.3">
      <c r="G81" s="11">
        <f>Data!$B$16</f>
        <v>0.72</v>
      </c>
      <c r="H81" s="9" t="s">
        <v>148</v>
      </c>
    </row>
    <row r="82" spans="4:9" ht="14.4" customHeight="1" x14ac:dyDescent="0.3">
      <c r="G82" s="5">
        <v>0</v>
      </c>
      <c r="H82" s="10" t="e">
        <f ca="1">_xll.PTreeNodeValue(treeCalc_3!$F$2,55)</f>
        <v>#VALUE!</v>
      </c>
    </row>
    <row r="83" spans="4:9" ht="14.4" customHeight="1" x14ac:dyDescent="0.3">
      <c r="H83" s="11">
        <f>H75</f>
        <v>5.7000000000000002E-2</v>
      </c>
      <c r="I83" s="4" t="e">
        <f ca="1">_xll.PTreeNodeProbability(treeCalc_3!$F$2,57)</f>
        <v>#VALUE!</v>
      </c>
    </row>
    <row r="84" spans="4:9" ht="14.4" customHeight="1" x14ac:dyDescent="0.3">
      <c r="H84" s="56">
        <f>Utilities!M21</f>
        <v>85.714285714285722</v>
      </c>
      <c r="I84" s="3" t="e">
        <f ca="1">_xll.PTreeNodeValue(treeCalc_3!$F$2,57)</f>
        <v>#VALUE!</v>
      </c>
    </row>
    <row r="85" spans="4:9" ht="14.4" customHeight="1" x14ac:dyDescent="0.3">
      <c r="D85" s="8" t="e">
        <f ca="1">_xll.PTreeNodeDecision(treeCalc_3!$F$2,5)</f>
        <v>#VALUE!</v>
      </c>
      <c r="E85" s="9" t="s">
        <v>154</v>
      </c>
    </row>
    <row r="86" spans="4:9" ht="14.4" customHeight="1" x14ac:dyDescent="0.3">
      <c r="D86" s="5">
        <v>0</v>
      </c>
      <c r="E86" s="10" t="e">
        <f ca="1">_xll.PTreeNodeValue(treeCalc_3!$F$2,5)</f>
        <v>#VALUE!</v>
      </c>
    </row>
    <row r="87" spans="4:9" ht="14.4" customHeight="1" x14ac:dyDescent="0.3">
      <c r="H87" s="11">
        <f>Data!$B$21</f>
        <v>0.73</v>
      </c>
      <c r="I87" s="4" t="e">
        <f ca="1">_xll.PTreeNodeProbability(treeCalc_3!$F$2,35)</f>
        <v>#VALUE!</v>
      </c>
    </row>
    <row r="88" spans="4:9" ht="14.4" customHeight="1" x14ac:dyDescent="0.3">
      <c r="H88" s="56">
        <f>Utilities!M22</f>
        <v>93.152380952380952</v>
      </c>
      <c r="I88" s="3" t="e">
        <f ca="1">_xll.PTreeNodeValue(treeCalc_3!$F$2,35)</f>
        <v>#VALUE!</v>
      </c>
    </row>
    <row r="89" spans="4:9" ht="14.4" customHeight="1" x14ac:dyDescent="0.3">
      <c r="G89" s="11">
        <f>Data!$B$15</f>
        <v>0.28000000000000003</v>
      </c>
      <c r="H89" s="9" t="s">
        <v>148</v>
      </c>
    </row>
    <row r="90" spans="4:9" ht="14.4" customHeight="1" x14ac:dyDescent="0.3">
      <c r="G90" s="5">
        <v>0</v>
      </c>
      <c r="H90" s="10" t="e">
        <f ca="1">_xll.PTreeNodeValue(treeCalc_3!$F$2,34)</f>
        <v>#VALUE!</v>
      </c>
    </row>
    <row r="91" spans="4:9" ht="14.4" customHeight="1" x14ac:dyDescent="0.3">
      <c r="H91" s="11">
        <f>Data!$B$22</f>
        <v>0.27</v>
      </c>
      <c r="I91" s="4" t="e">
        <f ca="1">_xll.PTreeNodeProbability(treeCalc_3!$F$2,36)</f>
        <v>#VALUE!</v>
      </c>
    </row>
    <row r="92" spans="4:9" ht="14.4" customHeight="1" x14ac:dyDescent="0.3">
      <c r="H92" s="56">
        <f>Utilities!M23</f>
        <v>93.152380952380952</v>
      </c>
      <c r="I92" s="3" t="e">
        <f ca="1">_xll.PTreeNodeValue(treeCalc_3!$F$2,36)</f>
        <v>#VALUE!</v>
      </c>
    </row>
    <row r="93" spans="4:9" ht="14.4" customHeight="1" x14ac:dyDescent="0.3">
      <c r="F93" s="8" t="e">
        <f ca="1">_xll.PTreeNodeDecision(treeCalc_3!$F$2,25)</f>
        <v>#VALUE!</v>
      </c>
      <c r="G93" s="9" t="s">
        <v>147</v>
      </c>
    </row>
    <row r="94" spans="4:9" ht="14.4" customHeight="1" x14ac:dyDescent="0.3">
      <c r="F94" s="5">
        <v>0</v>
      </c>
      <c r="G94" s="10" t="e">
        <f ca="1">_xll.PTreeNodeValue(treeCalc_3!$F$2,25)</f>
        <v>#VALUE!</v>
      </c>
    </row>
    <row r="95" spans="4:9" ht="14.4" customHeight="1" x14ac:dyDescent="0.3">
      <c r="H95" s="11">
        <f>H87</f>
        <v>0.73</v>
      </c>
      <c r="I95" s="4" t="e">
        <f ca="1">_xll.PTreeNodeProbability(treeCalc_3!$F$2,38)</f>
        <v>#VALUE!</v>
      </c>
    </row>
    <row r="96" spans="4:9" ht="14.4" customHeight="1" x14ac:dyDescent="0.3">
      <c r="H96" s="56">
        <f>Utilities!M24</f>
        <v>93.152380952380952</v>
      </c>
      <c r="I96" s="3" t="e">
        <f ca="1">_xll.PTreeNodeValue(treeCalc_3!$F$2,38)</f>
        <v>#VALUE!</v>
      </c>
    </row>
    <row r="97" spans="5:9" ht="14.4" customHeight="1" x14ac:dyDescent="0.3">
      <c r="G97" s="11">
        <f>Data!$B$16</f>
        <v>0.72</v>
      </c>
      <c r="H97" s="9" t="s">
        <v>148</v>
      </c>
    </row>
    <row r="98" spans="5:9" ht="14.4" customHeight="1" x14ac:dyDescent="0.3">
      <c r="G98" s="5">
        <v>0</v>
      </c>
      <c r="H98" s="10" t="e">
        <f ca="1">_xll.PTreeNodeValue(treeCalc_3!$F$2,37)</f>
        <v>#VALUE!</v>
      </c>
    </row>
    <row r="99" spans="5:9" ht="14.4" customHeight="1" x14ac:dyDescent="0.3">
      <c r="H99" s="11">
        <f>H91</f>
        <v>0.27</v>
      </c>
      <c r="I99" s="4" t="e">
        <f ca="1">_xll.PTreeNodeProbability(treeCalc_3!$F$2,39)</f>
        <v>#VALUE!</v>
      </c>
    </row>
    <row r="100" spans="5:9" ht="14.4" customHeight="1" x14ac:dyDescent="0.3">
      <c r="H100" s="56">
        <f>Utilities!M25</f>
        <v>93.152380952380952</v>
      </c>
      <c r="I100" s="3" t="e">
        <f ca="1">_xll.PTreeNodeValue(treeCalc_3!$F$2,39)</f>
        <v>#VALUE!</v>
      </c>
    </row>
    <row r="101" spans="5:9" ht="14.4" customHeight="1" x14ac:dyDescent="0.3">
      <c r="E101" s="11">
        <f>Data!$B$9</f>
        <v>0.31999999999999995</v>
      </c>
      <c r="F101" s="6" t="s">
        <v>156</v>
      </c>
    </row>
    <row r="102" spans="5:9" ht="14.4" customHeight="1" x14ac:dyDescent="0.3">
      <c r="E102" s="5">
        <v>0</v>
      </c>
      <c r="F102" s="7" t="e">
        <f ca="1">_xll.PTreeNodeValue(treeCalc_3!$F$2,21)</f>
        <v>#VALUE!</v>
      </c>
    </row>
    <row r="103" spans="5:9" ht="14.4" customHeight="1" x14ac:dyDescent="0.3">
      <c r="H103" s="11">
        <f>Data!$B$24</f>
        <v>0.82</v>
      </c>
      <c r="I103" s="4" t="e">
        <f ca="1">_xll.PTreeNodeProbability(treeCalc_3!$F$2,47)</f>
        <v>#VALUE!</v>
      </c>
    </row>
    <row r="104" spans="5:9" ht="14.4" customHeight="1" x14ac:dyDescent="0.3">
      <c r="H104" s="56">
        <f>Utilities!M26</f>
        <v>80.590476190476195</v>
      </c>
      <c r="I104" s="3" t="e">
        <f ca="1">_xll.PTreeNodeValue(treeCalc_3!$F$2,47)</f>
        <v>#VALUE!</v>
      </c>
    </row>
    <row r="105" spans="5:9" ht="14.4" customHeight="1" x14ac:dyDescent="0.3">
      <c r="G105" s="11">
        <f>Data!$B$15</f>
        <v>0.28000000000000003</v>
      </c>
      <c r="H105" s="9" t="s">
        <v>148</v>
      </c>
    </row>
    <row r="106" spans="5:9" ht="14.4" customHeight="1" x14ac:dyDescent="0.3">
      <c r="G106" s="5">
        <v>0</v>
      </c>
      <c r="H106" s="10" t="e">
        <f ca="1">_xll.PTreeNodeValue(treeCalc_3!$F$2,46)</f>
        <v>#VALUE!</v>
      </c>
    </row>
    <row r="107" spans="5:9" ht="14.4" customHeight="1" x14ac:dyDescent="0.3">
      <c r="H107" s="11">
        <f>Data!$B$25</f>
        <v>0.18000000000000005</v>
      </c>
      <c r="I107" s="4" t="e">
        <f ca="1">_xll.PTreeNodeProbability(treeCalc_3!$F$2,48)</f>
        <v>#VALUE!</v>
      </c>
    </row>
    <row r="108" spans="5:9" ht="14.4" customHeight="1" x14ac:dyDescent="0.3">
      <c r="H108" s="56">
        <f>Utilities!M27</f>
        <v>80.590476190476195</v>
      </c>
      <c r="I108" s="3" t="e">
        <f ca="1">_xll.PTreeNodeValue(treeCalc_3!$F$2,48)</f>
        <v>#VALUE!</v>
      </c>
    </row>
    <row r="109" spans="5:9" ht="14.4" customHeight="1" x14ac:dyDescent="0.3">
      <c r="F109" s="8" t="e">
        <f ca="1">_xll.PTreeNodeDecision(treeCalc_3!$F$2,26)</f>
        <v>#VALUE!</v>
      </c>
      <c r="G109" s="9" t="s">
        <v>147</v>
      </c>
    </row>
    <row r="110" spans="5:9" ht="14.4" customHeight="1" x14ac:dyDescent="0.3">
      <c r="F110" s="5">
        <v>0</v>
      </c>
      <c r="G110" s="10" t="e">
        <f ca="1">_xll.PTreeNodeValue(treeCalc_3!$F$2,26)</f>
        <v>#VALUE!</v>
      </c>
    </row>
    <row r="111" spans="5:9" ht="14.4" customHeight="1" x14ac:dyDescent="0.3">
      <c r="H111" s="11">
        <f>H103</f>
        <v>0.82</v>
      </c>
      <c r="I111" s="4" t="e">
        <f ca="1">_xll.PTreeNodeProbability(treeCalc_3!$F$2,50)</f>
        <v>#VALUE!</v>
      </c>
    </row>
    <row r="112" spans="5:9" ht="14.4" customHeight="1" x14ac:dyDescent="0.3">
      <c r="H112" s="56">
        <f>Utilities!M28</f>
        <v>80.590476190476195</v>
      </c>
      <c r="I112" s="3" t="e">
        <f ca="1">_xll.PTreeNodeValue(treeCalc_3!$F$2,50)</f>
        <v>#VALUE!</v>
      </c>
    </row>
    <row r="113" spans="6:9" ht="14.4" customHeight="1" x14ac:dyDescent="0.3">
      <c r="G113" s="11">
        <f>Data!$B$16</f>
        <v>0.72</v>
      </c>
      <c r="H113" s="9" t="s">
        <v>148</v>
      </c>
    </row>
    <row r="114" spans="6:9" ht="14.4" customHeight="1" x14ac:dyDescent="0.3">
      <c r="G114" s="5">
        <v>0</v>
      </c>
      <c r="H114" s="10" t="e">
        <f ca="1">_xll.PTreeNodeValue(treeCalc_3!$F$2,49)</f>
        <v>#VALUE!</v>
      </c>
    </row>
    <row r="115" spans="6:9" ht="14.4" customHeight="1" x14ac:dyDescent="0.3">
      <c r="H115" s="11">
        <f>H107</f>
        <v>0.18000000000000005</v>
      </c>
      <c r="I115" s="4" t="e">
        <f ca="1">_xll.PTreeNodeProbability(treeCalc_3!$F$2,51)</f>
        <v>#VALUE!</v>
      </c>
    </row>
    <row r="116" spans="6:9" ht="14.4" customHeight="1" x14ac:dyDescent="0.3">
      <c r="H116" s="56">
        <f>Utilities!M29</f>
        <v>80.590476190476195</v>
      </c>
      <c r="I116" s="3" t="e">
        <f ca="1">_xll.PTreeNodeValue(treeCalc_3!$F$2,51)</f>
        <v>#VALUE!</v>
      </c>
    </row>
    <row r="117" spans="6:9" ht="14.4" customHeight="1" x14ac:dyDescent="0.3">
      <c r="H117" s="11">
        <f>Data!$B$27</f>
        <v>0.94299999999999995</v>
      </c>
      <c r="I117" s="4" t="e">
        <f ca="1">_xll.PTreeNodeProbability(treeCalc_3!$F$2,59)</f>
        <v>#VALUE!</v>
      </c>
    </row>
    <row r="118" spans="6:9" ht="14.4" customHeight="1" x14ac:dyDescent="0.3">
      <c r="H118" s="56">
        <f>Utilities!M30</f>
        <v>91.428571428571431</v>
      </c>
      <c r="I118" s="3" t="e">
        <f ca="1">_xll.PTreeNodeValue(treeCalc_3!$F$2,59)</f>
        <v>#VALUE!</v>
      </c>
    </row>
    <row r="119" spans="6:9" ht="14.4" customHeight="1" x14ac:dyDescent="0.3">
      <c r="G119" s="11">
        <f>Data!$B$15</f>
        <v>0.28000000000000003</v>
      </c>
      <c r="H119" s="9" t="s">
        <v>148</v>
      </c>
    </row>
    <row r="120" spans="6:9" ht="14.4" customHeight="1" x14ac:dyDescent="0.3">
      <c r="G120" s="5">
        <v>0</v>
      </c>
      <c r="H120" s="10" t="e">
        <f ca="1">_xll.PTreeNodeValue(treeCalc_3!$F$2,58)</f>
        <v>#VALUE!</v>
      </c>
    </row>
    <row r="121" spans="6:9" ht="14.4" customHeight="1" x14ac:dyDescent="0.3">
      <c r="H121" s="11">
        <f>Data!$B$28</f>
        <v>5.7000000000000002E-2</v>
      </c>
      <c r="I121" s="4" t="e">
        <f ca="1">_xll.PTreeNodeProbability(treeCalc_3!$F$2,60)</f>
        <v>#VALUE!</v>
      </c>
    </row>
    <row r="122" spans="6:9" ht="14.4" customHeight="1" x14ac:dyDescent="0.3">
      <c r="H122" s="56">
        <f>Utilities!M31</f>
        <v>91.428571428571431</v>
      </c>
      <c r="I122" s="3" t="e">
        <f ca="1">_xll.PTreeNodeValue(treeCalc_3!$F$2,60)</f>
        <v>#VALUE!</v>
      </c>
    </row>
    <row r="123" spans="6:9" ht="14.4" customHeight="1" x14ac:dyDescent="0.3">
      <c r="F123" s="8" t="e">
        <f ca="1">_xll.PTreeNodeDecision(treeCalc_3!$F$2,27)</f>
        <v>#VALUE!</v>
      </c>
      <c r="G123" s="9" t="s">
        <v>147</v>
      </c>
    </row>
    <row r="124" spans="6:9" ht="14.4" customHeight="1" x14ac:dyDescent="0.3">
      <c r="F124" s="5">
        <v>0</v>
      </c>
      <c r="G124" s="10" t="e">
        <f ca="1">_xll.PTreeNodeValue(treeCalc_3!$F$2,27)</f>
        <v>#VALUE!</v>
      </c>
    </row>
    <row r="125" spans="6:9" ht="14.4" customHeight="1" x14ac:dyDescent="0.3">
      <c r="H125" s="11">
        <f>H117</f>
        <v>0.94299999999999995</v>
      </c>
      <c r="I125" s="4" t="e">
        <f ca="1">_xll.PTreeNodeProbability(treeCalc_3!$F$2,62)</f>
        <v>#VALUE!</v>
      </c>
    </row>
    <row r="126" spans="6:9" ht="14.4" customHeight="1" x14ac:dyDescent="0.3">
      <c r="H126" s="56">
        <f>Utilities!M32</f>
        <v>91.428571428571431</v>
      </c>
      <c r="I126" s="3" t="e">
        <f ca="1">_xll.PTreeNodeValue(treeCalc_3!$F$2,62)</f>
        <v>#VALUE!</v>
      </c>
    </row>
    <row r="127" spans="6:9" ht="14.4" customHeight="1" x14ac:dyDescent="0.3">
      <c r="G127" s="11">
        <f>Data!$B$16</f>
        <v>0.72</v>
      </c>
      <c r="H127" s="9" t="s">
        <v>148</v>
      </c>
    </row>
    <row r="128" spans="6:9" ht="14.4" customHeight="1" x14ac:dyDescent="0.3">
      <c r="G128" s="5">
        <v>0</v>
      </c>
      <c r="H128" s="10" t="e">
        <f ca="1">_xll.PTreeNodeValue(treeCalc_3!$F$2,61)</f>
        <v>#VALUE!</v>
      </c>
    </row>
    <row r="129" spans="2:9" ht="14.4" customHeight="1" x14ac:dyDescent="0.3">
      <c r="H129" s="11">
        <f>H121</f>
        <v>5.7000000000000002E-2</v>
      </c>
      <c r="I129" s="4" t="e">
        <f ca="1">_xll.PTreeNodeProbability(treeCalc_3!$F$2,63)</f>
        <v>#VALUE!</v>
      </c>
    </row>
    <row r="130" spans="2:9" ht="14.4" customHeight="1" x14ac:dyDescent="0.3">
      <c r="H130" s="56">
        <f>Utilities!M33</f>
        <v>91.428571428571431</v>
      </c>
      <c r="I130" s="3" t="e">
        <f ca="1">_xll.PTreeNodeValue(treeCalc_3!$F$2,63)</f>
        <v>#VALUE!</v>
      </c>
    </row>
    <row r="131" spans="2:9" ht="14.4" customHeight="1" x14ac:dyDescent="0.3">
      <c r="B131" s="5"/>
      <c r="C131" s="6" t="s">
        <v>44</v>
      </c>
    </row>
    <row r="132" spans="2:9" ht="14.4" customHeight="1" x14ac:dyDescent="0.3">
      <c r="B132" s="5"/>
      <c r="C132" s="7" t="e">
        <f ca="1">_xll.PTreeNodeValue(treeCalc_3!$F$2,1)</f>
        <v>#VALUE!</v>
      </c>
    </row>
    <row r="133" spans="2:9" ht="14.4" customHeight="1" x14ac:dyDescent="0.3">
      <c r="E133" s="11">
        <f>Data!$B$30</f>
        <v>0.60099999999999998</v>
      </c>
      <c r="F133" s="4" t="e">
        <f ca="1">_xll.PTreeNodeProbability(treeCalc_3!$F$2,66)</f>
        <v>#VALUE!</v>
      </c>
    </row>
    <row r="134" spans="2:9" ht="14.4" customHeight="1" x14ac:dyDescent="0.3">
      <c r="E134" s="56">
        <f>Utilities!M34</f>
        <v>1.542111428571429</v>
      </c>
      <c r="F134" s="3" t="e">
        <f ca="1">_xll.PTreeNodeValue(treeCalc_3!$F$2,66)</f>
        <v>#VALUE!</v>
      </c>
    </row>
    <row r="135" spans="2:9" ht="14.4" customHeight="1" x14ac:dyDescent="0.3">
      <c r="D135" s="11">
        <v>0.5</v>
      </c>
      <c r="E135" s="9" t="s">
        <v>186</v>
      </c>
    </row>
    <row r="136" spans="2:9" ht="14.4" customHeight="1" x14ac:dyDescent="0.3">
      <c r="D136" s="5">
        <v>0</v>
      </c>
      <c r="E136" s="10" t="e">
        <f ca="1">_xll.PTreeNodeValue(treeCalc_3!$F$2,64)</f>
        <v>#VALUE!</v>
      </c>
    </row>
    <row r="137" spans="2:9" ht="14.4" customHeight="1" x14ac:dyDescent="0.3">
      <c r="E137" s="11">
        <f>Data!$B$31</f>
        <v>0.25</v>
      </c>
      <c r="F137" s="4" t="e">
        <f ca="1">_xll.PTreeNodeProbability(treeCalc_3!$F$2,67)</f>
        <v>#VALUE!</v>
      </c>
    </row>
    <row r="138" spans="2:9" ht="14.4" customHeight="1" x14ac:dyDescent="0.3">
      <c r="E138" s="56">
        <f>Utilities!M35</f>
        <v>0.77105571428571451</v>
      </c>
      <c r="F138" s="3" t="e">
        <f ca="1">_xll.PTreeNodeValue(treeCalc_3!$F$2,67)</f>
        <v>#VALUE!</v>
      </c>
    </row>
    <row r="139" spans="2:9" ht="14.4" customHeight="1" x14ac:dyDescent="0.3">
      <c r="E139" s="11">
        <f>Data!$B$32</f>
        <v>0.14899999999999999</v>
      </c>
      <c r="F139" s="4" t="e">
        <f ca="1">_xll.PTreeNodeProbability(treeCalc_3!$F$2,68)</f>
        <v>#VALUE!</v>
      </c>
    </row>
    <row r="140" spans="2:9" ht="14.4" customHeight="1" x14ac:dyDescent="0.3">
      <c r="E140" s="56">
        <f>Utilities!M36</f>
        <v>0</v>
      </c>
      <c r="F140" s="3" t="e">
        <f ca="1">_xll.PTreeNodeValue(treeCalc_3!$F$2,68)</f>
        <v>#VALUE!</v>
      </c>
    </row>
    <row r="141" spans="2:9" ht="14.4" customHeight="1" x14ac:dyDescent="0.3">
      <c r="C141" s="8" t="e">
        <f ca="1">_xll.PTreeNodeDecision(treeCalc_3!$F$2,3)</f>
        <v>#VALUE!</v>
      </c>
      <c r="D141" s="9" t="s">
        <v>76</v>
      </c>
    </row>
    <row r="142" spans="2:9" ht="14.4" customHeight="1" x14ac:dyDescent="0.3">
      <c r="C142" s="5">
        <v>0</v>
      </c>
      <c r="D142" s="10" t="e">
        <f ca="1">_xll.PTreeNodeValue(treeCalc_3!$F$2,3)</f>
        <v>#VALUE!</v>
      </c>
    </row>
    <row r="143" spans="2:9" ht="14.4" customHeight="1" x14ac:dyDescent="0.3">
      <c r="E143" s="11">
        <f>Data!$B$30</f>
        <v>0.60099999999999998</v>
      </c>
      <c r="F143" s="4" t="e">
        <f ca="1">_xll.PTreeNodeProbability(treeCalc_3!$F$2,69)</f>
        <v>#VALUE!</v>
      </c>
    </row>
    <row r="144" spans="2:9" ht="14.4" customHeight="1" x14ac:dyDescent="0.3">
      <c r="E144" s="56">
        <f>Utilities!M37</f>
        <v>1.233689142857143</v>
      </c>
      <c r="F144" s="3" t="e">
        <f ca="1">_xll.PTreeNodeValue(treeCalc_3!$F$2,69)</f>
        <v>#VALUE!</v>
      </c>
    </row>
    <row r="145" spans="4:6" ht="14.4" customHeight="1" x14ac:dyDescent="0.3">
      <c r="D145" s="11">
        <v>0.5</v>
      </c>
      <c r="E145" s="9" t="s">
        <v>186</v>
      </c>
    </row>
    <row r="146" spans="4:6" ht="14.4" customHeight="1" x14ac:dyDescent="0.3">
      <c r="D146" s="5">
        <v>0</v>
      </c>
      <c r="E146" s="10" t="e">
        <f ca="1">_xll.PTreeNodeValue(treeCalc_3!$F$2,65)</f>
        <v>#VALUE!</v>
      </c>
    </row>
    <row r="147" spans="4:6" ht="14.4" customHeight="1" x14ac:dyDescent="0.3">
      <c r="E147" s="11">
        <f>Data!$B$31</f>
        <v>0.25</v>
      </c>
      <c r="F147" s="4" t="e">
        <f ca="1">_xll.PTreeNodeProbability(treeCalc_3!$F$2,70)</f>
        <v>#VALUE!</v>
      </c>
    </row>
    <row r="148" spans="4:6" ht="14.4" customHeight="1" x14ac:dyDescent="0.3">
      <c r="E148" s="56">
        <f>Utilities!M38</f>
        <v>0.61684457142857152</v>
      </c>
      <c r="F148" s="3" t="e">
        <f ca="1">_xll.PTreeNodeValue(treeCalc_3!$F$2,70)</f>
        <v>#VALUE!</v>
      </c>
    </row>
    <row r="149" spans="4:6" ht="14.4" customHeight="1" x14ac:dyDescent="0.3">
      <c r="E149" s="11">
        <f>Data!$B$32</f>
        <v>0.14899999999999999</v>
      </c>
      <c r="F149" s="4" t="e">
        <f ca="1">_xll.PTreeNodeProbability(treeCalc_3!$F$2,71)</f>
        <v>#VALUE!</v>
      </c>
    </row>
    <row r="150" spans="4:6" ht="14.4" customHeight="1" x14ac:dyDescent="0.3">
      <c r="E150" s="56">
        <f>Utilities!M39</f>
        <v>0</v>
      </c>
      <c r="F150" s="3" t="e">
        <f ca="1">_xll.PTreeNodeValue(treeCalc_3!$F$2,71)</f>
        <v>#VALUE!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D86D-FF56-4145-9061-DED66C7C3043}">
  <dimension ref="A1:F61"/>
  <sheetViews>
    <sheetView showGridLines="0" topLeftCell="D1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9.5546875" bestFit="1" customWidth="1"/>
    <col min="4" max="4" width="7.44140625" bestFit="1" customWidth="1"/>
    <col min="5" max="5" width="9.33203125" bestFit="1" customWidth="1"/>
    <col min="6" max="6" width="7.44140625" bestFit="1" customWidth="1"/>
  </cols>
  <sheetData>
    <row r="1" spans="1:2" s="60" customFormat="1" ht="17.399999999999999" x14ac:dyDescent="0.3">
      <c r="B1" s="63" t="s">
        <v>206</v>
      </c>
    </row>
    <row r="2" spans="1:2" s="61" customFormat="1" ht="10.199999999999999" x14ac:dyDescent="0.2">
      <c r="B2" s="64" t="s">
        <v>207</v>
      </c>
    </row>
    <row r="3" spans="1:2" s="61" customFormat="1" ht="10.199999999999999" x14ac:dyDescent="0.2">
      <c r="B3" s="64" t="s">
        <v>245</v>
      </c>
    </row>
    <row r="4" spans="1:2" s="61" customFormat="1" ht="10.199999999999999" x14ac:dyDescent="0.2">
      <c r="B4" s="64" t="s">
        <v>209</v>
      </c>
    </row>
    <row r="5" spans="1:2" s="62" customFormat="1" ht="10.199999999999999" x14ac:dyDescent="0.2">
      <c r="B5" s="65" t="s">
        <v>246</v>
      </c>
    </row>
    <row r="7" spans="1:2" x14ac:dyDescent="0.3">
      <c r="A7" s="86"/>
    </row>
    <row r="28" spans="2:6" ht="15" thickBot="1" x14ac:dyDescent="0.35"/>
    <row r="29" spans="2:6" ht="15" thickBot="1" x14ac:dyDescent="0.35">
      <c r="B29" s="66" t="s">
        <v>211</v>
      </c>
      <c r="C29" s="67"/>
      <c r="D29" s="67"/>
      <c r="E29" s="67"/>
      <c r="F29" s="68"/>
    </row>
    <row r="30" spans="2:6" x14ac:dyDescent="0.3">
      <c r="B30" s="71"/>
      <c r="C30" s="77" t="s">
        <v>242</v>
      </c>
      <c r="D30" s="78"/>
      <c r="E30" s="82" t="s">
        <v>244</v>
      </c>
      <c r="F30" s="83"/>
    </row>
    <row r="31" spans="2:6" x14ac:dyDescent="0.3">
      <c r="B31" s="72"/>
      <c r="C31" s="69" t="s">
        <v>109</v>
      </c>
      <c r="D31" s="79" t="s">
        <v>243</v>
      </c>
      <c r="E31" s="69" t="s">
        <v>109</v>
      </c>
      <c r="F31" s="70" t="s">
        <v>243</v>
      </c>
    </row>
    <row r="32" spans="2:6" x14ac:dyDescent="0.3">
      <c r="B32" s="73" t="s">
        <v>212</v>
      </c>
      <c r="C32" s="75">
        <v>-5.4210108624275222E-18</v>
      </c>
      <c r="D32" s="80">
        <v>-1</v>
      </c>
      <c r="E32" s="75">
        <v>97.038095238095252</v>
      </c>
      <c r="F32" s="84">
        <v>0</v>
      </c>
    </row>
    <row r="33" spans="2:6" x14ac:dyDescent="0.3">
      <c r="B33" s="73" t="s">
        <v>213</v>
      </c>
      <c r="C33" s="75">
        <v>1.7931034482758616E-2</v>
      </c>
      <c r="D33" s="80">
        <v>-0.93103448275862066</v>
      </c>
      <c r="E33" s="75">
        <v>97.038095238095252</v>
      </c>
      <c r="F33" s="84">
        <v>0</v>
      </c>
    </row>
    <row r="34" spans="2:6" x14ac:dyDescent="0.3">
      <c r="B34" s="73" t="s">
        <v>214</v>
      </c>
      <c r="C34" s="75">
        <v>3.5862068965517239E-2</v>
      </c>
      <c r="D34" s="80">
        <v>-0.86206896551724144</v>
      </c>
      <c r="E34" s="75">
        <v>97.038095238095252</v>
      </c>
      <c r="F34" s="84">
        <v>0</v>
      </c>
    </row>
    <row r="35" spans="2:6" x14ac:dyDescent="0.3">
      <c r="B35" s="73" t="s">
        <v>215</v>
      </c>
      <c r="C35" s="75">
        <v>5.3793103448275856E-2</v>
      </c>
      <c r="D35" s="80">
        <v>-0.7931034482758621</v>
      </c>
      <c r="E35" s="75">
        <v>97.038095238095252</v>
      </c>
      <c r="F35" s="84">
        <v>0</v>
      </c>
    </row>
    <row r="36" spans="2:6" x14ac:dyDescent="0.3">
      <c r="B36" s="73" t="s">
        <v>216</v>
      </c>
      <c r="C36" s="75">
        <v>7.1724137931034479E-2</v>
      </c>
      <c r="D36" s="80">
        <v>-0.72413793103448276</v>
      </c>
      <c r="E36" s="75">
        <v>97.038095238095252</v>
      </c>
      <c r="F36" s="84">
        <v>0</v>
      </c>
    </row>
    <row r="37" spans="2:6" x14ac:dyDescent="0.3">
      <c r="B37" s="73" t="s">
        <v>217</v>
      </c>
      <c r="C37" s="75">
        <v>8.9655172413793102E-2</v>
      </c>
      <c r="D37" s="80">
        <v>-0.65517241379310343</v>
      </c>
      <c r="E37" s="75">
        <v>97.038095238095252</v>
      </c>
      <c r="F37" s="84">
        <v>0</v>
      </c>
    </row>
    <row r="38" spans="2:6" x14ac:dyDescent="0.3">
      <c r="B38" s="73" t="s">
        <v>218</v>
      </c>
      <c r="C38" s="75">
        <v>0.10758620689655173</v>
      </c>
      <c r="D38" s="80">
        <v>-0.5862068965517242</v>
      </c>
      <c r="E38" s="75">
        <v>97.038095238095252</v>
      </c>
      <c r="F38" s="84">
        <v>0</v>
      </c>
    </row>
    <row r="39" spans="2:6" x14ac:dyDescent="0.3">
      <c r="B39" s="73" t="s">
        <v>219</v>
      </c>
      <c r="C39" s="75">
        <v>0.12551724137931033</v>
      </c>
      <c r="D39" s="80">
        <v>-0.51724137931034486</v>
      </c>
      <c r="E39" s="75">
        <v>97.038095238095252</v>
      </c>
      <c r="F39" s="84">
        <v>0</v>
      </c>
    </row>
    <row r="40" spans="2:6" x14ac:dyDescent="0.3">
      <c r="B40" s="73" t="s">
        <v>220</v>
      </c>
      <c r="C40" s="75">
        <v>0.14344827586206896</v>
      </c>
      <c r="D40" s="80">
        <v>-0.44827586206896558</v>
      </c>
      <c r="E40" s="75">
        <v>97.038095238095252</v>
      </c>
      <c r="F40" s="84">
        <v>0</v>
      </c>
    </row>
    <row r="41" spans="2:6" x14ac:dyDescent="0.3">
      <c r="B41" s="73" t="s">
        <v>221</v>
      </c>
      <c r="C41" s="75">
        <v>0.16137931034482758</v>
      </c>
      <c r="D41" s="80">
        <v>-0.37931034482758624</v>
      </c>
      <c r="E41" s="75">
        <v>97.038095238095252</v>
      </c>
      <c r="F41" s="84">
        <v>0</v>
      </c>
    </row>
    <row r="42" spans="2:6" x14ac:dyDescent="0.3">
      <c r="B42" s="73" t="s">
        <v>222</v>
      </c>
      <c r="C42" s="75">
        <v>0.1793103448275862</v>
      </c>
      <c r="D42" s="80">
        <v>-0.31034482758620691</v>
      </c>
      <c r="E42" s="75">
        <v>97.038095238095252</v>
      </c>
      <c r="F42" s="84">
        <v>0</v>
      </c>
    </row>
    <row r="43" spans="2:6" x14ac:dyDescent="0.3">
      <c r="B43" s="73" t="s">
        <v>223</v>
      </c>
      <c r="C43" s="75">
        <v>0.19724137931034483</v>
      </c>
      <c r="D43" s="80">
        <v>-0.24137931034482762</v>
      </c>
      <c r="E43" s="75">
        <v>97.038095238095252</v>
      </c>
      <c r="F43" s="84">
        <v>0</v>
      </c>
    </row>
    <row r="44" spans="2:6" x14ac:dyDescent="0.3">
      <c r="B44" s="73" t="s">
        <v>224</v>
      </c>
      <c r="C44" s="75">
        <v>0.21517241379310345</v>
      </c>
      <c r="D44" s="80">
        <v>-0.17241379310344829</v>
      </c>
      <c r="E44" s="75">
        <v>97.038095238095252</v>
      </c>
      <c r="F44" s="84">
        <v>0</v>
      </c>
    </row>
    <row r="45" spans="2:6" x14ac:dyDescent="0.3">
      <c r="B45" s="73" t="s">
        <v>225</v>
      </c>
      <c r="C45" s="75">
        <v>0.23310344827586207</v>
      </c>
      <c r="D45" s="80">
        <v>-0.10344827586206898</v>
      </c>
      <c r="E45" s="75">
        <v>97.038095238095252</v>
      </c>
      <c r="F45" s="84">
        <v>0</v>
      </c>
    </row>
    <row r="46" spans="2:6" x14ac:dyDescent="0.3">
      <c r="B46" s="73" t="s">
        <v>226</v>
      </c>
      <c r="C46" s="75">
        <v>0.25103448275862067</v>
      </c>
      <c r="D46" s="80">
        <v>-3.4482758620689766E-2</v>
      </c>
      <c r="E46" s="75">
        <v>97.038095238095252</v>
      </c>
      <c r="F46" s="84">
        <v>0</v>
      </c>
    </row>
    <row r="47" spans="2:6" x14ac:dyDescent="0.3">
      <c r="B47" s="73" t="s">
        <v>227</v>
      </c>
      <c r="C47" s="75">
        <v>0.26896551724137929</v>
      </c>
      <c r="D47" s="80">
        <v>3.4482758620689551E-2</v>
      </c>
      <c r="E47" s="75">
        <v>97.038095238095252</v>
      </c>
      <c r="F47" s="84">
        <v>0</v>
      </c>
    </row>
    <row r="48" spans="2:6" x14ac:dyDescent="0.3">
      <c r="B48" s="73" t="s">
        <v>228</v>
      </c>
      <c r="C48" s="75">
        <v>0.28689655172413792</v>
      </c>
      <c r="D48" s="80">
        <v>0.10344827586206887</v>
      </c>
      <c r="E48" s="75">
        <v>97.038095238095252</v>
      </c>
      <c r="F48" s="84">
        <v>0</v>
      </c>
    </row>
    <row r="49" spans="2:6" x14ac:dyDescent="0.3">
      <c r="B49" s="73" t="s">
        <v>229</v>
      </c>
      <c r="C49" s="75">
        <v>0.30482758620689654</v>
      </c>
      <c r="D49" s="80">
        <v>0.17241379310344818</v>
      </c>
      <c r="E49" s="75">
        <v>97.038095238095252</v>
      </c>
      <c r="F49" s="84">
        <v>0</v>
      </c>
    </row>
    <row r="50" spans="2:6" x14ac:dyDescent="0.3">
      <c r="B50" s="73" t="s">
        <v>230</v>
      </c>
      <c r="C50" s="75">
        <v>0.32275862068965516</v>
      </c>
      <c r="D50" s="80">
        <v>0.24137931034482751</v>
      </c>
      <c r="E50" s="75">
        <v>97.038095238095252</v>
      </c>
      <c r="F50" s="84">
        <v>0</v>
      </c>
    </row>
    <row r="51" spans="2:6" x14ac:dyDescent="0.3">
      <c r="B51" s="73" t="s">
        <v>231</v>
      </c>
      <c r="C51" s="75">
        <v>0.34068965517241379</v>
      </c>
      <c r="D51" s="80">
        <v>0.31034482758620685</v>
      </c>
      <c r="E51" s="75">
        <v>97.038095238095252</v>
      </c>
      <c r="F51" s="84">
        <v>0</v>
      </c>
    </row>
    <row r="52" spans="2:6" x14ac:dyDescent="0.3">
      <c r="B52" s="73" t="s">
        <v>232</v>
      </c>
      <c r="C52" s="75">
        <v>0.35862068965517241</v>
      </c>
      <c r="D52" s="80">
        <v>0.37931034482758613</v>
      </c>
      <c r="E52" s="75">
        <v>97.038095238095252</v>
      </c>
      <c r="F52" s="84">
        <v>0</v>
      </c>
    </row>
    <row r="53" spans="2:6" x14ac:dyDescent="0.3">
      <c r="B53" s="73" t="s">
        <v>233</v>
      </c>
      <c r="C53" s="75">
        <v>0.37655172413793103</v>
      </c>
      <c r="D53" s="80">
        <v>0.44827586206896547</v>
      </c>
      <c r="E53" s="75">
        <v>97.038095238095252</v>
      </c>
      <c r="F53" s="84">
        <v>0</v>
      </c>
    </row>
    <row r="54" spans="2:6" x14ac:dyDescent="0.3">
      <c r="B54" s="73" t="s">
        <v>234</v>
      </c>
      <c r="C54" s="75">
        <v>0.39448275862068966</v>
      </c>
      <c r="D54" s="80">
        <v>0.51724137931034475</v>
      </c>
      <c r="E54" s="75">
        <v>97.038095238095252</v>
      </c>
      <c r="F54" s="84">
        <v>0</v>
      </c>
    </row>
    <row r="55" spans="2:6" x14ac:dyDescent="0.3">
      <c r="B55" s="73" t="s">
        <v>235</v>
      </c>
      <c r="C55" s="75">
        <v>0.41241379310344828</v>
      </c>
      <c r="D55" s="80">
        <v>0.58620689655172409</v>
      </c>
      <c r="E55" s="75">
        <v>97.038095238095252</v>
      </c>
      <c r="F55" s="84">
        <v>0</v>
      </c>
    </row>
    <row r="56" spans="2:6" x14ac:dyDescent="0.3">
      <c r="B56" s="73" t="s">
        <v>236</v>
      </c>
      <c r="C56" s="75">
        <v>0.4303448275862069</v>
      </c>
      <c r="D56" s="80">
        <v>0.65517241379310343</v>
      </c>
      <c r="E56" s="75">
        <v>97.038095238095252</v>
      </c>
      <c r="F56" s="84">
        <v>0</v>
      </c>
    </row>
    <row r="57" spans="2:6" x14ac:dyDescent="0.3">
      <c r="B57" s="73" t="s">
        <v>237</v>
      </c>
      <c r="C57" s="75">
        <v>0.44827586206896552</v>
      </c>
      <c r="D57" s="80">
        <v>0.72413793103448276</v>
      </c>
      <c r="E57" s="75">
        <v>97.038095238095252</v>
      </c>
      <c r="F57" s="84">
        <v>0</v>
      </c>
    </row>
    <row r="58" spans="2:6" x14ac:dyDescent="0.3">
      <c r="B58" s="73" t="s">
        <v>238</v>
      </c>
      <c r="C58" s="75">
        <v>0.46620689655172415</v>
      </c>
      <c r="D58" s="80">
        <v>0.7931034482758621</v>
      </c>
      <c r="E58" s="75">
        <v>97.038095238095252</v>
      </c>
      <c r="F58" s="84">
        <v>0</v>
      </c>
    </row>
    <row r="59" spans="2:6" x14ac:dyDescent="0.3">
      <c r="B59" s="73" t="s">
        <v>239</v>
      </c>
      <c r="C59" s="75">
        <v>0.48413793103448277</v>
      </c>
      <c r="D59" s="80">
        <v>0.86206896551724133</v>
      </c>
      <c r="E59" s="75">
        <v>97.038095238095252</v>
      </c>
      <c r="F59" s="84">
        <v>0</v>
      </c>
    </row>
    <row r="60" spans="2:6" x14ac:dyDescent="0.3">
      <c r="B60" s="73" t="s">
        <v>240</v>
      </c>
      <c r="C60" s="75">
        <v>0.50206896551724145</v>
      </c>
      <c r="D60" s="80">
        <v>0.93103448275862088</v>
      </c>
      <c r="E60" s="75">
        <v>97.038095238095252</v>
      </c>
      <c r="F60" s="84">
        <v>0</v>
      </c>
    </row>
    <row r="61" spans="2:6" ht="15" thickBot="1" x14ac:dyDescent="0.35">
      <c r="B61" s="74" t="s">
        <v>241</v>
      </c>
      <c r="C61" s="76">
        <v>0.52</v>
      </c>
      <c r="D61" s="81">
        <v>1</v>
      </c>
      <c r="E61" s="76">
        <v>97.038095238095252</v>
      </c>
      <c r="F61" s="85">
        <v>0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C015-31AF-4E23-8608-2342B6C785B7}">
  <dimension ref="B1:F61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9.5546875" bestFit="1" customWidth="1"/>
    <col min="4" max="4" width="7.44140625" bestFit="1" customWidth="1"/>
    <col min="5" max="5" width="9.33203125" bestFit="1" customWidth="1"/>
    <col min="6" max="6" width="7.44140625" bestFit="1" customWidth="1"/>
  </cols>
  <sheetData>
    <row r="1" spans="2:2" s="60" customFormat="1" ht="17.399999999999999" x14ac:dyDescent="0.3">
      <c r="B1" s="63" t="s">
        <v>206</v>
      </c>
    </row>
    <row r="2" spans="2:2" s="61" customFormat="1" ht="10.199999999999999" x14ac:dyDescent="0.2">
      <c r="B2" s="64" t="s">
        <v>207</v>
      </c>
    </row>
    <row r="3" spans="2:2" s="61" customFormat="1" ht="10.199999999999999" x14ac:dyDescent="0.2">
      <c r="B3" s="64" t="s">
        <v>247</v>
      </c>
    </row>
    <row r="4" spans="2:2" s="61" customFormat="1" ht="10.199999999999999" x14ac:dyDescent="0.2">
      <c r="B4" s="64" t="s">
        <v>209</v>
      </c>
    </row>
    <row r="5" spans="2:2" s="62" customFormat="1" ht="10.199999999999999" x14ac:dyDescent="0.2">
      <c r="B5" s="65" t="s">
        <v>248</v>
      </c>
    </row>
    <row r="28" spans="2:6" ht="15" thickBot="1" x14ac:dyDescent="0.35"/>
    <row r="29" spans="2:6" ht="15" thickBot="1" x14ac:dyDescent="0.35">
      <c r="B29" s="66" t="s">
        <v>211</v>
      </c>
      <c r="C29" s="67"/>
      <c r="D29" s="67"/>
      <c r="E29" s="67"/>
      <c r="F29" s="68"/>
    </row>
    <row r="30" spans="2:6" x14ac:dyDescent="0.3">
      <c r="B30" s="71"/>
      <c r="C30" s="77" t="s">
        <v>242</v>
      </c>
      <c r="D30" s="78"/>
      <c r="E30" s="82" t="s">
        <v>244</v>
      </c>
      <c r="F30" s="83"/>
    </row>
    <row r="31" spans="2:6" x14ac:dyDescent="0.3">
      <c r="B31" s="72"/>
      <c r="C31" s="69" t="s">
        <v>109</v>
      </c>
      <c r="D31" s="79" t="s">
        <v>243</v>
      </c>
      <c r="E31" s="69" t="s">
        <v>109</v>
      </c>
      <c r="F31" s="70" t="s">
        <v>243</v>
      </c>
    </row>
    <row r="32" spans="2:6" x14ac:dyDescent="0.3">
      <c r="B32" s="73" t="s">
        <v>212</v>
      </c>
      <c r="C32" s="75">
        <v>-8.3212516738262465E-18</v>
      </c>
      <c r="D32" s="80">
        <v>-1</v>
      </c>
      <c r="E32" s="75">
        <v>97.038095238095252</v>
      </c>
      <c r="F32" s="84">
        <v>0</v>
      </c>
    </row>
    <row r="33" spans="2:6" x14ac:dyDescent="0.3">
      <c r="B33" s="73" t="s">
        <v>213</v>
      </c>
      <c r="C33" s="75">
        <v>2.7586206896551717E-2</v>
      </c>
      <c r="D33" s="80">
        <v>-0.93103448275862066</v>
      </c>
      <c r="E33" s="75">
        <v>97.038095238095252</v>
      </c>
      <c r="F33" s="84">
        <v>0</v>
      </c>
    </row>
    <row r="34" spans="2:6" x14ac:dyDescent="0.3">
      <c r="B34" s="73" t="s">
        <v>214</v>
      </c>
      <c r="C34" s="75">
        <v>5.5172413793103441E-2</v>
      </c>
      <c r="D34" s="80">
        <v>-0.86206896551724144</v>
      </c>
      <c r="E34" s="75">
        <v>97.038095238095252</v>
      </c>
      <c r="F34" s="84">
        <v>0</v>
      </c>
    </row>
    <row r="35" spans="2:6" x14ac:dyDescent="0.3">
      <c r="B35" s="73" t="s">
        <v>215</v>
      </c>
      <c r="C35" s="75">
        <v>8.2758620689655171E-2</v>
      </c>
      <c r="D35" s="80">
        <v>-0.7931034482758621</v>
      </c>
      <c r="E35" s="75">
        <v>97.038095238095252</v>
      </c>
      <c r="F35" s="84">
        <v>0</v>
      </c>
    </row>
    <row r="36" spans="2:6" x14ac:dyDescent="0.3">
      <c r="B36" s="73" t="s">
        <v>216</v>
      </c>
      <c r="C36" s="75">
        <v>0.1103448275862069</v>
      </c>
      <c r="D36" s="80">
        <v>-0.72413793103448276</v>
      </c>
      <c r="E36" s="75">
        <v>97.038095238095252</v>
      </c>
      <c r="F36" s="84">
        <v>0</v>
      </c>
    </row>
    <row r="37" spans="2:6" x14ac:dyDescent="0.3">
      <c r="B37" s="73" t="s">
        <v>217</v>
      </c>
      <c r="C37" s="75">
        <v>0.13793103448275862</v>
      </c>
      <c r="D37" s="80">
        <v>-0.65517241379310343</v>
      </c>
      <c r="E37" s="75">
        <v>97.038095238095252</v>
      </c>
      <c r="F37" s="84">
        <v>0</v>
      </c>
    </row>
    <row r="38" spans="2:6" x14ac:dyDescent="0.3">
      <c r="B38" s="73" t="s">
        <v>218</v>
      </c>
      <c r="C38" s="75">
        <v>0.16551724137931034</v>
      </c>
      <c r="D38" s="80">
        <v>-0.5862068965517242</v>
      </c>
      <c r="E38" s="75">
        <v>97.038095238095252</v>
      </c>
      <c r="F38" s="84">
        <v>0</v>
      </c>
    </row>
    <row r="39" spans="2:6" x14ac:dyDescent="0.3">
      <c r="B39" s="73" t="s">
        <v>219</v>
      </c>
      <c r="C39" s="75">
        <v>0.19310344827586207</v>
      </c>
      <c r="D39" s="80">
        <v>-0.51724137931034486</v>
      </c>
      <c r="E39" s="75">
        <v>97.038095238095252</v>
      </c>
      <c r="F39" s="84">
        <v>0</v>
      </c>
    </row>
    <row r="40" spans="2:6" x14ac:dyDescent="0.3">
      <c r="B40" s="73" t="s">
        <v>220</v>
      </c>
      <c r="C40" s="75">
        <v>0.22068965517241379</v>
      </c>
      <c r="D40" s="80">
        <v>-0.44827586206896558</v>
      </c>
      <c r="E40" s="75">
        <v>97.038095238095252</v>
      </c>
      <c r="F40" s="84">
        <v>0</v>
      </c>
    </row>
    <row r="41" spans="2:6" x14ac:dyDescent="0.3">
      <c r="B41" s="73" t="s">
        <v>221</v>
      </c>
      <c r="C41" s="75">
        <v>0.24827586206896551</v>
      </c>
      <c r="D41" s="80">
        <v>-0.37931034482758624</v>
      </c>
      <c r="E41" s="75">
        <v>97.038095238095252</v>
      </c>
      <c r="F41" s="84">
        <v>0</v>
      </c>
    </row>
    <row r="42" spans="2:6" x14ac:dyDescent="0.3">
      <c r="B42" s="73" t="s">
        <v>222</v>
      </c>
      <c r="C42" s="75">
        <v>0.27586206896551724</v>
      </c>
      <c r="D42" s="80">
        <v>-0.31034482758620696</v>
      </c>
      <c r="E42" s="75">
        <v>97.038095238095252</v>
      </c>
      <c r="F42" s="84">
        <v>0</v>
      </c>
    </row>
    <row r="43" spans="2:6" x14ac:dyDescent="0.3">
      <c r="B43" s="73" t="s">
        <v>223</v>
      </c>
      <c r="C43" s="75">
        <v>0.30344827586206896</v>
      </c>
      <c r="D43" s="80">
        <v>-0.24137931034482765</v>
      </c>
      <c r="E43" s="75">
        <v>97.038095238095252</v>
      </c>
      <c r="F43" s="84">
        <v>0</v>
      </c>
    </row>
    <row r="44" spans="2:6" x14ac:dyDescent="0.3">
      <c r="B44" s="73" t="s">
        <v>224</v>
      </c>
      <c r="C44" s="75">
        <v>0.33103448275862069</v>
      </c>
      <c r="D44" s="80">
        <v>-0.17241379310344834</v>
      </c>
      <c r="E44" s="75">
        <v>97.038095238095252</v>
      </c>
      <c r="F44" s="84">
        <v>0</v>
      </c>
    </row>
    <row r="45" spans="2:6" x14ac:dyDescent="0.3">
      <c r="B45" s="73" t="s">
        <v>225</v>
      </c>
      <c r="C45" s="75">
        <v>0.35862068965517241</v>
      </c>
      <c r="D45" s="80">
        <v>-0.10344827586206903</v>
      </c>
      <c r="E45" s="75">
        <v>97.038095238095252</v>
      </c>
      <c r="F45" s="84">
        <v>0</v>
      </c>
    </row>
    <row r="46" spans="2:6" x14ac:dyDescent="0.3">
      <c r="B46" s="73" t="s">
        <v>226</v>
      </c>
      <c r="C46" s="75">
        <v>0.38620689655172413</v>
      </c>
      <c r="D46" s="80">
        <v>-3.4482758620689724E-2</v>
      </c>
      <c r="E46" s="75">
        <v>97.038095238095252</v>
      </c>
      <c r="F46" s="84">
        <v>0</v>
      </c>
    </row>
    <row r="47" spans="2:6" x14ac:dyDescent="0.3">
      <c r="B47" s="73" t="s">
        <v>227</v>
      </c>
      <c r="C47" s="75">
        <v>0.41379310344827586</v>
      </c>
      <c r="D47" s="80">
        <v>3.4482758620689585E-2</v>
      </c>
      <c r="E47" s="75">
        <v>97.038095238095252</v>
      </c>
      <c r="F47" s="84">
        <v>0</v>
      </c>
    </row>
    <row r="48" spans="2:6" x14ac:dyDescent="0.3">
      <c r="B48" s="73" t="s">
        <v>228</v>
      </c>
      <c r="C48" s="75">
        <v>0.44137931034482758</v>
      </c>
      <c r="D48" s="80">
        <v>0.10344827586206889</v>
      </c>
      <c r="E48" s="75">
        <v>97.038095238095252</v>
      </c>
      <c r="F48" s="84">
        <v>0</v>
      </c>
    </row>
    <row r="49" spans="2:6" x14ac:dyDescent="0.3">
      <c r="B49" s="73" t="s">
        <v>229</v>
      </c>
      <c r="C49" s="75">
        <v>0.46896551724137936</v>
      </c>
      <c r="D49" s="80">
        <v>0.17241379310344834</v>
      </c>
      <c r="E49" s="75">
        <v>97.038095238095252</v>
      </c>
      <c r="F49" s="84">
        <v>0</v>
      </c>
    </row>
    <row r="50" spans="2:6" x14ac:dyDescent="0.3">
      <c r="B50" s="73" t="s">
        <v>230</v>
      </c>
      <c r="C50" s="75">
        <v>0.49655172413793108</v>
      </c>
      <c r="D50" s="80">
        <v>0.24137931034482765</v>
      </c>
      <c r="E50" s="75">
        <v>97.038095238095252</v>
      </c>
      <c r="F50" s="84">
        <v>0</v>
      </c>
    </row>
    <row r="51" spans="2:6" x14ac:dyDescent="0.3">
      <c r="B51" s="73" t="s">
        <v>231</v>
      </c>
      <c r="C51" s="75">
        <v>0.52413793103448281</v>
      </c>
      <c r="D51" s="80">
        <v>0.31034482758620696</v>
      </c>
      <c r="E51" s="75">
        <v>97.038095238095252</v>
      </c>
      <c r="F51" s="84">
        <v>0</v>
      </c>
    </row>
    <row r="52" spans="2:6" x14ac:dyDescent="0.3">
      <c r="B52" s="73" t="s">
        <v>232</v>
      </c>
      <c r="C52" s="75">
        <v>0.55172413793103448</v>
      </c>
      <c r="D52" s="80">
        <v>0.37931034482758613</v>
      </c>
      <c r="E52" s="75">
        <v>97.038095238095252</v>
      </c>
      <c r="F52" s="84">
        <v>0</v>
      </c>
    </row>
    <row r="53" spans="2:6" x14ac:dyDescent="0.3">
      <c r="B53" s="73" t="s">
        <v>233</v>
      </c>
      <c r="C53" s="75">
        <v>0.57931034482758625</v>
      </c>
      <c r="D53" s="80">
        <v>0.44827586206896558</v>
      </c>
      <c r="E53" s="75">
        <v>97.038095238095252</v>
      </c>
      <c r="F53" s="84">
        <v>0</v>
      </c>
    </row>
    <row r="54" spans="2:6" x14ac:dyDescent="0.3">
      <c r="B54" s="73" t="s">
        <v>234</v>
      </c>
      <c r="C54" s="75">
        <v>0.60689655172413792</v>
      </c>
      <c r="D54" s="80">
        <v>0.51724137931034475</v>
      </c>
      <c r="E54" s="75">
        <v>97.038095238095252</v>
      </c>
      <c r="F54" s="84">
        <v>0</v>
      </c>
    </row>
    <row r="55" spans="2:6" x14ac:dyDescent="0.3">
      <c r="B55" s="73" t="s">
        <v>235</v>
      </c>
      <c r="C55" s="75">
        <v>0.6344827586206897</v>
      </c>
      <c r="D55" s="80">
        <v>0.5862068965517242</v>
      </c>
      <c r="E55" s="75">
        <v>97.038095238095252</v>
      </c>
      <c r="F55" s="84">
        <v>0</v>
      </c>
    </row>
    <row r="56" spans="2:6" x14ac:dyDescent="0.3">
      <c r="B56" s="73" t="s">
        <v>236</v>
      </c>
      <c r="C56" s="75">
        <v>0.66206896551724137</v>
      </c>
      <c r="D56" s="80">
        <v>0.65517241379310331</v>
      </c>
      <c r="E56" s="75">
        <v>97.038095238095252</v>
      </c>
      <c r="F56" s="84">
        <v>0</v>
      </c>
    </row>
    <row r="57" spans="2:6" x14ac:dyDescent="0.3">
      <c r="B57" s="73" t="s">
        <v>237</v>
      </c>
      <c r="C57" s="75">
        <v>0.68965517241379315</v>
      </c>
      <c r="D57" s="80">
        <v>0.72413793103448276</v>
      </c>
      <c r="E57" s="75">
        <v>97.038095238095252</v>
      </c>
      <c r="F57" s="84">
        <v>0</v>
      </c>
    </row>
    <row r="58" spans="2:6" x14ac:dyDescent="0.3">
      <c r="B58" s="73" t="s">
        <v>238</v>
      </c>
      <c r="C58" s="75">
        <v>0.71724137931034482</v>
      </c>
      <c r="D58" s="80">
        <v>0.79310344827586199</v>
      </c>
      <c r="E58" s="75">
        <v>97.038095238095252</v>
      </c>
      <c r="F58" s="84">
        <v>0</v>
      </c>
    </row>
    <row r="59" spans="2:6" x14ac:dyDescent="0.3">
      <c r="B59" s="73" t="s">
        <v>239</v>
      </c>
      <c r="C59" s="75">
        <v>0.7448275862068966</v>
      </c>
      <c r="D59" s="80">
        <v>0.86206896551724144</v>
      </c>
      <c r="E59" s="75">
        <v>97.038095238095252</v>
      </c>
      <c r="F59" s="84">
        <v>0</v>
      </c>
    </row>
    <row r="60" spans="2:6" x14ac:dyDescent="0.3">
      <c r="B60" s="73" t="s">
        <v>240</v>
      </c>
      <c r="C60" s="75">
        <v>0.77241379310344827</v>
      </c>
      <c r="D60" s="80">
        <v>0.93103448275862055</v>
      </c>
      <c r="E60" s="75">
        <v>97.038095238095252</v>
      </c>
      <c r="F60" s="84">
        <v>0</v>
      </c>
    </row>
    <row r="61" spans="2:6" ht="15" thickBot="1" x14ac:dyDescent="0.35">
      <c r="B61" s="74" t="s">
        <v>241</v>
      </c>
      <c r="C61" s="76">
        <v>0.8</v>
      </c>
      <c r="D61" s="81">
        <v>1</v>
      </c>
      <c r="E61" s="76">
        <v>97.038095238095252</v>
      </c>
      <c r="F61" s="85">
        <v>0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107C-66C6-44B2-9FDB-B68A590446B5}">
  <dimension ref="B1:H61"/>
  <sheetViews>
    <sheetView showGridLines="0" tabSelected="1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9.5546875" bestFit="1" customWidth="1"/>
    <col min="5" max="5" width="9.33203125" bestFit="1" customWidth="1"/>
    <col min="6" max="6" width="7.44140625" bestFit="1" customWidth="1"/>
    <col min="7" max="7" width="9.33203125" bestFit="1" customWidth="1"/>
    <col min="8" max="8" width="7.44140625" bestFit="1" customWidth="1"/>
  </cols>
  <sheetData>
    <row r="1" spans="2:2" s="60" customFormat="1" ht="17.399999999999999" x14ac:dyDescent="0.3">
      <c r="B1" s="63" t="s">
        <v>249</v>
      </c>
    </row>
    <row r="2" spans="2:2" s="61" customFormat="1" ht="10.199999999999999" x14ac:dyDescent="0.2">
      <c r="B2" s="64" t="s">
        <v>207</v>
      </c>
    </row>
    <row r="3" spans="2:2" s="61" customFormat="1" ht="10.199999999999999" x14ac:dyDescent="0.2">
      <c r="B3" s="64" t="s">
        <v>250</v>
      </c>
    </row>
    <row r="4" spans="2:2" s="61" customFormat="1" ht="10.199999999999999" x14ac:dyDescent="0.2">
      <c r="B4" s="64" t="s">
        <v>209</v>
      </c>
    </row>
    <row r="5" spans="2:2" s="62" customFormat="1" ht="10.199999999999999" x14ac:dyDescent="0.2">
      <c r="B5" s="65" t="s">
        <v>210</v>
      </c>
    </row>
    <row r="28" spans="2:8" ht="15" thickBot="1" x14ac:dyDescent="0.35"/>
    <row r="29" spans="2:8" ht="15" thickBot="1" x14ac:dyDescent="0.35">
      <c r="B29" s="66" t="s">
        <v>251</v>
      </c>
      <c r="C29" s="67"/>
      <c r="D29" s="67"/>
      <c r="E29" s="67"/>
      <c r="F29" s="67"/>
      <c r="G29" s="67"/>
      <c r="H29" s="68"/>
    </row>
    <row r="30" spans="2:8" x14ac:dyDescent="0.3">
      <c r="B30" s="71"/>
      <c r="C30" s="77" t="s">
        <v>242</v>
      </c>
      <c r="D30" s="78"/>
      <c r="E30" s="82" t="s">
        <v>71</v>
      </c>
      <c r="F30" s="78"/>
      <c r="G30" s="82" t="s">
        <v>144</v>
      </c>
      <c r="H30" s="83"/>
    </row>
    <row r="31" spans="2:8" x14ac:dyDescent="0.3">
      <c r="B31" s="72"/>
      <c r="C31" s="69" t="s">
        <v>109</v>
      </c>
      <c r="D31" s="79" t="s">
        <v>243</v>
      </c>
      <c r="E31" s="69" t="s">
        <v>109</v>
      </c>
      <c r="F31" s="79" t="s">
        <v>243</v>
      </c>
      <c r="G31" s="69" t="s">
        <v>109</v>
      </c>
      <c r="H31" s="70" t="s">
        <v>243</v>
      </c>
    </row>
    <row r="32" spans="2:8" x14ac:dyDescent="0.3">
      <c r="B32" s="73" t="s">
        <v>212</v>
      </c>
      <c r="C32" s="75">
        <v>-7.0744191754679164E-18</v>
      </c>
      <c r="D32" s="80">
        <v>-1</v>
      </c>
      <c r="E32" s="75">
        <v>97.038095238095252</v>
      </c>
      <c r="F32" s="80">
        <v>0</v>
      </c>
      <c r="G32" s="75">
        <v>1.0076156074285716</v>
      </c>
      <c r="H32" s="84">
        <v>-0.98961628827362835</v>
      </c>
    </row>
    <row r="33" spans="2:8" x14ac:dyDescent="0.3">
      <c r="B33" s="73" t="s">
        <v>213</v>
      </c>
      <c r="C33" s="75">
        <v>2.3448275862068959E-2</v>
      </c>
      <c r="D33" s="80">
        <v>-0.93103448275862066</v>
      </c>
      <c r="E33" s="75">
        <v>97.038095238095252</v>
      </c>
      <c r="F33" s="80">
        <v>0</v>
      </c>
      <c r="G33" s="75">
        <v>1.0076156074285716</v>
      </c>
      <c r="H33" s="84">
        <v>-0.98961628827362835</v>
      </c>
    </row>
    <row r="34" spans="2:8" x14ac:dyDescent="0.3">
      <c r="B34" s="73" t="s">
        <v>214</v>
      </c>
      <c r="C34" s="75">
        <v>4.6896551724137925E-2</v>
      </c>
      <c r="D34" s="80">
        <v>-0.86206896551724144</v>
      </c>
      <c r="E34" s="75">
        <v>97.038095238095252</v>
      </c>
      <c r="F34" s="80">
        <v>0</v>
      </c>
      <c r="G34" s="75">
        <v>1.0076156074285716</v>
      </c>
      <c r="H34" s="84">
        <v>-0.98961628827362835</v>
      </c>
    </row>
    <row r="35" spans="2:8" x14ac:dyDescent="0.3">
      <c r="B35" s="73" t="s">
        <v>215</v>
      </c>
      <c r="C35" s="75">
        <v>7.0344827586206901E-2</v>
      </c>
      <c r="D35" s="80">
        <v>-0.7931034482758621</v>
      </c>
      <c r="E35" s="75">
        <v>97.038095238095252</v>
      </c>
      <c r="F35" s="80">
        <v>0</v>
      </c>
      <c r="G35" s="75">
        <v>1.0076156074285716</v>
      </c>
      <c r="H35" s="84">
        <v>-0.98961628827362835</v>
      </c>
    </row>
    <row r="36" spans="2:8" x14ac:dyDescent="0.3">
      <c r="B36" s="73" t="s">
        <v>216</v>
      </c>
      <c r="C36" s="75">
        <v>9.3793103448275864E-2</v>
      </c>
      <c r="D36" s="80">
        <v>-0.72413793103448276</v>
      </c>
      <c r="E36" s="75">
        <v>97.038095238095252</v>
      </c>
      <c r="F36" s="80">
        <v>0</v>
      </c>
      <c r="G36" s="75">
        <v>1.0076156074285716</v>
      </c>
      <c r="H36" s="84">
        <v>-0.98961628827362835</v>
      </c>
    </row>
    <row r="37" spans="2:8" x14ac:dyDescent="0.3">
      <c r="B37" s="73" t="s">
        <v>217</v>
      </c>
      <c r="C37" s="75">
        <v>0.11724137931034483</v>
      </c>
      <c r="D37" s="80">
        <v>-0.65517241379310343</v>
      </c>
      <c r="E37" s="75">
        <v>97.038095238095252</v>
      </c>
      <c r="F37" s="80">
        <v>0</v>
      </c>
      <c r="G37" s="75">
        <v>1.0076156074285716</v>
      </c>
      <c r="H37" s="84">
        <v>-0.98961628827362835</v>
      </c>
    </row>
    <row r="38" spans="2:8" x14ac:dyDescent="0.3">
      <c r="B38" s="73" t="s">
        <v>218</v>
      </c>
      <c r="C38" s="75">
        <v>0.1406896551724138</v>
      </c>
      <c r="D38" s="80">
        <v>-0.58620689655172409</v>
      </c>
      <c r="E38" s="75">
        <v>97.038095238095252</v>
      </c>
      <c r="F38" s="80">
        <v>0</v>
      </c>
      <c r="G38" s="75">
        <v>1.0076156074285716</v>
      </c>
      <c r="H38" s="84">
        <v>-0.98961628827362835</v>
      </c>
    </row>
    <row r="39" spans="2:8" x14ac:dyDescent="0.3">
      <c r="B39" s="73" t="s">
        <v>219</v>
      </c>
      <c r="C39" s="75">
        <v>0.16413793103448276</v>
      </c>
      <c r="D39" s="80">
        <v>-0.51724137931034486</v>
      </c>
      <c r="E39" s="75">
        <v>97.038095238095252</v>
      </c>
      <c r="F39" s="80">
        <v>0</v>
      </c>
      <c r="G39" s="75">
        <v>1.0076156074285716</v>
      </c>
      <c r="H39" s="84">
        <v>-0.98961628827362835</v>
      </c>
    </row>
    <row r="40" spans="2:8" x14ac:dyDescent="0.3">
      <c r="B40" s="73" t="s">
        <v>220</v>
      </c>
      <c r="C40" s="75">
        <v>0.18758620689655173</v>
      </c>
      <c r="D40" s="80">
        <v>-0.44827586206896552</v>
      </c>
      <c r="E40" s="75">
        <v>97.038095238095252</v>
      </c>
      <c r="F40" s="80">
        <v>0</v>
      </c>
      <c r="G40" s="75">
        <v>1.0076156074285716</v>
      </c>
      <c r="H40" s="84">
        <v>-0.98961628827362835</v>
      </c>
    </row>
    <row r="41" spans="2:8" x14ac:dyDescent="0.3">
      <c r="B41" s="73" t="s">
        <v>221</v>
      </c>
      <c r="C41" s="75">
        <v>0.21103448275862069</v>
      </c>
      <c r="D41" s="80">
        <v>-0.37931034482758624</v>
      </c>
      <c r="E41" s="75">
        <v>97.038095238095252</v>
      </c>
      <c r="F41" s="80">
        <v>0</v>
      </c>
      <c r="G41" s="75">
        <v>1.0076156074285716</v>
      </c>
      <c r="H41" s="84">
        <v>-0.98961628827362835</v>
      </c>
    </row>
    <row r="42" spans="2:8" x14ac:dyDescent="0.3">
      <c r="B42" s="73" t="s">
        <v>222</v>
      </c>
      <c r="C42" s="75">
        <v>0.23448275862068968</v>
      </c>
      <c r="D42" s="80">
        <v>-0.31034482758620685</v>
      </c>
      <c r="E42" s="75">
        <v>97.038095238095252</v>
      </c>
      <c r="F42" s="80">
        <v>0</v>
      </c>
      <c r="G42" s="75">
        <v>1.0076156074285716</v>
      </c>
      <c r="H42" s="84">
        <v>-0.98961628827362835</v>
      </c>
    </row>
    <row r="43" spans="2:8" x14ac:dyDescent="0.3">
      <c r="B43" s="73" t="s">
        <v>223</v>
      </c>
      <c r="C43" s="75">
        <v>0.25793103448275861</v>
      </c>
      <c r="D43" s="80">
        <v>-0.24137931034482765</v>
      </c>
      <c r="E43" s="75">
        <v>97.038095238095252</v>
      </c>
      <c r="F43" s="80">
        <v>0</v>
      </c>
      <c r="G43" s="75">
        <v>1.0076156074285716</v>
      </c>
      <c r="H43" s="84">
        <v>-0.98961628827362835</v>
      </c>
    </row>
    <row r="44" spans="2:8" x14ac:dyDescent="0.3">
      <c r="B44" s="73" t="s">
        <v>224</v>
      </c>
      <c r="C44" s="75">
        <v>0.2813793103448276</v>
      </c>
      <c r="D44" s="80">
        <v>-0.17241379310344829</v>
      </c>
      <c r="E44" s="75">
        <v>97.038095238095252</v>
      </c>
      <c r="F44" s="80">
        <v>0</v>
      </c>
      <c r="G44" s="75">
        <v>1.0076156074285716</v>
      </c>
      <c r="H44" s="84">
        <v>-0.98961628827362835</v>
      </c>
    </row>
    <row r="45" spans="2:8" x14ac:dyDescent="0.3">
      <c r="B45" s="73" t="s">
        <v>225</v>
      </c>
      <c r="C45" s="75">
        <v>0.30482758620689659</v>
      </c>
      <c r="D45" s="80">
        <v>-0.10344827586206891</v>
      </c>
      <c r="E45" s="75">
        <v>97.038095238095252</v>
      </c>
      <c r="F45" s="80">
        <v>0</v>
      </c>
      <c r="G45" s="75">
        <v>1.0076156074285716</v>
      </c>
      <c r="H45" s="84">
        <v>-0.98961628827362835</v>
      </c>
    </row>
    <row r="46" spans="2:8" x14ac:dyDescent="0.3">
      <c r="B46" s="73" t="s">
        <v>226</v>
      </c>
      <c r="C46" s="75">
        <v>0.32827586206896553</v>
      </c>
      <c r="D46" s="80">
        <v>-3.4482758620689689E-2</v>
      </c>
      <c r="E46" s="75">
        <v>97.038095238095252</v>
      </c>
      <c r="F46" s="80">
        <v>0</v>
      </c>
      <c r="G46" s="75">
        <v>1.0076156074285716</v>
      </c>
      <c r="H46" s="84">
        <v>-0.98961628827362835</v>
      </c>
    </row>
    <row r="47" spans="2:8" x14ac:dyDescent="0.3">
      <c r="B47" s="73" t="s">
        <v>227</v>
      </c>
      <c r="C47" s="75">
        <v>0.35172413793103452</v>
      </c>
      <c r="D47" s="80">
        <v>3.4482758620689689E-2</v>
      </c>
      <c r="E47" s="75">
        <v>97.038095238095252</v>
      </c>
      <c r="F47" s="80">
        <v>0</v>
      </c>
      <c r="G47" s="75">
        <v>1.0076156074285716</v>
      </c>
      <c r="H47" s="84">
        <v>-0.98961628827362835</v>
      </c>
    </row>
    <row r="48" spans="2:8" x14ac:dyDescent="0.3">
      <c r="B48" s="73" t="s">
        <v>228</v>
      </c>
      <c r="C48" s="75">
        <v>0.37517241379310345</v>
      </c>
      <c r="D48" s="80">
        <v>0.10344827586206891</v>
      </c>
      <c r="E48" s="75">
        <v>97.038095238095252</v>
      </c>
      <c r="F48" s="80">
        <v>0</v>
      </c>
      <c r="G48" s="75">
        <v>1.0076156074285716</v>
      </c>
      <c r="H48" s="84">
        <v>-0.98961628827362835</v>
      </c>
    </row>
    <row r="49" spans="2:8" x14ac:dyDescent="0.3">
      <c r="B49" s="73" t="s">
        <v>229</v>
      </c>
      <c r="C49" s="75">
        <v>0.39862068965517244</v>
      </c>
      <c r="D49" s="80">
        <v>0.17241379310344829</v>
      </c>
      <c r="E49" s="75">
        <v>97.038095238095252</v>
      </c>
      <c r="F49" s="80">
        <v>0</v>
      </c>
      <c r="G49" s="75">
        <v>1.0076156074285716</v>
      </c>
      <c r="H49" s="84">
        <v>-0.98961628827362835</v>
      </c>
    </row>
    <row r="50" spans="2:8" x14ac:dyDescent="0.3">
      <c r="B50" s="73" t="s">
        <v>230</v>
      </c>
      <c r="C50" s="75">
        <v>0.42206896551724143</v>
      </c>
      <c r="D50" s="80">
        <v>0.24137931034482765</v>
      </c>
      <c r="E50" s="75">
        <v>97.038095238095252</v>
      </c>
      <c r="F50" s="80">
        <v>0</v>
      </c>
      <c r="G50" s="75">
        <v>1.0076156074285716</v>
      </c>
      <c r="H50" s="84">
        <v>-0.98961628827362835</v>
      </c>
    </row>
    <row r="51" spans="2:8" x14ac:dyDescent="0.3">
      <c r="B51" s="73" t="s">
        <v>231</v>
      </c>
      <c r="C51" s="75">
        <v>0.44551724137931037</v>
      </c>
      <c r="D51" s="80">
        <v>0.31034482758620685</v>
      </c>
      <c r="E51" s="75">
        <v>97.038095238095252</v>
      </c>
      <c r="F51" s="80">
        <v>0</v>
      </c>
      <c r="G51" s="75">
        <v>1.0076156074285716</v>
      </c>
      <c r="H51" s="84">
        <v>-0.98961628827362835</v>
      </c>
    </row>
    <row r="52" spans="2:8" x14ac:dyDescent="0.3">
      <c r="B52" s="73" t="s">
        <v>232</v>
      </c>
      <c r="C52" s="75">
        <v>0.46896551724137936</v>
      </c>
      <c r="D52" s="80">
        <v>0.37931034482758624</v>
      </c>
      <c r="E52" s="75">
        <v>97.038095238095252</v>
      </c>
      <c r="F52" s="80">
        <v>0</v>
      </c>
      <c r="G52" s="75">
        <v>1.0076156074285716</v>
      </c>
      <c r="H52" s="84">
        <v>-0.98961628827362835</v>
      </c>
    </row>
    <row r="53" spans="2:8" x14ac:dyDescent="0.3">
      <c r="B53" s="73" t="s">
        <v>233</v>
      </c>
      <c r="C53" s="75">
        <v>0.49241379310344829</v>
      </c>
      <c r="D53" s="80">
        <v>0.44827586206896547</v>
      </c>
      <c r="E53" s="75">
        <v>97.038095238095252</v>
      </c>
      <c r="F53" s="80">
        <v>0</v>
      </c>
      <c r="G53" s="75">
        <v>1.0076156074285716</v>
      </c>
      <c r="H53" s="84">
        <v>-0.98961628827362835</v>
      </c>
    </row>
    <row r="54" spans="2:8" x14ac:dyDescent="0.3">
      <c r="B54" s="73" t="s">
        <v>234</v>
      </c>
      <c r="C54" s="75">
        <v>0.51586206896551723</v>
      </c>
      <c r="D54" s="80">
        <v>0.51724137931034464</v>
      </c>
      <c r="E54" s="75">
        <v>97.038095238095252</v>
      </c>
      <c r="F54" s="80">
        <v>0</v>
      </c>
      <c r="G54" s="75">
        <v>1.0076156074285716</v>
      </c>
      <c r="H54" s="84">
        <v>-0.98961628827362835</v>
      </c>
    </row>
    <row r="55" spans="2:8" x14ac:dyDescent="0.3">
      <c r="B55" s="73" t="s">
        <v>235</v>
      </c>
      <c r="C55" s="75">
        <v>0.53931034482758622</v>
      </c>
      <c r="D55" s="80">
        <v>0.58620689655172409</v>
      </c>
      <c r="E55" s="75">
        <v>97.038095238095252</v>
      </c>
      <c r="F55" s="80">
        <v>0</v>
      </c>
      <c r="G55" s="75">
        <v>1.0076156074285716</v>
      </c>
      <c r="H55" s="84">
        <v>-0.98961628827362835</v>
      </c>
    </row>
    <row r="56" spans="2:8" x14ac:dyDescent="0.3">
      <c r="B56" s="73" t="s">
        <v>236</v>
      </c>
      <c r="C56" s="75">
        <v>0.56275862068965521</v>
      </c>
      <c r="D56" s="80">
        <v>0.65517241379310343</v>
      </c>
      <c r="E56" s="75">
        <v>97.038095238095252</v>
      </c>
      <c r="F56" s="80">
        <v>0</v>
      </c>
      <c r="G56" s="75">
        <v>1.0076156074285716</v>
      </c>
      <c r="H56" s="84">
        <v>-0.98961628827362835</v>
      </c>
    </row>
    <row r="57" spans="2:8" x14ac:dyDescent="0.3">
      <c r="B57" s="73" t="s">
        <v>237</v>
      </c>
      <c r="C57" s="75">
        <v>0.5862068965517242</v>
      </c>
      <c r="D57" s="80">
        <v>0.72413793103448276</v>
      </c>
      <c r="E57" s="75">
        <v>97.038095238095252</v>
      </c>
      <c r="F57" s="80">
        <v>0</v>
      </c>
      <c r="G57" s="75">
        <v>1.0076156074285716</v>
      </c>
      <c r="H57" s="84">
        <v>-0.98961628827362835</v>
      </c>
    </row>
    <row r="58" spans="2:8" x14ac:dyDescent="0.3">
      <c r="B58" s="73" t="s">
        <v>238</v>
      </c>
      <c r="C58" s="75">
        <v>0.60965517241379319</v>
      </c>
      <c r="D58" s="80">
        <v>0.79310344827586221</v>
      </c>
      <c r="E58" s="75">
        <v>97.038095238095252</v>
      </c>
      <c r="F58" s="80">
        <v>0</v>
      </c>
      <c r="G58" s="75">
        <v>1.0076156074285716</v>
      </c>
      <c r="H58" s="84">
        <v>-0.98961628827362835</v>
      </c>
    </row>
    <row r="59" spans="2:8" x14ac:dyDescent="0.3">
      <c r="B59" s="73" t="s">
        <v>239</v>
      </c>
      <c r="C59" s="75">
        <v>0.63310344827586207</v>
      </c>
      <c r="D59" s="80">
        <v>0.86206896551724121</v>
      </c>
      <c r="E59" s="75">
        <v>97.038095238095252</v>
      </c>
      <c r="F59" s="80">
        <v>0</v>
      </c>
      <c r="G59" s="75">
        <v>1.0076156074285716</v>
      </c>
      <c r="H59" s="84">
        <v>-0.98961628827362835</v>
      </c>
    </row>
    <row r="60" spans="2:8" x14ac:dyDescent="0.3">
      <c r="B60" s="73" t="s">
        <v>240</v>
      </c>
      <c r="C60" s="75">
        <v>0.65655172413793106</v>
      </c>
      <c r="D60" s="80">
        <v>0.93103448275862066</v>
      </c>
      <c r="E60" s="75">
        <v>97.038095238095252</v>
      </c>
      <c r="F60" s="80">
        <v>0</v>
      </c>
      <c r="G60" s="75">
        <v>1.0076156074285716</v>
      </c>
      <c r="H60" s="84">
        <v>-0.98961628827362835</v>
      </c>
    </row>
    <row r="61" spans="2:8" ht="15" thickBot="1" x14ac:dyDescent="0.35">
      <c r="B61" s="74" t="s">
        <v>241</v>
      </c>
      <c r="C61" s="76">
        <v>0.68</v>
      </c>
      <c r="D61" s="81">
        <v>1</v>
      </c>
      <c r="E61" s="76">
        <v>97.038095238095252</v>
      </c>
      <c r="F61" s="81">
        <v>0</v>
      </c>
      <c r="G61" s="76">
        <v>1.0076156074285716</v>
      </c>
      <c r="H61" s="85">
        <v>-0.98961628827362835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97B5-656F-4D32-9B26-1639E6A8004E}">
  <dimension ref="B1:H61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9.5546875" bestFit="1" customWidth="1"/>
    <col min="5" max="5" width="9.33203125" bestFit="1" customWidth="1"/>
    <col min="6" max="6" width="7.44140625" bestFit="1" customWidth="1"/>
    <col min="7" max="7" width="9.33203125" bestFit="1" customWidth="1"/>
    <col min="8" max="8" width="7.44140625" bestFit="1" customWidth="1"/>
  </cols>
  <sheetData>
    <row r="1" spans="2:2" s="60" customFormat="1" ht="17.399999999999999" x14ac:dyDescent="0.3">
      <c r="B1" s="63" t="s">
        <v>249</v>
      </c>
    </row>
    <row r="2" spans="2:2" s="61" customFormat="1" ht="10.199999999999999" x14ac:dyDescent="0.2">
      <c r="B2" s="64" t="s">
        <v>207</v>
      </c>
    </row>
    <row r="3" spans="2:2" s="61" customFormat="1" ht="10.199999999999999" x14ac:dyDescent="0.2">
      <c r="B3" s="64" t="s">
        <v>252</v>
      </c>
    </row>
    <row r="4" spans="2:2" s="61" customFormat="1" ht="10.199999999999999" x14ac:dyDescent="0.2">
      <c r="B4" s="64" t="s">
        <v>209</v>
      </c>
    </row>
    <row r="5" spans="2:2" s="62" customFormat="1" ht="10.199999999999999" x14ac:dyDescent="0.2">
      <c r="B5" s="65" t="s">
        <v>246</v>
      </c>
    </row>
    <row r="28" spans="2:8" ht="15" thickBot="1" x14ac:dyDescent="0.35"/>
    <row r="29" spans="2:8" ht="15" thickBot="1" x14ac:dyDescent="0.35">
      <c r="B29" s="66" t="s">
        <v>251</v>
      </c>
      <c r="C29" s="67"/>
      <c r="D29" s="67"/>
      <c r="E29" s="67"/>
      <c r="F29" s="67"/>
      <c r="G29" s="67"/>
      <c r="H29" s="68"/>
    </row>
    <row r="30" spans="2:8" x14ac:dyDescent="0.3">
      <c r="B30" s="71"/>
      <c r="C30" s="77" t="s">
        <v>242</v>
      </c>
      <c r="D30" s="78"/>
      <c r="E30" s="82" t="s">
        <v>71</v>
      </c>
      <c r="F30" s="78"/>
      <c r="G30" s="82" t="s">
        <v>144</v>
      </c>
      <c r="H30" s="83"/>
    </row>
    <row r="31" spans="2:8" x14ac:dyDescent="0.3">
      <c r="B31" s="72"/>
      <c r="C31" s="69" t="s">
        <v>109</v>
      </c>
      <c r="D31" s="79" t="s">
        <v>243</v>
      </c>
      <c r="E31" s="69" t="s">
        <v>109</v>
      </c>
      <c r="F31" s="79" t="s">
        <v>243</v>
      </c>
      <c r="G31" s="69" t="s">
        <v>109</v>
      </c>
      <c r="H31" s="70" t="s">
        <v>243</v>
      </c>
    </row>
    <row r="32" spans="2:8" x14ac:dyDescent="0.3">
      <c r="B32" s="73" t="s">
        <v>212</v>
      </c>
      <c r="C32" s="75">
        <v>-5.4210108624275222E-18</v>
      </c>
      <c r="D32" s="80">
        <v>-1</v>
      </c>
      <c r="E32" s="75">
        <v>97.038095238095252</v>
      </c>
      <c r="F32" s="80">
        <v>0</v>
      </c>
      <c r="G32" s="75">
        <v>1.0076156074285716</v>
      </c>
      <c r="H32" s="84">
        <v>-0.98961628827362835</v>
      </c>
    </row>
    <row r="33" spans="2:8" x14ac:dyDescent="0.3">
      <c r="B33" s="73" t="s">
        <v>213</v>
      </c>
      <c r="C33" s="75">
        <v>1.7931034482758616E-2</v>
      </c>
      <c r="D33" s="80">
        <v>-0.93103448275862066</v>
      </c>
      <c r="E33" s="75">
        <v>97.038095238095252</v>
      </c>
      <c r="F33" s="80">
        <v>0</v>
      </c>
      <c r="G33" s="75">
        <v>1.0076156074285716</v>
      </c>
      <c r="H33" s="84">
        <v>-0.98961628827362835</v>
      </c>
    </row>
    <row r="34" spans="2:8" x14ac:dyDescent="0.3">
      <c r="B34" s="73" t="s">
        <v>214</v>
      </c>
      <c r="C34" s="75">
        <v>3.5862068965517239E-2</v>
      </c>
      <c r="D34" s="80">
        <v>-0.86206896551724144</v>
      </c>
      <c r="E34" s="75">
        <v>97.038095238095252</v>
      </c>
      <c r="F34" s="80">
        <v>0</v>
      </c>
      <c r="G34" s="75">
        <v>1.0076156074285716</v>
      </c>
      <c r="H34" s="84">
        <v>-0.98961628827362835</v>
      </c>
    </row>
    <row r="35" spans="2:8" x14ac:dyDescent="0.3">
      <c r="B35" s="73" t="s">
        <v>215</v>
      </c>
      <c r="C35" s="75">
        <v>5.3793103448275856E-2</v>
      </c>
      <c r="D35" s="80">
        <v>-0.7931034482758621</v>
      </c>
      <c r="E35" s="75">
        <v>97.038095238095252</v>
      </c>
      <c r="F35" s="80">
        <v>0</v>
      </c>
      <c r="G35" s="75">
        <v>1.0076156074285716</v>
      </c>
      <c r="H35" s="84">
        <v>-0.98961628827362835</v>
      </c>
    </row>
    <row r="36" spans="2:8" x14ac:dyDescent="0.3">
      <c r="B36" s="73" t="s">
        <v>216</v>
      </c>
      <c r="C36" s="75">
        <v>7.1724137931034479E-2</v>
      </c>
      <c r="D36" s="80">
        <v>-0.72413793103448276</v>
      </c>
      <c r="E36" s="75">
        <v>97.038095238095252</v>
      </c>
      <c r="F36" s="80">
        <v>0</v>
      </c>
      <c r="G36" s="75">
        <v>1.0076156074285716</v>
      </c>
      <c r="H36" s="84">
        <v>-0.98961628827362835</v>
      </c>
    </row>
    <row r="37" spans="2:8" x14ac:dyDescent="0.3">
      <c r="B37" s="73" t="s">
        <v>217</v>
      </c>
      <c r="C37" s="75">
        <v>8.9655172413793102E-2</v>
      </c>
      <c r="D37" s="80">
        <v>-0.65517241379310343</v>
      </c>
      <c r="E37" s="75">
        <v>97.038095238095252</v>
      </c>
      <c r="F37" s="80">
        <v>0</v>
      </c>
      <c r="G37" s="75">
        <v>1.0076156074285716</v>
      </c>
      <c r="H37" s="84">
        <v>-0.98961628827362835</v>
      </c>
    </row>
    <row r="38" spans="2:8" x14ac:dyDescent="0.3">
      <c r="B38" s="73" t="s">
        <v>218</v>
      </c>
      <c r="C38" s="75">
        <v>0.10758620689655173</v>
      </c>
      <c r="D38" s="80">
        <v>-0.5862068965517242</v>
      </c>
      <c r="E38" s="75">
        <v>97.038095238095252</v>
      </c>
      <c r="F38" s="80">
        <v>0</v>
      </c>
      <c r="G38" s="75">
        <v>1.0076156074285716</v>
      </c>
      <c r="H38" s="84">
        <v>-0.98961628827362835</v>
      </c>
    </row>
    <row r="39" spans="2:8" x14ac:dyDescent="0.3">
      <c r="B39" s="73" t="s">
        <v>219</v>
      </c>
      <c r="C39" s="75">
        <v>0.12551724137931033</v>
      </c>
      <c r="D39" s="80">
        <v>-0.51724137931034486</v>
      </c>
      <c r="E39" s="75">
        <v>97.038095238095252</v>
      </c>
      <c r="F39" s="80">
        <v>0</v>
      </c>
      <c r="G39" s="75">
        <v>1.0076156074285716</v>
      </c>
      <c r="H39" s="84">
        <v>-0.98961628827362835</v>
      </c>
    </row>
    <row r="40" spans="2:8" x14ac:dyDescent="0.3">
      <c r="B40" s="73" t="s">
        <v>220</v>
      </c>
      <c r="C40" s="75">
        <v>0.14344827586206896</v>
      </c>
      <c r="D40" s="80">
        <v>-0.44827586206896558</v>
      </c>
      <c r="E40" s="75">
        <v>97.038095238095252</v>
      </c>
      <c r="F40" s="80">
        <v>0</v>
      </c>
      <c r="G40" s="75">
        <v>1.0076156074285716</v>
      </c>
      <c r="H40" s="84">
        <v>-0.98961628827362835</v>
      </c>
    </row>
    <row r="41" spans="2:8" x14ac:dyDescent="0.3">
      <c r="B41" s="73" t="s">
        <v>221</v>
      </c>
      <c r="C41" s="75">
        <v>0.16137931034482758</v>
      </c>
      <c r="D41" s="80">
        <v>-0.37931034482758624</v>
      </c>
      <c r="E41" s="75">
        <v>97.038095238095252</v>
      </c>
      <c r="F41" s="80">
        <v>0</v>
      </c>
      <c r="G41" s="75">
        <v>1.0076156074285716</v>
      </c>
      <c r="H41" s="84">
        <v>-0.98961628827362835</v>
      </c>
    </row>
    <row r="42" spans="2:8" x14ac:dyDescent="0.3">
      <c r="B42" s="73" t="s">
        <v>222</v>
      </c>
      <c r="C42" s="75">
        <v>0.1793103448275862</v>
      </c>
      <c r="D42" s="80">
        <v>-0.31034482758620691</v>
      </c>
      <c r="E42" s="75">
        <v>97.038095238095252</v>
      </c>
      <c r="F42" s="80">
        <v>0</v>
      </c>
      <c r="G42" s="75">
        <v>1.0076156074285716</v>
      </c>
      <c r="H42" s="84">
        <v>-0.98961628827362835</v>
      </c>
    </row>
    <row r="43" spans="2:8" x14ac:dyDescent="0.3">
      <c r="B43" s="73" t="s">
        <v>223</v>
      </c>
      <c r="C43" s="75">
        <v>0.19724137931034483</v>
      </c>
      <c r="D43" s="80">
        <v>-0.24137931034482762</v>
      </c>
      <c r="E43" s="75">
        <v>97.038095238095252</v>
      </c>
      <c r="F43" s="80">
        <v>0</v>
      </c>
      <c r="G43" s="75">
        <v>1.0076156074285716</v>
      </c>
      <c r="H43" s="84">
        <v>-0.98961628827362835</v>
      </c>
    </row>
    <row r="44" spans="2:8" x14ac:dyDescent="0.3">
      <c r="B44" s="73" t="s">
        <v>224</v>
      </c>
      <c r="C44" s="75">
        <v>0.21517241379310345</v>
      </c>
      <c r="D44" s="80">
        <v>-0.17241379310344829</v>
      </c>
      <c r="E44" s="75">
        <v>97.038095238095252</v>
      </c>
      <c r="F44" s="80">
        <v>0</v>
      </c>
      <c r="G44" s="75">
        <v>1.0076156074285716</v>
      </c>
      <c r="H44" s="84">
        <v>-0.98961628827362835</v>
      </c>
    </row>
    <row r="45" spans="2:8" x14ac:dyDescent="0.3">
      <c r="B45" s="73" t="s">
        <v>225</v>
      </c>
      <c r="C45" s="75">
        <v>0.23310344827586207</v>
      </c>
      <c r="D45" s="80">
        <v>-0.10344827586206898</v>
      </c>
      <c r="E45" s="75">
        <v>97.038095238095252</v>
      </c>
      <c r="F45" s="80">
        <v>0</v>
      </c>
      <c r="G45" s="75">
        <v>1.0076156074285716</v>
      </c>
      <c r="H45" s="84">
        <v>-0.98961628827362835</v>
      </c>
    </row>
    <row r="46" spans="2:8" x14ac:dyDescent="0.3">
      <c r="B46" s="73" t="s">
        <v>226</v>
      </c>
      <c r="C46" s="75">
        <v>0.25103448275862067</v>
      </c>
      <c r="D46" s="80">
        <v>-3.4482758620689766E-2</v>
      </c>
      <c r="E46" s="75">
        <v>97.038095238095252</v>
      </c>
      <c r="F46" s="80">
        <v>0</v>
      </c>
      <c r="G46" s="75">
        <v>1.0076156074285716</v>
      </c>
      <c r="H46" s="84">
        <v>-0.98961628827362835</v>
      </c>
    </row>
    <row r="47" spans="2:8" x14ac:dyDescent="0.3">
      <c r="B47" s="73" t="s">
        <v>227</v>
      </c>
      <c r="C47" s="75">
        <v>0.26896551724137929</v>
      </c>
      <c r="D47" s="80">
        <v>3.4482758620689551E-2</v>
      </c>
      <c r="E47" s="75">
        <v>97.038095238095252</v>
      </c>
      <c r="F47" s="80">
        <v>0</v>
      </c>
      <c r="G47" s="75">
        <v>1.0076156074285716</v>
      </c>
      <c r="H47" s="84">
        <v>-0.98961628827362835</v>
      </c>
    </row>
    <row r="48" spans="2:8" x14ac:dyDescent="0.3">
      <c r="B48" s="73" t="s">
        <v>228</v>
      </c>
      <c r="C48" s="75">
        <v>0.28689655172413792</v>
      </c>
      <c r="D48" s="80">
        <v>0.10344827586206887</v>
      </c>
      <c r="E48" s="75">
        <v>97.038095238095252</v>
      </c>
      <c r="F48" s="80">
        <v>0</v>
      </c>
      <c r="G48" s="75">
        <v>1.0076156074285716</v>
      </c>
      <c r="H48" s="84">
        <v>-0.98961628827362835</v>
      </c>
    </row>
    <row r="49" spans="2:8" x14ac:dyDescent="0.3">
      <c r="B49" s="73" t="s">
        <v>229</v>
      </c>
      <c r="C49" s="75">
        <v>0.30482758620689654</v>
      </c>
      <c r="D49" s="80">
        <v>0.17241379310344818</v>
      </c>
      <c r="E49" s="75">
        <v>97.038095238095252</v>
      </c>
      <c r="F49" s="80">
        <v>0</v>
      </c>
      <c r="G49" s="75">
        <v>1.0076156074285716</v>
      </c>
      <c r="H49" s="84">
        <v>-0.98961628827362835</v>
      </c>
    </row>
    <row r="50" spans="2:8" x14ac:dyDescent="0.3">
      <c r="B50" s="73" t="s">
        <v>230</v>
      </c>
      <c r="C50" s="75">
        <v>0.32275862068965516</v>
      </c>
      <c r="D50" s="80">
        <v>0.24137931034482751</v>
      </c>
      <c r="E50" s="75">
        <v>97.038095238095252</v>
      </c>
      <c r="F50" s="80">
        <v>0</v>
      </c>
      <c r="G50" s="75">
        <v>1.0076156074285716</v>
      </c>
      <c r="H50" s="84">
        <v>-0.98961628827362835</v>
      </c>
    </row>
    <row r="51" spans="2:8" x14ac:dyDescent="0.3">
      <c r="B51" s="73" t="s">
        <v>231</v>
      </c>
      <c r="C51" s="75">
        <v>0.34068965517241379</v>
      </c>
      <c r="D51" s="80">
        <v>0.31034482758620685</v>
      </c>
      <c r="E51" s="75">
        <v>97.038095238095252</v>
      </c>
      <c r="F51" s="80">
        <v>0</v>
      </c>
      <c r="G51" s="75">
        <v>1.0076156074285716</v>
      </c>
      <c r="H51" s="84">
        <v>-0.98961628827362835</v>
      </c>
    </row>
    <row r="52" spans="2:8" x14ac:dyDescent="0.3">
      <c r="B52" s="73" t="s">
        <v>232</v>
      </c>
      <c r="C52" s="75">
        <v>0.35862068965517241</v>
      </c>
      <c r="D52" s="80">
        <v>0.37931034482758613</v>
      </c>
      <c r="E52" s="75">
        <v>97.038095238095252</v>
      </c>
      <c r="F52" s="80">
        <v>0</v>
      </c>
      <c r="G52" s="75">
        <v>1.0076156074285716</v>
      </c>
      <c r="H52" s="84">
        <v>-0.98961628827362835</v>
      </c>
    </row>
    <row r="53" spans="2:8" x14ac:dyDescent="0.3">
      <c r="B53" s="73" t="s">
        <v>233</v>
      </c>
      <c r="C53" s="75">
        <v>0.37655172413793103</v>
      </c>
      <c r="D53" s="80">
        <v>0.44827586206896547</v>
      </c>
      <c r="E53" s="75">
        <v>97.038095238095252</v>
      </c>
      <c r="F53" s="80">
        <v>0</v>
      </c>
      <c r="G53" s="75">
        <v>1.0076156074285716</v>
      </c>
      <c r="H53" s="84">
        <v>-0.98961628827362835</v>
      </c>
    </row>
    <row r="54" spans="2:8" x14ac:dyDescent="0.3">
      <c r="B54" s="73" t="s">
        <v>234</v>
      </c>
      <c r="C54" s="75">
        <v>0.39448275862068966</v>
      </c>
      <c r="D54" s="80">
        <v>0.51724137931034475</v>
      </c>
      <c r="E54" s="75">
        <v>97.038095238095252</v>
      </c>
      <c r="F54" s="80">
        <v>0</v>
      </c>
      <c r="G54" s="75">
        <v>1.0076156074285716</v>
      </c>
      <c r="H54" s="84">
        <v>-0.98961628827362835</v>
      </c>
    </row>
    <row r="55" spans="2:8" x14ac:dyDescent="0.3">
      <c r="B55" s="73" t="s">
        <v>235</v>
      </c>
      <c r="C55" s="75">
        <v>0.41241379310344828</v>
      </c>
      <c r="D55" s="80">
        <v>0.58620689655172409</v>
      </c>
      <c r="E55" s="75">
        <v>97.038095238095252</v>
      </c>
      <c r="F55" s="80">
        <v>0</v>
      </c>
      <c r="G55" s="75">
        <v>1.0076156074285716</v>
      </c>
      <c r="H55" s="84">
        <v>-0.98961628827362835</v>
      </c>
    </row>
    <row r="56" spans="2:8" x14ac:dyDescent="0.3">
      <c r="B56" s="73" t="s">
        <v>236</v>
      </c>
      <c r="C56" s="75">
        <v>0.4303448275862069</v>
      </c>
      <c r="D56" s="80">
        <v>0.65517241379310343</v>
      </c>
      <c r="E56" s="75">
        <v>97.038095238095252</v>
      </c>
      <c r="F56" s="80">
        <v>0</v>
      </c>
      <c r="G56" s="75">
        <v>1.0076156074285716</v>
      </c>
      <c r="H56" s="84">
        <v>-0.98961628827362835</v>
      </c>
    </row>
    <row r="57" spans="2:8" x14ac:dyDescent="0.3">
      <c r="B57" s="73" t="s">
        <v>237</v>
      </c>
      <c r="C57" s="75">
        <v>0.44827586206896552</v>
      </c>
      <c r="D57" s="80">
        <v>0.72413793103448276</v>
      </c>
      <c r="E57" s="75">
        <v>97.038095238095252</v>
      </c>
      <c r="F57" s="80">
        <v>0</v>
      </c>
      <c r="G57" s="75">
        <v>1.0076156074285716</v>
      </c>
      <c r="H57" s="84">
        <v>-0.98961628827362835</v>
      </c>
    </row>
    <row r="58" spans="2:8" x14ac:dyDescent="0.3">
      <c r="B58" s="73" t="s">
        <v>238</v>
      </c>
      <c r="C58" s="75">
        <v>0.46620689655172415</v>
      </c>
      <c r="D58" s="80">
        <v>0.7931034482758621</v>
      </c>
      <c r="E58" s="75">
        <v>97.038095238095252</v>
      </c>
      <c r="F58" s="80">
        <v>0</v>
      </c>
      <c r="G58" s="75">
        <v>1.0076156074285716</v>
      </c>
      <c r="H58" s="84">
        <v>-0.98961628827362835</v>
      </c>
    </row>
    <row r="59" spans="2:8" x14ac:dyDescent="0.3">
      <c r="B59" s="73" t="s">
        <v>239</v>
      </c>
      <c r="C59" s="75">
        <v>0.48413793103448277</v>
      </c>
      <c r="D59" s="80">
        <v>0.86206896551724133</v>
      </c>
      <c r="E59" s="75">
        <v>97.038095238095252</v>
      </c>
      <c r="F59" s="80">
        <v>0</v>
      </c>
      <c r="G59" s="75">
        <v>1.0076156074285716</v>
      </c>
      <c r="H59" s="84">
        <v>-0.98961628827362835</v>
      </c>
    </row>
    <row r="60" spans="2:8" x14ac:dyDescent="0.3">
      <c r="B60" s="73" t="s">
        <v>240</v>
      </c>
      <c r="C60" s="75">
        <v>0.50206896551724145</v>
      </c>
      <c r="D60" s="80">
        <v>0.93103448275862088</v>
      </c>
      <c r="E60" s="75">
        <v>97.038095238095252</v>
      </c>
      <c r="F60" s="80">
        <v>0</v>
      </c>
      <c r="G60" s="75">
        <v>1.0076156074285716</v>
      </c>
      <c r="H60" s="84">
        <v>-0.98961628827362835</v>
      </c>
    </row>
    <row r="61" spans="2:8" ht="15" thickBot="1" x14ac:dyDescent="0.35">
      <c r="B61" s="74" t="s">
        <v>241</v>
      </c>
      <c r="C61" s="76">
        <v>0.52</v>
      </c>
      <c r="D61" s="81">
        <v>1</v>
      </c>
      <c r="E61" s="76">
        <v>97.038095238095252</v>
      </c>
      <c r="F61" s="81">
        <v>0</v>
      </c>
      <c r="G61" s="76">
        <v>1.0076156074285716</v>
      </c>
      <c r="H61" s="85">
        <v>-0.98961628827362835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E003-6124-4484-A1E7-DCF0E6316FC8}">
  <dimension ref="B1:H61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9.5546875" bestFit="1" customWidth="1"/>
    <col min="5" max="5" width="9.33203125" bestFit="1" customWidth="1"/>
    <col min="6" max="6" width="7.44140625" bestFit="1" customWidth="1"/>
    <col min="7" max="7" width="9.33203125" bestFit="1" customWidth="1"/>
    <col min="8" max="8" width="7.44140625" bestFit="1" customWidth="1"/>
  </cols>
  <sheetData>
    <row r="1" spans="2:2" s="60" customFormat="1" ht="17.399999999999999" x14ac:dyDescent="0.3">
      <c r="B1" s="63" t="s">
        <v>249</v>
      </c>
    </row>
    <row r="2" spans="2:2" s="61" customFormat="1" ht="10.199999999999999" x14ac:dyDescent="0.2">
      <c r="B2" s="64" t="s">
        <v>207</v>
      </c>
    </row>
    <row r="3" spans="2:2" s="61" customFormat="1" ht="10.199999999999999" x14ac:dyDescent="0.2">
      <c r="B3" s="64" t="s">
        <v>253</v>
      </c>
    </row>
    <row r="4" spans="2:2" s="61" customFormat="1" ht="10.199999999999999" x14ac:dyDescent="0.2">
      <c r="B4" s="64" t="s">
        <v>209</v>
      </c>
    </row>
    <row r="5" spans="2:2" s="62" customFormat="1" ht="10.199999999999999" x14ac:dyDescent="0.2">
      <c r="B5" s="65" t="s">
        <v>248</v>
      </c>
    </row>
    <row r="28" spans="2:8" ht="15" thickBot="1" x14ac:dyDescent="0.35"/>
    <row r="29" spans="2:8" ht="15" thickBot="1" x14ac:dyDescent="0.35">
      <c r="B29" s="66" t="s">
        <v>251</v>
      </c>
      <c r="C29" s="67"/>
      <c r="D29" s="67"/>
      <c r="E29" s="67"/>
      <c r="F29" s="67"/>
      <c r="G29" s="67"/>
      <c r="H29" s="68"/>
    </row>
    <row r="30" spans="2:8" x14ac:dyDescent="0.3">
      <c r="B30" s="71"/>
      <c r="C30" s="77" t="s">
        <v>242</v>
      </c>
      <c r="D30" s="78"/>
      <c r="E30" s="82" t="s">
        <v>71</v>
      </c>
      <c r="F30" s="78"/>
      <c r="G30" s="82" t="s">
        <v>144</v>
      </c>
      <c r="H30" s="83"/>
    </row>
    <row r="31" spans="2:8" x14ac:dyDescent="0.3">
      <c r="B31" s="72"/>
      <c r="C31" s="69" t="s">
        <v>109</v>
      </c>
      <c r="D31" s="79" t="s">
        <v>243</v>
      </c>
      <c r="E31" s="69" t="s">
        <v>109</v>
      </c>
      <c r="F31" s="79" t="s">
        <v>243</v>
      </c>
      <c r="G31" s="69" t="s">
        <v>109</v>
      </c>
      <c r="H31" s="70" t="s">
        <v>243</v>
      </c>
    </row>
    <row r="32" spans="2:8" x14ac:dyDescent="0.3">
      <c r="B32" s="73" t="s">
        <v>212</v>
      </c>
      <c r="C32" s="75">
        <v>-8.3212516738262465E-18</v>
      </c>
      <c r="D32" s="80">
        <v>-1</v>
      </c>
      <c r="E32" s="75">
        <v>97.038095238095252</v>
      </c>
      <c r="F32" s="80">
        <v>0</v>
      </c>
      <c r="G32" s="75">
        <v>1.0076156074285716</v>
      </c>
      <c r="H32" s="84">
        <v>-0.98961628827362835</v>
      </c>
    </row>
    <row r="33" spans="2:8" x14ac:dyDescent="0.3">
      <c r="B33" s="73" t="s">
        <v>213</v>
      </c>
      <c r="C33" s="75">
        <v>2.7586206896551717E-2</v>
      </c>
      <c r="D33" s="80">
        <v>-0.93103448275862066</v>
      </c>
      <c r="E33" s="75">
        <v>97.038095238095252</v>
      </c>
      <c r="F33" s="80">
        <v>0</v>
      </c>
      <c r="G33" s="75">
        <v>1.0076156074285716</v>
      </c>
      <c r="H33" s="84">
        <v>-0.98961628827362835</v>
      </c>
    </row>
    <row r="34" spans="2:8" x14ac:dyDescent="0.3">
      <c r="B34" s="73" t="s">
        <v>214</v>
      </c>
      <c r="C34" s="75">
        <v>5.5172413793103441E-2</v>
      </c>
      <c r="D34" s="80">
        <v>-0.86206896551724144</v>
      </c>
      <c r="E34" s="75">
        <v>97.038095238095252</v>
      </c>
      <c r="F34" s="80">
        <v>0</v>
      </c>
      <c r="G34" s="75">
        <v>1.0076156074285716</v>
      </c>
      <c r="H34" s="84">
        <v>-0.98961628827362835</v>
      </c>
    </row>
    <row r="35" spans="2:8" x14ac:dyDescent="0.3">
      <c r="B35" s="73" t="s">
        <v>215</v>
      </c>
      <c r="C35" s="75">
        <v>8.2758620689655171E-2</v>
      </c>
      <c r="D35" s="80">
        <v>-0.7931034482758621</v>
      </c>
      <c r="E35" s="75">
        <v>97.038095238095252</v>
      </c>
      <c r="F35" s="80">
        <v>0</v>
      </c>
      <c r="G35" s="75">
        <v>1.0076156074285716</v>
      </c>
      <c r="H35" s="84">
        <v>-0.98961628827362835</v>
      </c>
    </row>
    <row r="36" spans="2:8" x14ac:dyDescent="0.3">
      <c r="B36" s="73" t="s">
        <v>216</v>
      </c>
      <c r="C36" s="75">
        <v>0.1103448275862069</v>
      </c>
      <c r="D36" s="80">
        <v>-0.72413793103448276</v>
      </c>
      <c r="E36" s="75">
        <v>97.038095238095252</v>
      </c>
      <c r="F36" s="80">
        <v>0</v>
      </c>
      <c r="G36" s="75">
        <v>1.0076156074285716</v>
      </c>
      <c r="H36" s="84">
        <v>-0.98961628827362835</v>
      </c>
    </row>
    <row r="37" spans="2:8" x14ac:dyDescent="0.3">
      <c r="B37" s="73" t="s">
        <v>217</v>
      </c>
      <c r="C37" s="75">
        <v>0.13793103448275862</v>
      </c>
      <c r="D37" s="80">
        <v>-0.65517241379310343</v>
      </c>
      <c r="E37" s="75">
        <v>97.038095238095252</v>
      </c>
      <c r="F37" s="80">
        <v>0</v>
      </c>
      <c r="G37" s="75">
        <v>1.0076156074285716</v>
      </c>
      <c r="H37" s="84">
        <v>-0.98961628827362835</v>
      </c>
    </row>
    <row r="38" spans="2:8" x14ac:dyDescent="0.3">
      <c r="B38" s="73" t="s">
        <v>218</v>
      </c>
      <c r="C38" s="75">
        <v>0.16551724137931034</v>
      </c>
      <c r="D38" s="80">
        <v>-0.5862068965517242</v>
      </c>
      <c r="E38" s="75">
        <v>97.038095238095252</v>
      </c>
      <c r="F38" s="80">
        <v>0</v>
      </c>
      <c r="G38" s="75">
        <v>1.0076156074285716</v>
      </c>
      <c r="H38" s="84">
        <v>-0.98961628827362835</v>
      </c>
    </row>
    <row r="39" spans="2:8" x14ac:dyDescent="0.3">
      <c r="B39" s="73" t="s">
        <v>219</v>
      </c>
      <c r="C39" s="75">
        <v>0.19310344827586207</v>
      </c>
      <c r="D39" s="80">
        <v>-0.51724137931034486</v>
      </c>
      <c r="E39" s="75">
        <v>97.038095238095252</v>
      </c>
      <c r="F39" s="80">
        <v>0</v>
      </c>
      <c r="G39" s="75">
        <v>1.0076156074285716</v>
      </c>
      <c r="H39" s="84">
        <v>-0.98961628827362835</v>
      </c>
    </row>
    <row r="40" spans="2:8" x14ac:dyDescent="0.3">
      <c r="B40" s="73" t="s">
        <v>220</v>
      </c>
      <c r="C40" s="75">
        <v>0.22068965517241379</v>
      </c>
      <c r="D40" s="80">
        <v>-0.44827586206896558</v>
      </c>
      <c r="E40" s="75">
        <v>97.038095238095252</v>
      </c>
      <c r="F40" s="80">
        <v>0</v>
      </c>
      <c r="G40" s="75">
        <v>1.0076156074285716</v>
      </c>
      <c r="H40" s="84">
        <v>-0.98961628827362835</v>
      </c>
    </row>
    <row r="41" spans="2:8" x14ac:dyDescent="0.3">
      <c r="B41" s="73" t="s">
        <v>221</v>
      </c>
      <c r="C41" s="75">
        <v>0.24827586206896551</v>
      </c>
      <c r="D41" s="80">
        <v>-0.37931034482758624</v>
      </c>
      <c r="E41" s="75">
        <v>97.038095238095252</v>
      </c>
      <c r="F41" s="80">
        <v>0</v>
      </c>
      <c r="G41" s="75">
        <v>1.0076156074285716</v>
      </c>
      <c r="H41" s="84">
        <v>-0.98961628827362835</v>
      </c>
    </row>
    <row r="42" spans="2:8" x14ac:dyDescent="0.3">
      <c r="B42" s="73" t="s">
        <v>222</v>
      </c>
      <c r="C42" s="75">
        <v>0.27586206896551724</v>
      </c>
      <c r="D42" s="80">
        <v>-0.31034482758620696</v>
      </c>
      <c r="E42" s="75">
        <v>97.038095238095252</v>
      </c>
      <c r="F42" s="80">
        <v>0</v>
      </c>
      <c r="G42" s="75">
        <v>1.0076156074285716</v>
      </c>
      <c r="H42" s="84">
        <v>-0.98961628827362835</v>
      </c>
    </row>
    <row r="43" spans="2:8" x14ac:dyDescent="0.3">
      <c r="B43" s="73" t="s">
        <v>223</v>
      </c>
      <c r="C43" s="75">
        <v>0.30344827586206896</v>
      </c>
      <c r="D43" s="80">
        <v>-0.24137931034482765</v>
      </c>
      <c r="E43" s="75">
        <v>97.038095238095252</v>
      </c>
      <c r="F43" s="80">
        <v>0</v>
      </c>
      <c r="G43" s="75">
        <v>1.0076156074285716</v>
      </c>
      <c r="H43" s="84">
        <v>-0.98961628827362835</v>
      </c>
    </row>
    <row r="44" spans="2:8" x14ac:dyDescent="0.3">
      <c r="B44" s="73" t="s">
        <v>224</v>
      </c>
      <c r="C44" s="75">
        <v>0.33103448275862069</v>
      </c>
      <c r="D44" s="80">
        <v>-0.17241379310344834</v>
      </c>
      <c r="E44" s="75">
        <v>97.038095238095252</v>
      </c>
      <c r="F44" s="80">
        <v>0</v>
      </c>
      <c r="G44" s="75">
        <v>1.0076156074285716</v>
      </c>
      <c r="H44" s="84">
        <v>-0.98961628827362835</v>
      </c>
    </row>
    <row r="45" spans="2:8" x14ac:dyDescent="0.3">
      <c r="B45" s="73" t="s">
        <v>225</v>
      </c>
      <c r="C45" s="75">
        <v>0.35862068965517241</v>
      </c>
      <c r="D45" s="80">
        <v>-0.10344827586206903</v>
      </c>
      <c r="E45" s="75">
        <v>97.038095238095252</v>
      </c>
      <c r="F45" s="80">
        <v>0</v>
      </c>
      <c r="G45" s="75">
        <v>1.0076156074285716</v>
      </c>
      <c r="H45" s="84">
        <v>-0.98961628827362835</v>
      </c>
    </row>
    <row r="46" spans="2:8" x14ac:dyDescent="0.3">
      <c r="B46" s="73" t="s">
        <v>226</v>
      </c>
      <c r="C46" s="75">
        <v>0.38620689655172413</v>
      </c>
      <c r="D46" s="80">
        <v>-3.4482758620689724E-2</v>
      </c>
      <c r="E46" s="75">
        <v>97.038095238095252</v>
      </c>
      <c r="F46" s="80">
        <v>0</v>
      </c>
      <c r="G46" s="75">
        <v>1.0076156074285716</v>
      </c>
      <c r="H46" s="84">
        <v>-0.98961628827362835</v>
      </c>
    </row>
    <row r="47" spans="2:8" x14ac:dyDescent="0.3">
      <c r="B47" s="73" t="s">
        <v>227</v>
      </c>
      <c r="C47" s="75">
        <v>0.41379310344827586</v>
      </c>
      <c r="D47" s="80">
        <v>3.4482758620689585E-2</v>
      </c>
      <c r="E47" s="75">
        <v>97.038095238095252</v>
      </c>
      <c r="F47" s="80">
        <v>0</v>
      </c>
      <c r="G47" s="75">
        <v>1.0076156074285716</v>
      </c>
      <c r="H47" s="84">
        <v>-0.98961628827362835</v>
      </c>
    </row>
    <row r="48" spans="2:8" x14ac:dyDescent="0.3">
      <c r="B48" s="73" t="s">
        <v>228</v>
      </c>
      <c r="C48" s="75">
        <v>0.44137931034482758</v>
      </c>
      <c r="D48" s="80">
        <v>0.10344827586206889</v>
      </c>
      <c r="E48" s="75">
        <v>97.038095238095252</v>
      </c>
      <c r="F48" s="80">
        <v>0</v>
      </c>
      <c r="G48" s="75">
        <v>1.0076156074285716</v>
      </c>
      <c r="H48" s="84">
        <v>-0.98961628827362835</v>
      </c>
    </row>
    <row r="49" spans="2:8" x14ac:dyDescent="0.3">
      <c r="B49" s="73" t="s">
        <v>229</v>
      </c>
      <c r="C49" s="75">
        <v>0.46896551724137936</v>
      </c>
      <c r="D49" s="80">
        <v>0.17241379310344834</v>
      </c>
      <c r="E49" s="75">
        <v>97.038095238095252</v>
      </c>
      <c r="F49" s="80">
        <v>0</v>
      </c>
      <c r="G49" s="75">
        <v>1.0076156074285716</v>
      </c>
      <c r="H49" s="84">
        <v>-0.98961628827362835</v>
      </c>
    </row>
    <row r="50" spans="2:8" x14ac:dyDescent="0.3">
      <c r="B50" s="73" t="s">
        <v>230</v>
      </c>
      <c r="C50" s="75">
        <v>0.49655172413793108</v>
      </c>
      <c r="D50" s="80">
        <v>0.24137931034482765</v>
      </c>
      <c r="E50" s="75">
        <v>97.038095238095252</v>
      </c>
      <c r="F50" s="80">
        <v>0</v>
      </c>
      <c r="G50" s="75">
        <v>1.0076156074285716</v>
      </c>
      <c r="H50" s="84">
        <v>-0.98961628827362835</v>
      </c>
    </row>
    <row r="51" spans="2:8" x14ac:dyDescent="0.3">
      <c r="B51" s="73" t="s">
        <v>231</v>
      </c>
      <c r="C51" s="75">
        <v>0.52413793103448281</v>
      </c>
      <c r="D51" s="80">
        <v>0.31034482758620696</v>
      </c>
      <c r="E51" s="75">
        <v>97.038095238095252</v>
      </c>
      <c r="F51" s="80">
        <v>0</v>
      </c>
      <c r="G51" s="75">
        <v>1.0076156074285716</v>
      </c>
      <c r="H51" s="84">
        <v>-0.98961628827362835</v>
      </c>
    </row>
    <row r="52" spans="2:8" x14ac:dyDescent="0.3">
      <c r="B52" s="73" t="s">
        <v>232</v>
      </c>
      <c r="C52" s="75">
        <v>0.55172413793103448</v>
      </c>
      <c r="D52" s="80">
        <v>0.37931034482758613</v>
      </c>
      <c r="E52" s="75">
        <v>97.038095238095252</v>
      </c>
      <c r="F52" s="80">
        <v>0</v>
      </c>
      <c r="G52" s="75">
        <v>1.0076156074285716</v>
      </c>
      <c r="H52" s="84">
        <v>-0.98961628827362835</v>
      </c>
    </row>
    <row r="53" spans="2:8" x14ac:dyDescent="0.3">
      <c r="B53" s="73" t="s">
        <v>233</v>
      </c>
      <c r="C53" s="75">
        <v>0.57931034482758625</v>
      </c>
      <c r="D53" s="80">
        <v>0.44827586206896558</v>
      </c>
      <c r="E53" s="75">
        <v>97.038095238095252</v>
      </c>
      <c r="F53" s="80">
        <v>0</v>
      </c>
      <c r="G53" s="75">
        <v>1.0076156074285716</v>
      </c>
      <c r="H53" s="84">
        <v>-0.98961628827362835</v>
      </c>
    </row>
    <row r="54" spans="2:8" x14ac:dyDescent="0.3">
      <c r="B54" s="73" t="s">
        <v>234</v>
      </c>
      <c r="C54" s="75">
        <v>0.60689655172413792</v>
      </c>
      <c r="D54" s="80">
        <v>0.51724137931034475</v>
      </c>
      <c r="E54" s="75">
        <v>97.038095238095252</v>
      </c>
      <c r="F54" s="80">
        <v>0</v>
      </c>
      <c r="G54" s="75">
        <v>1.0076156074285716</v>
      </c>
      <c r="H54" s="84">
        <v>-0.98961628827362835</v>
      </c>
    </row>
    <row r="55" spans="2:8" x14ac:dyDescent="0.3">
      <c r="B55" s="73" t="s">
        <v>235</v>
      </c>
      <c r="C55" s="75">
        <v>0.6344827586206897</v>
      </c>
      <c r="D55" s="80">
        <v>0.5862068965517242</v>
      </c>
      <c r="E55" s="75">
        <v>97.038095238095252</v>
      </c>
      <c r="F55" s="80">
        <v>0</v>
      </c>
      <c r="G55" s="75">
        <v>1.0076156074285716</v>
      </c>
      <c r="H55" s="84">
        <v>-0.98961628827362835</v>
      </c>
    </row>
    <row r="56" spans="2:8" x14ac:dyDescent="0.3">
      <c r="B56" s="73" t="s">
        <v>236</v>
      </c>
      <c r="C56" s="75">
        <v>0.66206896551724137</v>
      </c>
      <c r="D56" s="80">
        <v>0.65517241379310331</v>
      </c>
      <c r="E56" s="75">
        <v>97.038095238095252</v>
      </c>
      <c r="F56" s="80">
        <v>0</v>
      </c>
      <c r="G56" s="75">
        <v>1.0076156074285716</v>
      </c>
      <c r="H56" s="84">
        <v>-0.98961628827362835</v>
      </c>
    </row>
    <row r="57" spans="2:8" x14ac:dyDescent="0.3">
      <c r="B57" s="73" t="s">
        <v>237</v>
      </c>
      <c r="C57" s="75">
        <v>0.68965517241379315</v>
      </c>
      <c r="D57" s="80">
        <v>0.72413793103448276</v>
      </c>
      <c r="E57" s="75">
        <v>97.038095238095252</v>
      </c>
      <c r="F57" s="80">
        <v>0</v>
      </c>
      <c r="G57" s="75">
        <v>1.0076156074285716</v>
      </c>
      <c r="H57" s="84">
        <v>-0.98961628827362835</v>
      </c>
    </row>
    <row r="58" spans="2:8" x14ac:dyDescent="0.3">
      <c r="B58" s="73" t="s">
        <v>238</v>
      </c>
      <c r="C58" s="75">
        <v>0.71724137931034482</v>
      </c>
      <c r="D58" s="80">
        <v>0.79310344827586199</v>
      </c>
      <c r="E58" s="75">
        <v>97.038095238095252</v>
      </c>
      <c r="F58" s="80">
        <v>0</v>
      </c>
      <c r="G58" s="75">
        <v>1.0076156074285716</v>
      </c>
      <c r="H58" s="84">
        <v>-0.98961628827362835</v>
      </c>
    </row>
    <row r="59" spans="2:8" x14ac:dyDescent="0.3">
      <c r="B59" s="73" t="s">
        <v>239</v>
      </c>
      <c r="C59" s="75">
        <v>0.7448275862068966</v>
      </c>
      <c r="D59" s="80">
        <v>0.86206896551724144</v>
      </c>
      <c r="E59" s="75">
        <v>97.038095238095252</v>
      </c>
      <c r="F59" s="80">
        <v>0</v>
      </c>
      <c r="G59" s="75">
        <v>1.0076156074285716</v>
      </c>
      <c r="H59" s="84">
        <v>-0.98961628827362835</v>
      </c>
    </row>
    <row r="60" spans="2:8" x14ac:dyDescent="0.3">
      <c r="B60" s="73" t="s">
        <v>240</v>
      </c>
      <c r="C60" s="75">
        <v>0.77241379310344827</v>
      </c>
      <c r="D60" s="80">
        <v>0.93103448275862055</v>
      </c>
      <c r="E60" s="75">
        <v>97.038095238095252</v>
      </c>
      <c r="F60" s="80">
        <v>0</v>
      </c>
      <c r="G60" s="75">
        <v>1.0076156074285716</v>
      </c>
      <c r="H60" s="84">
        <v>-0.98961628827362835</v>
      </c>
    </row>
    <row r="61" spans="2:8" ht="15" thickBot="1" x14ac:dyDescent="0.35">
      <c r="B61" s="74" t="s">
        <v>241</v>
      </c>
      <c r="C61" s="76">
        <v>0.8</v>
      </c>
      <c r="D61" s="81">
        <v>1</v>
      </c>
      <c r="E61" s="76">
        <v>97.038095238095252</v>
      </c>
      <c r="F61" s="81">
        <v>0</v>
      </c>
      <c r="G61" s="76">
        <v>1.0076156074285716</v>
      </c>
      <c r="H61" s="85">
        <v>-0.98961628827362835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B981-F01F-364A-9168-1D662683F127}">
  <dimension ref="A1:C35"/>
  <sheetViews>
    <sheetView zoomScale="70" zoomScaleNormal="70" workbookViewId="0">
      <selection activeCell="A34" sqref="A34:A35"/>
    </sheetView>
  </sheetViews>
  <sheetFormatPr defaultColWidth="11.5546875" defaultRowHeight="14.4" x14ac:dyDescent="0.3"/>
  <cols>
    <col min="1" max="1" width="72.33203125" bestFit="1" customWidth="1"/>
    <col min="3" max="3" width="122.6640625" bestFit="1" customWidth="1"/>
  </cols>
  <sheetData>
    <row r="1" spans="1:3" x14ac:dyDescent="0.3">
      <c r="A1" t="s">
        <v>108</v>
      </c>
      <c r="B1" t="s">
        <v>109</v>
      </c>
      <c r="C1" t="s">
        <v>131</v>
      </c>
    </row>
    <row r="2" spans="1:3" x14ac:dyDescent="0.3">
      <c r="A2" t="s">
        <v>110</v>
      </c>
      <c r="B2" s="55">
        <f>1-B3</f>
        <v>0.25</v>
      </c>
      <c r="C2" s="58" t="s">
        <v>99</v>
      </c>
    </row>
    <row r="3" spans="1:3" x14ac:dyDescent="0.3">
      <c r="A3" t="s">
        <v>111</v>
      </c>
      <c r="B3" s="55">
        <f>75%</f>
        <v>0.75</v>
      </c>
      <c r="C3" s="57"/>
    </row>
    <row r="4" spans="1:3" x14ac:dyDescent="0.3">
      <c r="B4" s="55"/>
    </row>
    <row r="5" spans="1:3" x14ac:dyDescent="0.3">
      <c r="A5" t="s">
        <v>112</v>
      </c>
      <c r="B5" s="55">
        <f>56%</f>
        <v>0.56000000000000005</v>
      </c>
      <c r="C5" s="57" t="s">
        <v>98</v>
      </c>
    </row>
    <row r="6" spans="1:3" x14ac:dyDescent="0.3">
      <c r="A6" s="28" t="s">
        <v>113</v>
      </c>
      <c r="B6" s="55">
        <f>1-B5</f>
        <v>0.43999999999999995</v>
      </c>
      <c r="C6" s="57"/>
    </row>
    <row r="7" spans="1:3" x14ac:dyDescent="0.3">
      <c r="B7" s="55"/>
    </row>
    <row r="8" spans="1:3" x14ac:dyDescent="0.3">
      <c r="A8" t="s">
        <v>114</v>
      </c>
      <c r="B8" s="55">
        <f>68%</f>
        <v>0.68</v>
      </c>
      <c r="C8" s="54" t="s">
        <v>105</v>
      </c>
    </row>
    <row r="9" spans="1:3" x14ac:dyDescent="0.3">
      <c r="A9" s="28" t="s">
        <v>130</v>
      </c>
      <c r="B9" s="55">
        <f>1-B8</f>
        <v>0.31999999999999995</v>
      </c>
      <c r="C9" s="53" t="s">
        <v>106</v>
      </c>
    </row>
    <row r="10" spans="1:3" x14ac:dyDescent="0.3">
      <c r="B10" s="55"/>
    </row>
    <row r="11" spans="1:3" x14ac:dyDescent="0.3">
      <c r="A11" t="s">
        <v>115</v>
      </c>
      <c r="B11" s="55">
        <f>59%</f>
        <v>0.59</v>
      </c>
      <c r="C11" s="59" t="s">
        <v>104</v>
      </c>
    </row>
    <row r="12" spans="1:3" x14ac:dyDescent="0.3">
      <c r="A12" s="28" t="s">
        <v>116</v>
      </c>
      <c r="B12" s="55">
        <f>17%</f>
        <v>0.17</v>
      </c>
      <c r="C12" s="59"/>
    </row>
    <row r="13" spans="1:3" x14ac:dyDescent="0.3">
      <c r="A13" s="28" t="s">
        <v>117</v>
      </c>
      <c r="B13" s="55">
        <f>24%</f>
        <v>0.24</v>
      </c>
      <c r="C13" s="59"/>
    </row>
    <row r="14" spans="1:3" x14ac:dyDescent="0.3">
      <c r="B14" s="55"/>
    </row>
    <row r="15" spans="1:3" x14ac:dyDescent="0.3">
      <c r="A15" t="s">
        <v>119</v>
      </c>
      <c r="B15" s="55">
        <f>28%</f>
        <v>0.28000000000000003</v>
      </c>
    </row>
    <row r="16" spans="1:3" x14ac:dyDescent="0.3">
      <c r="A16" s="28" t="s">
        <v>118</v>
      </c>
      <c r="B16" s="55">
        <f>1-B15</f>
        <v>0.72</v>
      </c>
    </row>
    <row r="17" spans="1:3" x14ac:dyDescent="0.3">
      <c r="B17" s="55"/>
    </row>
    <row r="18" spans="1:3" x14ac:dyDescent="0.3">
      <c r="A18" s="28" t="s">
        <v>120</v>
      </c>
      <c r="B18" s="55">
        <f>46.3%*(1.052)</f>
        <v>0.48707600000000001</v>
      </c>
      <c r="C18" s="58" t="s">
        <v>102</v>
      </c>
    </row>
    <row r="19" spans="1:3" x14ac:dyDescent="0.3">
      <c r="A19" s="28" t="s">
        <v>121</v>
      </c>
      <c r="B19" s="55">
        <f>1-B18</f>
        <v>0.51292399999999994</v>
      </c>
      <c r="C19" s="58"/>
    </row>
    <row r="20" spans="1:3" x14ac:dyDescent="0.3">
      <c r="B20" s="55"/>
    </row>
    <row r="21" spans="1:3" x14ac:dyDescent="0.3">
      <c r="A21" s="28" t="s">
        <v>122</v>
      </c>
      <c r="B21" s="55">
        <f>73%</f>
        <v>0.73</v>
      </c>
      <c r="C21" s="57" t="s">
        <v>100</v>
      </c>
    </row>
    <row r="22" spans="1:3" x14ac:dyDescent="0.3">
      <c r="A22" s="28" t="s">
        <v>123</v>
      </c>
      <c r="B22" s="55">
        <f>1-B21</f>
        <v>0.27</v>
      </c>
      <c r="C22" s="57"/>
    </row>
    <row r="23" spans="1:3" x14ac:dyDescent="0.3">
      <c r="B23" s="55"/>
    </row>
    <row r="24" spans="1:3" x14ac:dyDescent="0.3">
      <c r="A24" s="28" t="s">
        <v>124</v>
      </c>
      <c r="B24" s="55">
        <f>82%</f>
        <v>0.82</v>
      </c>
      <c r="C24" s="57" t="s">
        <v>101</v>
      </c>
    </row>
    <row r="25" spans="1:3" x14ac:dyDescent="0.3">
      <c r="A25" s="28" t="s">
        <v>125</v>
      </c>
      <c r="B25" s="55">
        <f>1-B24</f>
        <v>0.18000000000000005</v>
      </c>
      <c r="C25" s="57"/>
    </row>
    <row r="26" spans="1:3" x14ac:dyDescent="0.3">
      <c r="B26" s="55"/>
    </row>
    <row r="27" spans="1:3" x14ac:dyDescent="0.3">
      <c r="A27" s="28" t="s">
        <v>126</v>
      </c>
      <c r="B27" s="55">
        <f>1-B28</f>
        <v>0.94299999999999995</v>
      </c>
      <c r="C27" s="57" t="s">
        <v>103</v>
      </c>
    </row>
    <row r="28" spans="1:3" x14ac:dyDescent="0.3">
      <c r="A28" s="28" t="s">
        <v>127</v>
      </c>
      <c r="B28" s="55">
        <f>5.7%</f>
        <v>5.7000000000000002E-2</v>
      </c>
      <c r="C28" s="57"/>
    </row>
    <row r="29" spans="1:3" x14ac:dyDescent="0.3">
      <c r="B29" s="55"/>
    </row>
    <row r="30" spans="1:3" x14ac:dyDescent="0.3">
      <c r="A30" s="28" t="s">
        <v>128</v>
      </c>
      <c r="B30" s="55">
        <f>1-B31-B32</f>
        <v>0.60099999999999998</v>
      </c>
      <c r="C30" s="57" t="s">
        <v>107</v>
      </c>
    </row>
    <row r="31" spans="1:3" ht="20.399999999999999" customHeight="1" x14ac:dyDescent="0.3">
      <c r="A31" s="28" t="s">
        <v>129</v>
      </c>
      <c r="B31" s="55">
        <v>0.25</v>
      </c>
      <c r="C31" s="57"/>
    </row>
    <row r="32" spans="1:3" ht="20.399999999999999" customHeight="1" x14ac:dyDescent="0.3">
      <c r="A32" s="28" t="s">
        <v>138</v>
      </c>
      <c r="B32" s="55">
        <f>14.9%</f>
        <v>0.14899999999999999</v>
      </c>
      <c r="C32" s="53" t="s">
        <v>139</v>
      </c>
    </row>
    <row r="33" spans="1:3" ht="20.399999999999999" customHeight="1" x14ac:dyDescent="0.3">
      <c r="A33" s="28"/>
      <c r="B33" s="46"/>
      <c r="C33" s="53"/>
    </row>
    <row r="34" spans="1:3" x14ac:dyDescent="0.3">
      <c r="A34" s="28"/>
    </row>
    <row r="35" spans="1:3" x14ac:dyDescent="0.3">
      <c r="A35" s="28"/>
    </row>
  </sheetData>
  <mergeCells count="8">
    <mergeCell ref="C27:C28"/>
    <mergeCell ref="C30:C31"/>
    <mergeCell ref="C2:C3"/>
    <mergeCell ref="C5:C6"/>
    <mergeCell ref="C11:C13"/>
    <mergeCell ref="C18:C19"/>
    <mergeCell ref="C21:C22"/>
    <mergeCell ref="C24:C25"/>
  </mergeCells>
  <hyperlinks>
    <hyperlink ref="C11" r:id="rId1" xr:uid="{620765A7-49EE-1943-8AAB-4208ECA33B96}"/>
    <hyperlink ref="C18" r:id="rId2" xr:uid="{79153054-944C-B94B-A9CA-DC63AAEE25A2}"/>
    <hyperlink ref="C2" r:id="rId3" xr:uid="{4A10DC08-1D11-924E-BB72-6D100B2AC4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96D6-1F9F-48DC-9084-38705FF269AE}">
  <dimension ref="A1:Q54"/>
  <sheetViews>
    <sheetView topLeftCell="E41" zoomScale="74" zoomScaleNormal="74" workbookViewId="0">
      <selection activeCell="K51" sqref="K51:L54"/>
    </sheetView>
  </sheetViews>
  <sheetFormatPr defaultColWidth="8.77734375" defaultRowHeight="14.4" x14ac:dyDescent="0.3"/>
  <cols>
    <col min="1" max="1" width="23.6640625" customWidth="1"/>
    <col min="2" max="2" width="12.109375" bestFit="1" customWidth="1"/>
    <col min="3" max="3" width="9.77734375" bestFit="1" customWidth="1"/>
    <col min="4" max="4" width="15.33203125" bestFit="1" customWidth="1"/>
    <col min="7" max="7" width="18.5546875" bestFit="1" customWidth="1"/>
    <col min="8" max="8" width="12.109375" bestFit="1" customWidth="1"/>
    <col min="9" max="9" width="17.33203125" bestFit="1" customWidth="1"/>
    <col min="11" max="11" width="12" bestFit="1" customWidth="1"/>
    <col min="12" max="12" width="13.109375" bestFit="1" customWidth="1"/>
    <col min="13" max="13" width="12.77734375" bestFit="1" customWidth="1"/>
    <col min="15" max="15" width="16.109375" bestFit="1" customWidth="1"/>
    <col min="16" max="16" width="12.21875" bestFit="1" customWidth="1"/>
    <col min="17" max="17" width="11.6640625" bestFit="1" customWidth="1"/>
    <col min="19" max="19" width="11" bestFit="1" customWidth="1"/>
  </cols>
  <sheetData>
    <row r="1" spans="1:17" x14ac:dyDescent="0.3">
      <c r="G1" s="14" t="s">
        <v>61</v>
      </c>
      <c r="H1" s="14" t="s">
        <v>62</v>
      </c>
      <c r="I1" s="15" t="s">
        <v>89</v>
      </c>
      <c r="J1" s="14" t="s">
        <v>94</v>
      </c>
      <c r="K1" s="14" t="s">
        <v>95</v>
      </c>
      <c r="L1" s="14" t="s">
        <v>136</v>
      </c>
      <c r="M1" s="14" t="s">
        <v>137</v>
      </c>
    </row>
    <row r="2" spans="1:17" ht="14.25" customHeight="1" x14ac:dyDescent="0.3">
      <c r="A2" t="s">
        <v>49</v>
      </c>
      <c r="B2" t="s">
        <v>47</v>
      </c>
      <c r="C2" t="s">
        <v>193</v>
      </c>
      <c r="D2" t="s">
        <v>194</v>
      </c>
      <c r="E2" t="s">
        <v>47</v>
      </c>
      <c r="G2">
        <v>32</v>
      </c>
      <c r="H2">
        <v>2</v>
      </c>
      <c r="I2">
        <f>Calculations!C$11</f>
        <v>48243.609757860038</v>
      </c>
      <c r="J2">
        <f>100*((MAX($G$2:$G$39)-G2)/(MAX($G$2:$G$39)-MIN($G$2:$G$39)))</f>
        <v>0</v>
      </c>
      <c r="K2">
        <f>100*((MAX($H$2:$H$39)-H2)/(MAX($H$2:$H$39)-MIN($H$2:$H$39)))</f>
        <v>0</v>
      </c>
      <c r="L2">
        <f>100*((I2-MIN($I$2:$I$39))/(MAX($I$2:$I$39)-MIN($I$2:$I$39)))</f>
        <v>21.396775714285724</v>
      </c>
      <c r="M2">
        <f>SUMPRODUCT($O$3:$Q$3,J2:L2)</f>
        <v>8.5587102857142892</v>
      </c>
      <c r="O2" s="14" t="s">
        <v>201</v>
      </c>
      <c r="P2" s="14" t="s">
        <v>202</v>
      </c>
      <c r="Q2" s="15" t="s">
        <v>203</v>
      </c>
    </row>
    <row r="3" spans="1:17" ht="14.25" customHeight="1" x14ac:dyDescent="0.3">
      <c r="A3" t="str">
        <f>A2</f>
        <v>MBA</v>
      </c>
      <c r="B3" t="str">
        <f>B2</f>
        <v>India</v>
      </c>
      <c r="C3" t="str">
        <f>C2</f>
        <v>Student loan</v>
      </c>
      <c r="D3" t="s">
        <v>195</v>
      </c>
      <c r="E3" t="str">
        <f>E2</f>
        <v>India</v>
      </c>
      <c r="G3">
        <v>32</v>
      </c>
      <c r="H3">
        <v>2</v>
      </c>
      <c r="I3">
        <f>Calculations!C$11</f>
        <v>48243.609757860038</v>
      </c>
      <c r="J3">
        <f t="shared" ref="J3:J39" si="0">100*((MAX($G$2:$G$39)-G3)/(MAX($G$2:$G$39)-MIN($G$2:$G$39)))</f>
        <v>0</v>
      </c>
      <c r="K3">
        <f t="shared" ref="K3:K39" si="1">100*((MAX($H$2:$H$39)-H3)/(MAX($H$2:$H$39)-MIN($H$2:$H$39)))</f>
        <v>0</v>
      </c>
      <c r="L3">
        <f t="shared" ref="L3:L39" si="2">100*((I3-MIN($I$2:$I$39))/(MAX($I$2:$I$39)-MIN($I$2:$I$39)))</f>
        <v>21.396775714285724</v>
      </c>
      <c r="M3">
        <f t="shared" ref="M3:M39" si="3">SUMPRODUCT($O$3:$Q$3,J3:L3)</f>
        <v>8.5587102857142892</v>
      </c>
      <c r="O3">
        <f>L52</f>
        <v>0.34</v>
      </c>
      <c r="P3">
        <f>L53</f>
        <v>0.26</v>
      </c>
      <c r="Q3">
        <f>L54</f>
        <v>0.4</v>
      </c>
    </row>
    <row r="4" spans="1:17" x14ac:dyDescent="0.3">
      <c r="A4" t="str">
        <f t="shared" ref="A4:B9" si="4">A3</f>
        <v>MBA</v>
      </c>
      <c r="B4" t="str">
        <f>B3</f>
        <v>India</v>
      </c>
      <c r="C4" t="s">
        <v>75</v>
      </c>
      <c r="D4" t="s">
        <v>194</v>
      </c>
      <c r="E4" t="str">
        <f>E3</f>
        <v>India</v>
      </c>
      <c r="G4">
        <v>32</v>
      </c>
      <c r="H4">
        <v>2</v>
      </c>
      <c r="I4">
        <f>Calculations!C$11</f>
        <v>48243.609757860038</v>
      </c>
      <c r="J4">
        <f t="shared" si="0"/>
        <v>0</v>
      </c>
      <c r="K4">
        <f t="shared" si="1"/>
        <v>0</v>
      </c>
      <c r="L4">
        <f t="shared" si="2"/>
        <v>21.396775714285724</v>
      </c>
      <c r="M4">
        <f t="shared" si="3"/>
        <v>8.5587102857142892</v>
      </c>
    </row>
    <row r="5" spans="1:17" x14ac:dyDescent="0.3">
      <c r="A5" t="str">
        <f t="shared" si="4"/>
        <v>MBA</v>
      </c>
      <c r="B5" t="str">
        <f t="shared" si="4"/>
        <v>India</v>
      </c>
      <c r="C5" t="s">
        <v>75</v>
      </c>
      <c r="D5" t="s">
        <v>195</v>
      </c>
      <c r="E5" t="str">
        <f t="shared" ref="E5:E9" si="5">E4</f>
        <v>India</v>
      </c>
      <c r="G5">
        <v>32</v>
      </c>
      <c r="H5">
        <v>2</v>
      </c>
      <c r="I5">
        <f>Calculations!C$11</f>
        <v>48243.609757860038</v>
      </c>
      <c r="J5">
        <f t="shared" si="0"/>
        <v>0</v>
      </c>
      <c r="K5">
        <f t="shared" si="1"/>
        <v>0</v>
      </c>
      <c r="L5">
        <f t="shared" si="2"/>
        <v>21.396775714285724</v>
      </c>
      <c r="M5">
        <f t="shared" si="3"/>
        <v>8.5587102857142892</v>
      </c>
    </row>
    <row r="6" spans="1:17" x14ac:dyDescent="0.3">
      <c r="A6" t="s">
        <v>196</v>
      </c>
      <c r="B6" t="str">
        <f t="shared" si="4"/>
        <v>India</v>
      </c>
      <c r="C6" t="s">
        <v>193</v>
      </c>
      <c r="D6" t="s">
        <v>194</v>
      </c>
      <c r="E6" t="str">
        <f t="shared" si="5"/>
        <v>India</v>
      </c>
      <c r="G6">
        <v>32</v>
      </c>
      <c r="H6">
        <v>2</v>
      </c>
      <c r="I6">
        <f>Calculations!$M$11</f>
        <v>41888.940730615031</v>
      </c>
      <c r="J6">
        <f t="shared" si="0"/>
        <v>0</v>
      </c>
      <c r="K6">
        <f t="shared" si="1"/>
        <v>0</v>
      </c>
      <c r="L6">
        <f t="shared" si="2"/>
        <v>18.578383214285722</v>
      </c>
      <c r="M6">
        <f t="shared" si="3"/>
        <v>7.4313532857142892</v>
      </c>
    </row>
    <row r="7" spans="1:17" x14ac:dyDescent="0.3">
      <c r="A7" t="s">
        <v>196</v>
      </c>
      <c r="B7" t="str">
        <f t="shared" si="4"/>
        <v>India</v>
      </c>
      <c r="C7" t="str">
        <f>C6</f>
        <v>Student loan</v>
      </c>
      <c r="D7" t="s">
        <v>195</v>
      </c>
      <c r="E7" t="str">
        <f t="shared" si="5"/>
        <v>India</v>
      </c>
      <c r="G7">
        <v>32</v>
      </c>
      <c r="H7">
        <v>2</v>
      </c>
      <c r="I7">
        <f>Calculations!$M$11</f>
        <v>41888.940730615031</v>
      </c>
      <c r="J7">
        <f t="shared" si="0"/>
        <v>0</v>
      </c>
      <c r="K7">
        <f t="shared" si="1"/>
        <v>0</v>
      </c>
      <c r="L7">
        <f t="shared" si="2"/>
        <v>18.578383214285722</v>
      </c>
      <c r="M7">
        <f t="shared" si="3"/>
        <v>7.4313532857142892</v>
      </c>
    </row>
    <row r="8" spans="1:17" x14ac:dyDescent="0.3">
      <c r="A8" t="s">
        <v>196</v>
      </c>
      <c r="B8" t="str">
        <f t="shared" si="4"/>
        <v>India</v>
      </c>
      <c r="C8" t="s">
        <v>75</v>
      </c>
      <c r="D8" t="s">
        <v>194</v>
      </c>
      <c r="E8" t="str">
        <f t="shared" si="5"/>
        <v>India</v>
      </c>
      <c r="G8">
        <v>32</v>
      </c>
      <c r="H8">
        <v>2</v>
      </c>
      <c r="I8">
        <f>Calculations!$M$11</f>
        <v>41888.940730615031</v>
      </c>
      <c r="J8">
        <f t="shared" si="0"/>
        <v>0</v>
      </c>
      <c r="K8">
        <f t="shared" si="1"/>
        <v>0</v>
      </c>
      <c r="L8">
        <f t="shared" si="2"/>
        <v>18.578383214285722</v>
      </c>
      <c r="M8">
        <f t="shared" si="3"/>
        <v>7.4313532857142892</v>
      </c>
    </row>
    <row r="9" spans="1:17" x14ac:dyDescent="0.3">
      <c r="A9" t="s">
        <v>196</v>
      </c>
      <c r="B9" t="str">
        <f t="shared" si="4"/>
        <v>India</v>
      </c>
      <c r="C9" t="s">
        <v>75</v>
      </c>
      <c r="D9" t="s">
        <v>195</v>
      </c>
      <c r="E9" t="str">
        <f t="shared" si="5"/>
        <v>India</v>
      </c>
      <c r="G9">
        <v>32</v>
      </c>
      <c r="H9">
        <v>2</v>
      </c>
      <c r="I9">
        <f>Calculations!$M$11</f>
        <v>41888.940730615031</v>
      </c>
      <c r="J9">
        <f t="shared" si="0"/>
        <v>0</v>
      </c>
      <c r="K9">
        <f t="shared" si="1"/>
        <v>0</v>
      </c>
      <c r="L9">
        <f t="shared" si="2"/>
        <v>18.578383214285722</v>
      </c>
      <c r="M9">
        <f t="shared" si="3"/>
        <v>7.4313532857142892</v>
      </c>
    </row>
    <row r="10" spans="1:17" x14ac:dyDescent="0.3">
      <c r="A10" t="s">
        <v>49</v>
      </c>
      <c r="B10" t="s">
        <v>52</v>
      </c>
      <c r="C10" t="s">
        <v>193</v>
      </c>
      <c r="D10" t="s">
        <v>194</v>
      </c>
      <c r="E10" t="s">
        <v>48</v>
      </c>
      <c r="G10">
        <v>3</v>
      </c>
      <c r="H10">
        <v>1</v>
      </c>
      <c r="I10">
        <f>Calculations!$C$12</f>
        <v>225471.40000000008</v>
      </c>
      <c r="J10">
        <f t="shared" si="0"/>
        <v>96.666666666666671</v>
      </c>
      <c r="K10">
        <f t="shared" si="1"/>
        <v>100</v>
      </c>
      <c r="L10">
        <f t="shared" si="2"/>
        <v>100</v>
      </c>
      <c r="M10">
        <f t="shared" si="3"/>
        <v>98.866666666666674</v>
      </c>
    </row>
    <row r="11" spans="1:17" x14ac:dyDescent="0.3">
      <c r="A11" t="s">
        <v>49</v>
      </c>
      <c r="B11" t="s">
        <v>52</v>
      </c>
      <c r="C11" t="str">
        <f>C10</f>
        <v>Student loan</v>
      </c>
      <c r="D11" t="s">
        <v>195</v>
      </c>
      <c r="E11" t="s">
        <v>48</v>
      </c>
      <c r="G11">
        <v>3</v>
      </c>
      <c r="H11">
        <v>1</v>
      </c>
      <c r="I11">
        <f>Calculations!$C$12</f>
        <v>225471.40000000008</v>
      </c>
      <c r="J11">
        <f t="shared" si="0"/>
        <v>96.666666666666671</v>
      </c>
      <c r="K11">
        <f t="shared" si="1"/>
        <v>100</v>
      </c>
      <c r="L11">
        <f t="shared" si="2"/>
        <v>100</v>
      </c>
      <c r="M11">
        <f t="shared" si="3"/>
        <v>98.866666666666674</v>
      </c>
    </row>
    <row r="12" spans="1:17" x14ac:dyDescent="0.3">
      <c r="A12" t="s">
        <v>49</v>
      </c>
      <c r="B12" t="s">
        <v>52</v>
      </c>
      <c r="C12" t="s">
        <v>75</v>
      </c>
      <c r="D12" t="s">
        <v>194</v>
      </c>
      <c r="E12" t="s">
        <v>48</v>
      </c>
      <c r="G12">
        <v>3</v>
      </c>
      <c r="H12">
        <v>1</v>
      </c>
      <c r="I12">
        <f>Calculations!$C$12</f>
        <v>225471.40000000008</v>
      </c>
      <c r="J12">
        <f t="shared" si="0"/>
        <v>96.666666666666671</v>
      </c>
      <c r="K12">
        <f t="shared" si="1"/>
        <v>100</v>
      </c>
      <c r="L12">
        <f t="shared" si="2"/>
        <v>100</v>
      </c>
      <c r="M12">
        <f t="shared" si="3"/>
        <v>98.866666666666674</v>
      </c>
    </row>
    <row r="13" spans="1:17" x14ac:dyDescent="0.3">
      <c r="A13" t="s">
        <v>49</v>
      </c>
      <c r="B13" t="s">
        <v>52</v>
      </c>
      <c r="C13" t="s">
        <v>75</v>
      </c>
      <c r="D13" t="s">
        <v>195</v>
      </c>
      <c r="E13" t="s">
        <v>48</v>
      </c>
      <c r="G13">
        <v>3</v>
      </c>
      <c r="H13">
        <v>1</v>
      </c>
      <c r="I13">
        <f>Calculations!$C$12</f>
        <v>225471.40000000008</v>
      </c>
      <c r="J13">
        <f t="shared" si="0"/>
        <v>96.666666666666671</v>
      </c>
      <c r="K13">
        <f t="shared" si="1"/>
        <v>100</v>
      </c>
      <c r="L13">
        <f t="shared" si="2"/>
        <v>100</v>
      </c>
      <c r="M13">
        <f t="shared" si="3"/>
        <v>98.866666666666674</v>
      </c>
    </row>
    <row r="14" spans="1:17" x14ac:dyDescent="0.3">
      <c r="A14" t="s">
        <v>49</v>
      </c>
      <c r="B14" t="s">
        <v>53</v>
      </c>
      <c r="C14" t="s">
        <v>193</v>
      </c>
      <c r="D14" t="s">
        <v>194</v>
      </c>
      <c r="E14" t="s">
        <v>48</v>
      </c>
      <c r="G14">
        <f>4</f>
        <v>4</v>
      </c>
      <c r="H14">
        <v>1</v>
      </c>
      <c r="I14">
        <f>Calculations!$C$13</f>
        <v>120788.25000000004</v>
      </c>
      <c r="J14">
        <f t="shared" si="0"/>
        <v>93.333333333333329</v>
      </c>
      <c r="K14">
        <f t="shared" si="1"/>
        <v>100</v>
      </c>
      <c r="L14">
        <f t="shared" si="2"/>
        <v>53.571428571428569</v>
      </c>
      <c r="M14">
        <f t="shared" si="3"/>
        <v>79.161904761904765</v>
      </c>
    </row>
    <row r="15" spans="1:17" x14ac:dyDescent="0.3">
      <c r="A15" t="s">
        <v>49</v>
      </c>
      <c r="B15" t="s">
        <v>53</v>
      </c>
      <c r="C15" t="str">
        <f>C14</f>
        <v>Student loan</v>
      </c>
      <c r="D15" t="s">
        <v>195</v>
      </c>
      <c r="E15" t="s">
        <v>48</v>
      </c>
      <c r="G15">
        <f>4</f>
        <v>4</v>
      </c>
      <c r="H15">
        <v>1</v>
      </c>
      <c r="I15">
        <f>Calculations!$C$13</f>
        <v>120788.25000000004</v>
      </c>
      <c r="J15">
        <f t="shared" si="0"/>
        <v>93.333333333333329</v>
      </c>
      <c r="K15">
        <f t="shared" si="1"/>
        <v>100</v>
      </c>
      <c r="L15">
        <f t="shared" si="2"/>
        <v>53.571428571428569</v>
      </c>
      <c r="M15">
        <f t="shared" si="3"/>
        <v>79.161904761904765</v>
      </c>
    </row>
    <row r="16" spans="1:17" x14ac:dyDescent="0.3">
      <c r="A16" t="s">
        <v>49</v>
      </c>
      <c r="B16" t="s">
        <v>53</v>
      </c>
      <c r="C16" t="s">
        <v>75</v>
      </c>
      <c r="D16" t="s">
        <v>194</v>
      </c>
      <c r="E16" t="s">
        <v>48</v>
      </c>
      <c r="G16">
        <f>4</f>
        <v>4</v>
      </c>
      <c r="H16">
        <v>1</v>
      </c>
      <c r="I16">
        <f>Calculations!$C$13</f>
        <v>120788.25000000004</v>
      </c>
      <c r="J16">
        <f t="shared" si="0"/>
        <v>93.333333333333329</v>
      </c>
      <c r="K16">
        <f t="shared" si="1"/>
        <v>100</v>
      </c>
      <c r="L16">
        <f t="shared" si="2"/>
        <v>53.571428571428569</v>
      </c>
      <c r="M16">
        <f t="shared" si="3"/>
        <v>79.161904761904765</v>
      </c>
    </row>
    <row r="17" spans="1:13" x14ac:dyDescent="0.3">
      <c r="A17" t="s">
        <v>49</v>
      </c>
      <c r="B17" t="s">
        <v>53</v>
      </c>
      <c r="C17" t="s">
        <v>75</v>
      </c>
      <c r="D17" t="s">
        <v>195</v>
      </c>
      <c r="E17" t="s">
        <v>48</v>
      </c>
      <c r="G17">
        <f>4</f>
        <v>4</v>
      </c>
      <c r="H17">
        <v>1</v>
      </c>
      <c r="I17">
        <f>Calculations!$C$13</f>
        <v>120788.25000000004</v>
      </c>
      <c r="J17">
        <f t="shared" si="0"/>
        <v>93.333333333333329</v>
      </c>
      <c r="K17">
        <f t="shared" si="1"/>
        <v>100</v>
      </c>
      <c r="L17">
        <f t="shared" si="2"/>
        <v>53.571428571428569</v>
      </c>
      <c r="M17">
        <f t="shared" si="3"/>
        <v>79.161904761904765</v>
      </c>
    </row>
    <row r="18" spans="1:13" x14ac:dyDescent="0.3">
      <c r="A18" t="s">
        <v>49</v>
      </c>
      <c r="B18" t="s">
        <v>54</v>
      </c>
      <c r="C18" t="s">
        <v>193</v>
      </c>
      <c r="D18" t="s">
        <v>194</v>
      </c>
      <c r="E18" t="s">
        <v>48</v>
      </c>
      <c r="G18">
        <f>2</f>
        <v>2</v>
      </c>
      <c r="H18">
        <v>1</v>
      </c>
      <c r="I18">
        <f>Calculations!$C$14</f>
        <v>144945.90000000005</v>
      </c>
      <c r="J18">
        <f t="shared" si="0"/>
        <v>100</v>
      </c>
      <c r="K18">
        <f t="shared" si="1"/>
        <v>100</v>
      </c>
      <c r="L18">
        <f t="shared" si="2"/>
        <v>64.285714285714292</v>
      </c>
      <c r="M18">
        <f t="shared" si="3"/>
        <v>85.714285714285722</v>
      </c>
    </row>
    <row r="19" spans="1:13" x14ac:dyDescent="0.3">
      <c r="A19" t="s">
        <v>49</v>
      </c>
      <c r="B19" t="s">
        <v>54</v>
      </c>
      <c r="C19" t="str">
        <f>C18</f>
        <v>Student loan</v>
      </c>
      <c r="D19" t="s">
        <v>195</v>
      </c>
      <c r="E19" t="s">
        <v>48</v>
      </c>
      <c r="G19">
        <f>2</f>
        <v>2</v>
      </c>
      <c r="H19">
        <v>1</v>
      </c>
      <c r="I19">
        <f>Calculations!$C$14</f>
        <v>144945.90000000005</v>
      </c>
      <c r="J19">
        <f t="shared" si="0"/>
        <v>100</v>
      </c>
      <c r="K19">
        <f t="shared" si="1"/>
        <v>100</v>
      </c>
      <c r="L19">
        <f t="shared" si="2"/>
        <v>64.285714285714292</v>
      </c>
      <c r="M19">
        <f t="shared" si="3"/>
        <v>85.714285714285722</v>
      </c>
    </row>
    <row r="20" spans="1:13" x14ac:dyDescent="0.3">
      <c r="A20" t="s">
        <v>49</v>
      </c>
      <c r="B20" t="s">
        <v>54</v>
      </c>
      <c r="C20" t="s">
        <v>75</v>
      </c>
      <c r="D20" t="s">
        <v>194</v>
      </c>
      <c r="E20" t="s">
        <v>48</v>
      </c>
      <c r="G20">
        <f>2</f>
        <v>2</v>
      </c>
      <c r="H20">
        <v>1</v>
      </c>
      <c r="I20">
        <f>Calculations!$C$14</f>
        <v>144945.90000000005</v>
      </c>
      <c r="J20">
        <f t="shared" si="0"/>
        <v>100</v>
      </c>
      <c r="K20">
        <f t="shared" si="1"/>
        <v>100</v>
      </c>
      <c r="L20">
        <f t="shared" si="2"/>
        <v>64.285714285714292</v>
      </c>
      <c r="M20">
        <f t="shared" si="3"/>
        <v>85.714285714285722</v>
      </c>
    </row>
    <row r="21" spans="1:13" x14ac:dyDescent="0.3">
      <c r="A21" t="s">
        <v>49</v>
      </c>
      <c r="B21" t="s">
        <v>54</v>
      </c>
      <c r="C21" t="s">
        <v>75</v>
      </c>
      <c r="D21" t="s">
        <v>195</v>
      </c>
      <c r="E21" t="s">
        <v>48</v>
      </c>
      <c r="G21">
        <f>2</f>
        <v>2</v>
      </c>
      <c r="H21">
        <v>1</v>
      </c>
      <c r="I21">
        <f>Calculations!$C$14</f>
        <v>144945.90000000005</v>
      </c>
      <c r="J21">
        <f t="shared" si="0"/>
        <v>100</v>
      </c>
      <c r="K21">
        <f t="shared" si="1"/>
        <v>100</v>
      </c>
      <c r="L21">
        <f t="shared" si="2"/>
        <v>64.285714285714292</v>
      </c>
      <c r="M21">
        <f t="shared" si="3"/>
        <v>85.714285714285722</v>
      </c>
    </row>
    <row r="22" spans="1:13" x14ac:dyDescent="0.3">
      <c r="A22" t="s">
        <v>51</v>
      </c>
      <c r="B22" t="s">
        <v>52</v>
      </c>
      <c r="C22" t="s">
        <v>193</v>
      </c>
      <c r="D22" t="s">
        <v>194</v>
      </c>
      <c r="E22" t="s">
        <v>48</v>
      </c>
      <c r="G22">
        <v>3</v>
      </c>
      <c r="H22">
        <v>1</v>
      </c>
      <c r="I22">
        <f>Calculations!$H$12</f>
        <v>193261.20000000007</v>
      </c>
      <c r="J22">
        <f t="shared" si="0"/>
        <v>96.666666666666671</v>
      </c>
      <c r="K22">
        <f t="shared" si="1"/>
        <v>100</v>
      </c>
      <c r="L22">
        <f t="shared" si="2"/>
        <v>85.714285714285708</v>
      </c>
      <c r="M22">
        <f t="shared" si="3"/>
        <v>93.152380952380952</v>
      </c>
    </row>
    <row r="23" spans="1:13" x14ac:dyDescent="0.3">
      <c r="A23" t="s">
        <v>51</v>
      </c>
      <c r="B23" t="s">
        <v>52</v>
      </c>
      <c r="C23" t="str">
        <f>C22</f>
        <v>Student loan</v>
      </c>
      <c r="D23" t="s">
        <v>195</v>
      </c>
      <c r="E23" t="s">
        <v>48</v>
      </c>
      <c r="G23">
        <v>3</v>
      </c>
      <c r="H23">
        <v>1</v>
      </c>
      <c r="I23">
        <f>Calculations!$H$12</f>
        <v>193261.20000000007</v>
      </c>
      <c r="J23">
        <f t="shared" si="0"/>
        <v>96.666666666666671</v>
      </c>
      <c r="K23">
        <f t="shared" si="1"/>
        <v>100</v>
      </c>
      <c r="L23">
        <f t="shared" si="2"/>
        <v>85.714285714285708</v>
      </c>
      <c r="M23">
        <f t="shared" si="3"/>
        <v>93.152380952380952</v>
      </c>
    </row>
    <row r="24" spans="1:13" x14ac:dyDescent="0.3">
      <c r="A24" t="s">
        <v>51</v>
      </c>
      <c r="B24" t="s">
        <v>52</v>
      </c>
      <c r="C24" t="s">
        <v>75</v>
      </c>
      <c r="D24" t="s">
        <v>194</v>
      </c>
      <c r="E24" t="s">
        <v>48</v>
      </c>
      <c r="G24">
        <v>3</v>
      </c>
      <c r="H24">
        <v>1</v>
      </c>
      <c r="I24">
        <f>Calculations!$H$12</f>
        <v>193261.20000000007</v>
      </c>
      <c r="J24">
        <f t="shared" si="0"/>
        <v>96.666666666666671</v>
      </c>
      <c r="K24">
        <f t="shared" si="1"/>
        <v>100</v>
      </c>
      <c r="L24">
        <f t="shared" si="2"/>
        <v>85.714285714285708</v>
      </c>
      <c r="M24">
        <f t="shared" si="3"/>
        <v>93.152380952380952</v>
      </c>
    </row>
    <row r="25" spans="1:13" x14ac:dyDescent="0.3">
      <c r="A25" t="s">
        <v>51</v>
      </c>
      <c r="B25" t="s">
        <v>52</v>
      </c>
      <c r="C25" t="s">
        <v>75</v>
      </c>
      <c r="D25" t="s">
        <v>195</v>
      </c>
      <c r="E25" t="s">
        <v>48</v>
      </c>
      <c r="G25">
        <v>3</v>
      </c>
      <c r="H25">
        <v>1</v>
      </c>
      <c r="I25">
        <f>Calculations!$H$12</f>
        <v>193261.20000000007</v>
      </c>
      <c r="J25">
        <f t="shared" si="0"/>
        <v>96.666666666666671</v>
      </c>
      <c r="K25">
        <f t="shared" si="1"/>
        <v>100</v>
      </c>
      <c r="L25">
        <f t="shared" si="2"/>
        <v>85.714285714285708</v>
      </c>
      <c r="M25">
        <f t="shared" si="3"/>
        <v>93.152380952380952</v>
      </c>
    </row>
    <row r="26" spans="1:13" x14ac:dyDescent="0.3">
      <c r="A26" t="s">
        <v>51</v>
      </c>
      <c r="B26" t="s">
        <v>53</v>
      </c>
      <c r="C26" t="s">
        <v>193</v>
      </c>
      <c r="D26" t="s">
        <v>194</v>
      </c>
      <c r="E26" t="s">
        <v>48</v>
      </c>
      <c r="G26">
        <f>4</f>
        <v>4</v>
      </c>
      <c r="H26">
        <v>1</v>
      </c>
      <c r="I26">
        <f>Calculations!$H$13</f>
        <v>128840.80000000005</v>
      </c>
      <c r="J26">
        <f t="shared" si="0"/>
        <v>93.333333333333329</v>
      </c>
      <c r="K26">
        <f t="shared" si="1"/>
        <v>100</v>
      </c>
      <c r="L26">
        <f t="shared" si="2"/>
        <v>57.142857142857139</v>
      </c>
      <c r="M26">
        <f t="shared" si="3"/>
        <v>80.590476190476195</v>
      </c>
    </row>
    <row r="27" spans="1:13" x14ac:dyDescent="0.3">
      <c r="A27" t="s">
        <v>51</v>
      </c>
      <c r="B27" t="s">
        <v>53</v>
      </c>
      <c r="C27" t="str">
        <f>C26</f>
        <v>Student loan</v>
      </c>
      <c r="D27" t="s">
        <v>195</v>
      </c>
      <c r="E27" t="s">
        <v>48</v>
      </c>
      <c r="G27">
        <f>4</f>
        <v>4</v>
      </c>
      <c r="H27">
        <v>1</v>
      </c>
      <c r="I27">
        <f>Calculations!$H$13</f>
        <v>128840.80000000005</v>
      </c>
      <c r="J27">
        <f t="shared" si="0"/>
        <v>93.333333333333329</v>
      </c>
      <c r="K27">
        <f t="shared" si="1"/>
        <v>100</v>
      </c>
      <c r="L27">
        <f t="shared" si="2"/>
        <v>57.142857142857139</v>
      </c>
      <c r="M27">
        <f t="shared" si="3"/>
        <v>80.590476190476195</v>
      </c>
    </row>
    <row r="28" spans="1:13" x14ac:dyDescent="0.3">
      <c r="A28" t="s">
        <v>51</v>
      </c>
      <c r="B28" t="s">
        <v>53</v>
      </c>
      <c r="C28" t="s">
        <v>75</v>
      </c>
      <c r="D28" t="s">
        <v>194</v>
      </c>
      <c r="E28" t="s">
        <v>48</v>
      </c>
      <c r="G28">
        <f>4</f>
        <v>4</v>
      </c>
      <c r="H28">
        <v>1</v>
      </c>
      <c r="I28">
        <f>Calculations!$H$13</f>
        <v>128840.80000000005</v>
      </c>
      <c r="J28">
        <f t="shared" si="0"/>
        <v>93.333333333333329</v>
      </c>
      <c r="K28">
        <f t="shared" si="1"/>
        <v>100</v>
      </c>
      <c r="L28">
        <f t="shared" si="2"/>
        <v>57.142857142857139</v>
      </c>
      <c r="M28">
        <f t="shared" si="3"/>
        <v>80.590476190476195</v>
      </c>
    </row>
    <row r="29" spans="1:13" x14ac:dyDescent="0.3">
      <c r="A29" t="s">
        <v>51</v>
      </c>
      <c r="B29" t="s">
        <v>53</v>
      </c>
      <c r="C29" t="s">
        <v>75</v>
      </c>
      <c r="D29" t="s">
        <v>195</v>
      </c>
      <c r="E29" t="s">
        <v>48</v>
      </c>
      <c r="G29">
        <f>4</f>
        <v>4</v>
      </c>
      <c r="H29">
        <v>1</v>
      </c>
      <c r="I29">
        <f>Calculations!$H$13</f>
        <v>128840.80000000005</v>
      </c>
      <c r="J29">
        <f t="shared" si="0"/>
        <v>93.333333333333329</v>
      </c>
      <c r="K29">
        <f t="shared" si="1"/>
        <v>100</v>
      </c>
      <c r="L29">
        <f t="shared" si="2"/>
        <v>57.142857142857139</v>
      </c>
      <c r="M29">
        <f t="shared" si="3"/>
        <v>80.590476190476195</v>
      </c>
    </row>
    <row r="30" spans="1:13" x14ac:dyDescent="0.3">
      <c r="A30" t="s">
        <v>51</v>
      </c>
      <c r="B30" t="s">
        <v>54</v>
      </c>
      <c r="C30" t="s">
        <v>193</v>
      </c>
      <c r="D30" t="s">
        <v>194</v>
      </c>
      <c r="E30" t="s">
        <v>48</v>
      </c>
      <c r="G30">
        <f>2</f>
        <v>2</v>
      </c>
      <c r="H30">
        <v>1</v>
      </c>
      <c r="I30">
        <f>Calculations!$H$14</f>
        <v>177156.10000000006</v>
      </c>
      <c r="J30">
        <f t="shared" si="0"/>
        <v>100</v>
      </c>
      <c r="K30">
        <f t="shared" si="1"/>
        <v>100</v>
      </c>
      <c r="L30">
        <f t="shared" si="2"/>
        <v>78.571428571428569</v>
      </c>
      <c r="M30">
        <f t="shared" si="3"/>
        <v>91.428571428571431</v>
      </c>
    </row>
    <row r="31" spans="1:13" x14ac:dyDescent="0.3">
      <c r="A31" t="s">
        <v>51</v>
      </c>
      <c r="B31" t="s">
        <v>54</v>
      </c>
      <c r="C31" t="str">
        <f>C30</f>
        <v>Student loan</v>
      </c>
      <c r="D31" t="s">
        <v>195</v>
      </c>
      <c r="E31" t="s">
        <v>48</v>
      </c>
      <c r="G31">
        <f>2</f>
        <v>2</v>
      </c>
      <c r="H31">
        <v>1</v>
      </c>
      <c r="I31">
        <f>Calculations!$H$14</f>
        <v>177156.10000000006</v>
      </c>
      <c r="J31">
        <f t="shared" si="0"/>
        <v>100</v>
      </c>
      <c r="K31">
        <f t="shared" si="1"/>
        <v>100</v>
      </c>
      <c r="L31">
        <f t="shared" si="2"/>
        <v>78.571428571428569</v>
      </c>
      <c r="M31">
        <f t="shared" si="3"/>
        <v>91.428571428571431</v>
      </c>
    </row>
    <row r="32" spans="1:13" x14ac:dyDescent="0.3">
      <c r="A32" t="s">
        <v>51</v>
      </c>
      <c r="B32" t="s">
        <v>54</v>
      </c>
      <c r="C32" t="s">
        <v>75</v>
      </c>
      <c r="D32" t="s">
        <v>194</v>
      </c>
      <c r="E32" t="s">
        <v>48</v>
      </c>
      <c r="G32">
        <f>2</f>
        <v>2</v>
      </c>
      <c r="H32">
        <v>1</v>
      </c>
      <c r="I32">
        <f>Calculations!$H$14</f>
        <v>177156.10000000006</v>
      </c>
      <c r="J32">
        <f t="shared" si="0"/>
        <v>100</v>
      </c>
      <c r="K32">
        <f t="shared" si="1"/>
        <v>100</v>
      </c>
      <c r="L32">
        <f t="shared" si="2"/>
        <v>78.571428571428569</v>
      </c>
      <c r="M32">
        <f t="shared" si="3"/>
        <v>91.428571428571431</v>
      </c>
    </row>
    <row r="33" spans="1:13" x14ac:dyDescent="0.3">
      <c r="A33" t="s">
        <v>51</v>
      </c>
      <c r="B33" t="s">
        <v>54</v>
      </c>
      <c r="C33" t="s">
        <v>75</v>
      </c>
      <c r="D33" t="s">
        <v>195</v>
      </c>
      <c r="E33" t="s">
        <v>48</v>
      </c>
      <c r="G33">
        <f>2</f>
        <v>2</v>
      </c>
      <c r="H33">
        <v>1</v>
      </c>
      <c r="I33">
        <f>Calculations!$H$14</f>
        <v>177156.10000000006</v>
      </c>
      <c r="J33">
        <f t="shared" si="0"/>
        <v>100</v>
      </c>
      <c r="K33">
        <f t="shared" si="1"/>
        <v>100</v>
      </c>
      <c r="L33">
        <f t="shared" si="2"/>
        <v>78.571428571428569</v>
      </c>
      <c r="M33">
        <f t="shared" si="3"/>
        <v>91.428571428571431</v>
      </c>
    </row>
    <row r="34" spans="1:13" x14ac:dyDescent="0.3">
      <c r="C34" t="s">
        <v>79</v>
      </c>
      <c r="D34" t="s">
        <v>46</v>
      </c>
      <c r="G34">
        <v>32</v>
      </c>
      <c r="H34">
        <v>2</v>
      </c>
      <c r="I34">
        <f>Calculations!B16</f>
        <v>8692.5505689000038</v>
      </c>
      <c r="J34">
        <f t="shared" si="0"/>
        <v>0</v>
      </c>
      <c r="K34">
        <f t="shared" si="1"/>
        <v>0</v>
      </c>
      <c r="L34">
        <f t="shared" si="2"/>
        <v>3.8552785714285722</v>
      </c>
      <c r="M34">
        <f t="shared" si="3"/>
        <v>1.542111428571429</v>
      </c>
    </row>
    <row r="35" spans="1:13" x14ac:dyDescent="0.3">
      <c r="D35" t="s">
        <v>93</v>
      </c>
      <c r="E35" t="s">
        <v>197</v>
      </c>
      <c r="G35">
        <v>32</v>
      </c>
      <c r="H35">
        <v>2</v>
      </c>
      <c r="I35">
        <f>Calculations!B17</f>
        <v>4346.2752844500019</v>
      </c>
      <c r="J35">
        <f t="shared" si="0"/>
        <v>0</v>
      </c>
      <c r="K35">
        <f t="shared" si="1"/>
        <v>0</v>
      </c>
      <c r="L35">
        <f t="shared" si="2"/>
        <v>1.9276392857142861</v>
      </c>
      <c r="M35">
        <f t="shared" si="3"/>
        <v>0.77105571428571451</v>
      </c>
    </row>
    <row r="36" spans="1:13" x14ac:dyDescent="0.3">
      <c r="D36" t="s">
        <v>93</v>
      </c>
      <c r="E36" t="s">
        <v>198</v>
      </c>
      <c r="G36">
        <v>32</v>
      </c>
      <c r="H36">
        <v>2</v>
      </c>
      <c r="I36">
        <v>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3">
      <c r="C37" t="s">
        <v>80</v>
      </c>
      <c r="D37" t="s">
        <v>46</v>
      </c>
      <c r="G37">
        <v>32</v>
      </c>
      <c r="H37">
        <v>2</v>
      </c>
      <c r="I37">
        <f>Calculations!B18</f>
        <v>6954.0404551200036</v>
      </c>
      <c r="J37">
        <f t="shared" si="0"/>
        <v>0</v>
      </c>
      <c r="K37">
        <f t="shared" si="1"/>
        <v>0</v>
      </c>
      <c r="L37">
        <f t="shared" si="2"/>
        <v>3.0842228571428576</v>
      </c>
      <c r="M37">
        <f t="shared" si="3"/>
        <v>1.233689142857143</v>
      </c>
    </row>
    <row r="38" spans="1:13" x14ac:dyDescent="0.3">
      <c r="D38" t="s">
        <v>93</v>
      </c>
      <c r="E38" t="s">
        <v>197</v>
      </c>
      <c r="G38">
        <v>32</v>
      </c>
      <c r="H38">
        <v>2</v>
      </c>
      <c r="I38">
        <f>Calculations!B19</f>
        <v>3477.0202275600018</v>
      </c>
      <c r="J38">
        <f t="shared" si="0"/>
        <v>0</v>
      </c>
      <c r="K38">
        <f t="shared" si="1"/>
        <v>0</v>
      </c>
      <c r="L38">
        <f t="shared" si="2"/>
        <v>1.5421114285714288</v>
      </c>
      <c r="M38">
        <f t="shared" si="3"/>
        <v>0.61684457142857152</v>
      </c>
    </row>
    <row r="39" spans="1:13" x14ac:dyDescent="0.3">
      <c r="D39" t="s">
        <v>93</v>
      </c>
      <c r="E39" t="s">
        <v>198</v>
      </c>
      <c r="G39">
        <v>32</v>
      </c>
      <c r="H39">
        <v>2</v>
      </c>
      <c r="I39">
        <v>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</row>
    <row r="46" spans="1:13" x14ac:dyDescent="0.3">
      <c r="H46" s="14" t="s">
        <v>61</v>
      </c>
      <c r="I46" s="14" t="s">
        <v>62</v>
      </c>
      <c r="J46" s="15" t="s">
        <v>89</v>
      </c>
    </row>
    <row r="47" spans="1:13" x14ac:dyDescent="0.3">
      <c r="G47" t="s">
        <v>199</v>
      </c>
      <c r="H47" t="s">
        <v>54</v>
      </c>
      <c r="I47" t="s">
        <v>48</v>
      </c>
      <c r="J47" t="s">
        <v>49</v>
      </c>
    </row>
    <row r="48" spans="1:13" x14ac:dyDescent="0.3">
      <c r="G48" t="s">
        <v>200</v>
      </c>
      <c r="H48" t="s">
        <v>47</v>
      </c>
      <c r="I48" t="s">
        <v>47</v>
      </c>
      <c r="J48" t="s">
        <v>195</v>
      </c>
    </row>
    <row r="51" spans="7:12" x14ac:dyDescent="0.3">
      <c r="H51" s="14" t="s">
        <v>61</v>
      </c>
      <c r="I51" s="14" t="s">
        <v>62</v>
      </c>
      <c r="J51" s="15" t="s">
        <v>89</v>
      </c>
      <c r="K51" t="s">
        <v>204</v>
      </c>
      <c r="L51" t="s">
        <v>205</v>
      </c>
    </row>
    <row r="52" spans="7:12" x14ac:dyDescent="0.3">
      <c r="G52" s="14" t="s">
        <v>201</v>
      </c>
      <c r="H52" t="str">
        <f>H47</f>
        <v>Canada</v>
      </c>
      <c r="I52" t="s">
        <v>47</v>
      </c>
      <c r="J52" t="s">
        <v>195</v>
      </c>
      <c r="K52">
        <v>85</v>
      </c>
      <c r="L52">
        <f>K52/SUM($K$52:$K$54)</f>
        <v>0.34</v>
      </c>
    </row>
    <row r="53" spans="7:12" x14ac:dyDescent="0.3">
      <c r="G53" s="14" t="s">
        <v>202</v>
      </c>
      <c r="H53" t="s">
        <v>47</v>
      </c>
      <c r="I53" t="str">
        <f>I47</f>
        <v>Abroad</v>
      </c>
      <c r="J53" t="s">
        <v>195</v>
      </c>
      <c r="K53">
        <v>65</v>
      </c>
      <c r="L53">
        <f t="shared" ref="L53" si="6">K53/SUM($K$52:$K$54)</f>
        <v>0.26</v>
      </c>
    </row>
    <row r="54" spans="7:12" x14ac:dyDescent="0.3">
      <c r="G54" s="15" t="s">
        <v>203</v>
      </c>
      <c r="H54" t="s">
        <v>47</v>
      </c>
      <c r="I54" t="s">
        <v>47</v>
      </c>
      <c r="J54" t="str">
        <f>J48</f>
        <v>No job</v>
      </c>
      <c r="K54">
        <v>100</v>
      </c>
      <c r="L54">
        <f>K54/SUM($K$52:$K$54)</f>
        <v>0.4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C220-6D95-FC46-9770-36F04CBBEB77}">
  <dimension ref="A1:R53"/>
  <sheetViews>
    <sheetView workbookViewId="0">
      <selection activeCell="C26" sqref="C26"/>
    </sheetView>
  </sheetViews>
  <sheetFormatPr defaultColWidth="11.44140625" defaultRowHeight="14.4" x14ac:dyDescent="0.3"/>
  <cols>
    <col min="1" max="1" width="44.77734375" bestFit="1" customWidth="1"/>
    <col min="2" max="2" width="17.33203125" bestFit="1" customWidth="1"/>
    <col min="3" max="3" width="11.6640625" bestFit="1" customWidth="1"/>
    <col min="7" max="8" width="11.6640625" bestFit="1" customWidth="1"/>
    <col min="9" max="9" width="10.6640625" bestFit="1" customWidth="1"/>
  </cols>
  <sheetData>
    <row r="1" spans="1:18" ht="15" thickBot="1" x14ac:dyDescent="0.35">
      <c r="A1" t="s">
        <v>82</v>
      </c>
      <c r="F1" t="s">
        <v>84</v>
      </c>
    </row>
    <row r="2" spans="1:18" x14ac:dyDescent="0.3">
      <c r="A2" s="18"/>
      <c r="B2" s="19" t="s">
        <v>49</v>
      </c>
      <c r="C2" s="19" t="s">
        <v>51</v>
      </c>
      <c r="D2" s="20" t="s">
        <v>81</v>
      </c>
      <c r="F2" s="29"/>
      <c r="G2" s="30" t="str">
        <f>B2</f>
        <v>MBA</v>
      </c>
      <c r="H2" s="30" t="str">
        <f t="shared" ref="H2:I2" si="0">C2</f>
        <v>MS</v>
      </c>
      <c r="I2" s="30" t="str">
        <f t="shared" si="0"/>
        <v>MCOM</v>
      </c>
    </row>
    <row r="3" spans="1:18" x14ac:dyDescent="0.3">
      <c r="A3" s="21" t="s">
        <v>47</v>
      </c>
      <c r="B3" s="22">
        <f>(30000*((1.08)^5))</f>
        <v>44079.842304000013</v>
      </c>
      <c r="D3" s="23">
        <f>(15000*((1.08)^5))</f>
        <v>22039.921152000006</v>
      </c>
      <c r="F3" s="32" t="str">
        <f>A3</f>
        <v>India</v>
      </c>
      <c r="G3" s="17">
        <f>30000</f>
        <v>30000</v>
      </c>
      <c r="H3" s="28"/>
      <c r="I3" s="33">
        <v>15000</v>
      </c>
    </row>
    <row r="4" spans="1:18" x14ac:dyDescent="0.3">
      <c r="A4" s="21" t="s">
        <v>52</v>
      </c>
      <c r="B4" s="22">
        <f>(62000*((1.08)^5))</f>
        <v>91098.340761600019</v>
      </c>
      <c r="C4" s="22">
        <f>(50000*((1.08)^5))</f>
        <v>73466.403840000014</v>
      </c>
      <c r="D4" s="24"/>
      <c r="F4" s="32" t="str">
        <f t="shared" ref="F4:F6" si="1">A4</f>
        <v>USA</v>
      </c>
      <c r="G4" s="17">
        <v>62000</v>
      </c>
      <c r="H4" s="17">
        <v>50000</v>
      </c>
      <c r="I4" s="34"/>
      <c r="R4">
        <f>16+90</f>
        <v>106</v>
      </c>
    </row>
    <row r="5" spans="1:18" x14ac:dyDescent="0.3">
      <c r="A5" s="21" t="s">
        <v>53</v>
      </c>
      <c r="B5" s="22">
        <f>(70000*((1.08)^5))</f>
        <v>102852.96537600002</v>
      </c>
      <c r="C5" s="22">
        <f>(49000*((1.08)^5))</f>
        <v>71997.075763200017</v>
      </c>
      <c r="D5" s="24"/>
      <c r="F5" s="32" t="str">
        <f t="shared" si="1"/>
        <v>UK</v>
      </c>
      <c r="G5" s="17">
        <v>70000</v>
      </c>
      <c r="H5" s="17">
        <v>49000</v>
      </c>
      <c r="I5" s="34"/>
      <c r="R5">
        <f>R4/2</f>
        <v>53</v>
      </c>
    </row>
    <row r="6" spans="1:18" ht="15" thickBot="1" x14ac:dyDescent="0.35">
      <c r="A6" s="25" t="s">
        <v>83</v>
      </c>
      <c r="B6" s="26">
        <f>(48000*((1.08)^5))</f>
        <v>70527.74768640002</v>
      </c>
      <c r="C6" s="26">
        <f>(50000*((1.08)^5))</f>
        <v>73466.403840000014</v>
      </c>
      <c r="D6" s="27"/>
      <c r="F6" s="32" t="str">
        <f t="shared" si="1"/>
        <v>CANADA</v>
      </c>
      <c r="G6" s="36">
        <v>48000</v>
      </c>
      <c r="H6" s="36">
        <v>50000</v>
      </c>
      <c r="I6" s="37"/>
    </row>
    <row r="9" spans="1:18" ht="15" thickBot="1" x14ac:dyDescent="0.35">
      <c r="A9" t="s">
        <v>85</v>
      </c>
    </row>
    <row r="10" spans="1:18" x14ac:dyDescent="0.3">
      <c r="A10" s="18" t="s">
        <v>49</v>
      </c>
      <c r="B10" s="19" t="s">
        <v>86</v>
      </c>
      <c r="C10" s="19" t="s">
        <v>87</v>
      </c>
      <c r="D10" s="20" t="s">
        <v>88</v>
      </c>
      <c r="F10" s="18" t="s">
        <v>51</v>
      </c>
      <c r="G10" s="19" t="s">
        <v>86</v>
      </c>
      <c r="H10" s="19" t="s">
        <v>87</v>
      </c>
      <c r="I10" s="20" t="s">
        <v>88</v>
      </c>
      <c r="K10" s="29" t="s">
        <v>81</v>
      </c>
      <c r="L10" s="30" t="s">
        <v>86</v>
      </c>
      <c r="M10" s="30" t="s">
        <v>87</v>
      </c>
      <c r="N10" s="31" t="s">
        <v>88</v>
      </c>
    </row>
    <row r="11" spans="1:18" x14ac:dyDescent="0.3">
      <c r="A11" s="21" t="str">
        <f>A3</f>
        <v>India</v>
      </c>
      <c r="B11">
        <f>(30000*(1.1)^5)</f>
        <v>48315.300000000017</v>
      </c>
      <c r="C11">
        <f>AVERAGE(B11,D11)*(1.1)^5</f>
        <v>48243.609757860038</v>
      </c>
      <c r="D11" s="24">
        <f>7200*(1.1)^5</f>
        <v>11595.672000000004</v>
      </c>
      <c r="F11" s="21" t="str">
        <f>F3</f>
        <v>India</v>
      </c>
      <c r="G11" s="39"/>
      <c r="H11" s="39"/>
      <c r="I11" s="40"/>
      <c r="K11" s="32" t="s">
        <v>47</v>
      </c>
      <c r="L11" s="28">
        <f>25000*(1.1)^5</f>
        <v>40262.750000000015</v>
      </c>
      <c r="M11" s="28">
        <f>AVERAGE(N11,L11)*(1.1)^5</f>
        <v>41888.940730615031</v>
      </c>
      <c r="N11" s="34">
        <f>7300*(1.1)^5</f>
        <v>11756.723000000004</v>
      </c>
    </row>
    <row r="12" spans="1:18" x14ac:dyDescent="0.3">
      <c r="A12" s="21" t="str">
        <f t="shared" ref="A12:A14" si="2">A4</f>
        <v>USA</v>
      </c>
      <c r="B12">
        <f>230000*(1.1)^5</f>
        <v>370417.3000000001</v>
      </c>
      <c r="C12">
        <f>140000*(1.1)^5</f>
        <v>225471.40000000008</v>
      </c>
      <c r="D12" s="24">
        <f>(40*40*4*12)*(1.1)^5</f>
        <v>123687.16800000005</v>
      </c>
      <c r="F12" s="21" t="str">
        <f t="shared" ref="F12:F14" si="3">F4</f>
        <v>USA</v>
      </c>
      <c r="G12">
        <f>180000*(1.1)^5</f>
        <v>289891.8000000001</v>
      </c>
      <c r="H12">
        <f>120000*(1.1)^5</f>
        <v>193261.20000000007</v>
      </c>
      <c r="I12" s="24">
        <f>85000*(1.1)^5</f>
        <v>136893.35000000003</v>
      </c>
      <c r="K12" s="32" t="s">
        <v>52</v>
      </c>
      <c r="L12" s="41"/>
      <c r="M12" s="41"/>
      <c r="N12" s="42"/>
    </row>
    <row r="13" spans="1:18" x14ac:dyDescent="0.3">
      <c r="A13" s="21" t="str">
        <f t="shared" si="2"/>
        <v>UK</v>
      </c>
      <c r="B13">
        <f>220000*(1.1)^5</f>
        <v>354312.20000000013</v>
      </c>
      <c r="C13">
        <f>75000*(1.1)^5</f>
        <v>120788.25000000004</v>
      </c>
      <c r="D13" s="24">
        <f>30000*(1.1)^5</f>
        <v>48315.300000000017</v>
      </c>
      <c r="F13" s="21" t="str">
        <f t="shared" si="3"/>
        <v>UK</v>
      </c>
      <c r="G13">
        <f>130000*(1.1)^5</f>
        <v>209366.30000000008</v>
      </c>
      <c r="H13">
        <f>80000*(1.1)^5</f>
        <v>128840.80000000005</v>
      </c>
      <c r="I13" s="24">
        <f>56000*(1.1)^5</f>
        <v>90188.560000000027</v>
      </c>
      <c r="K13" s="32" t="s">
        <v>53</v>
      </c>
      <c r="L13" s="41"/>
      <c r="M13" s="41"/>
      <c r="N13" s="42"/>
    </row>
    <row r="14" spans="1:18" ht="15" thickBot="1" x14ac:dyDescent="0.35">
      <c r="A14" s="25" t="str">
        <f t="shared" si="2"/>
        <v>CANADA</v>
      </c>
      <c r="B14" s="38">
        <f>200000*(1.1)^5</f>
        <v>322102.00000000012</v>
      </c>
      <c r="C14" s="38">
        <f>90000*(1.1)^5</f>
        <v>144945.90000000005</v>
      </c>
      <c r="D14" s="27">
        <f>44000*(1.1)^5</f>
        <v>70862.440000000031</v>
      </c>
      <c r="F14" s="25" t="str">
        <f t="shared" si="3"/>
        <v>CANADA</v>
      </c>
      <c r="G14" s="38">
        <f>140000*(1.1)^5</f>
        <v>225471.40000000008</v>
      </c>
      <c r="H14" s="38">
        <f>110000*(1.1)^5</f>
        <v>177156.10000000006</v>
      </c>
      <c r="I14" s="27">
        <f>75000*(1.1)^5</f>
        <v>120788.25000000004</v>
      </c>
      <c r="K14" s="35" t="s">
        <v>83</v>
      </c>
      <c r="L14" s="43"/>
      <c r="M14" s="43"/>
      <c r="N14" s="44"/>
    </row>
    <row r="16" spans="1:18" x14ac:dyDescent="0.3">
      <c r="A16" t="s">
        <v>132</v>
      </c>
      <c r="B16">
        <f>5397.39*(1.1)^5</f>
        <v>8692.5505689000038</v>
      </c>
    </row>
    <row r="17" spans="1:7" x14ac:dyDescent="0.3">
      <c r="A17" t="s">
        <v>133</v>
      </c>
      <c r="B17">
        <f>B16/2</f>
        <v>4346.2752844500019</v>
      </c>
    </row>
    <row r="18" spans="1:7" x14ac:dyDescent="0.3">
      <c r="A18" t="s">
        <v>134</v>
      </c>
      <c r="B18">
        <f>B16*0.8</f>
        <v>6954.0404551200036</v>
      </c>
    </row>
    <row r="19" spans="1:7" x14ac:dyDescent="0.3">
      <c r="A19" t="s">
        <v>135</v>
      </c>
      <c r="B19">
        <f>B17*0.8</f>
        <v>3477.0202275600018</v>
      </c>
    </row>
    <row r="21" spans="1:7" x14ac:dyDescent="0.3">
      <c r="B21" s="46"/>
    </row>
    <row r="22" spans="1:7" x14ac:dyDescent="0.3">
      <c r="B22" s="46"/>
    </row>
    <row r="23" spans="1:7" ht="15" thickBot="1" x14ac:dyDescent="0.35"/>
    <row r="24" spans="1:7" x14ac:dyDescent="0.3">
      <c r="A24" s="28"/>
      <c r="B24" s="48"/>
      <c r="C24" s="28"/>
      <c r="E24" s="50"/>
    </row>
    <row r="25" spans="1:7" x14ac:dyDescent="0.3">
      <c r="A25" s="28"/>
      <c r="B25" s="48"/>
      <c r="C25" s="28"/>
      <c r="E25" s="51"/>
    </row>
    <row r="26" spans="1:7" x14ac:dyDescent="0.3">
      <c r="A26" s="28"/>
      <c r="B26" s="48"/>
      <c r="C26" s="28"/>
      <c r="E26" s="51"/>
    </row>
    <row r="27" spans="1:7" ht="15" thickBot="1" x14ac:dyDescent="0.35">
      <c r="A27" s="28"/>
      <c r="B27" s="48"/>
      <c r="C27" s="28"/>
      <c r="E27" s="52"/>
      <c r="G27" s="47"/>
    </row>
    <row r="28" spans="1:7" ht="15" thickBot="1" x14ac:dyDescent="0.35">
      <c r="A28" s="28"/>
      <c r="B28" s="48"/>
    </row>
    <row r="29" spans="1:7" x14ac:dyDescent="0.3">
      <c r="A29" s="28"/>
      <c r="E29" s="50"/>
    </row>
    <row r="30" spans="1:7" x14ac:dyDescent="0.3">
      <c r="A30" s="28"/>
      <c r="B30" s="48"/>
      <c r="C30" s="28"/>
      <c r="E30" s="51"/>
      <c r="F30" s="49"/>
    </row>
    <row r="31" spans="1:7" x14ac:dyDescent="0.3">
      <c r="A31" s="28"/>
      <c r="B31" s="48"/>
      <c r="C31" s="28"/>
      <c r="E31" s="51"/>
    </row>
    <row r="32" spans="1:7" x14ac:dyDescent="0.3">
      <c r="A32" s="28"/>
      <c r="B32" s="48"/>
      <c r="C32" s="28"/>
      <c r="E32" s="51"/>
    </row>
    <row r="33" spans="1:5" ht="15" thickBot="1" x14ac:dyDescent="0.35">
      <c r="E33" s="52"/>
    </row>
    <row r="34" spans="1:5" x14ac:dyDescent="0.3">
      <c r="A34" s="28"/>
      <c r="B34" s="45"/>
    </row>
    <row r="35" spans="1:5" x14ac:dyDescent="0.3">
      <c r="A35" s="28"/>
      <c r="B35" s="45"/>
    </row>
    <row r="37" spans="1:5" x14ac:dyDescent="0.3">
      <c r="A37" s="28"/>
      <c r="B37" s="45"/>
    </row>
    <row r="38" spans="1:5" x14ac:dyDescent="0.3">
      <c r="A38" s="28"/>
      <c r="B38" s="45"/>
    </row>
    <row r="40" spans="1:5" x14ac:dyDescent="0.3">
      <c r="A40" s="28"/>
      <c r="B40" s="48"/>
    </row>
    <row r="41" spans="1:5" x14ac:dyDescent="0.3">
      <c r="A41" s="28"/>
      <c r="B41" s="48"/>
    </row>
    <row r="43" spans="1:5" x14ac:dyDescent="0.3">
      <c r="A43" s="28"/>
      <c r="B43" s="45"/>
    </row>
    <row r="44" spans="1:5" x14ac:dyDescent="0.3">
      <c r="A44" s="28"/>
      <c r="B44" s="45"/>
    </row>
    <row r="46" spans="1:5" x14ac:dyDescent="0.3">
      <c r="A46" s="28"/>
      <c r="B46" s="45"/>
    </row>
    <row r="47" spans="1:5" x14ac:dyDescent="0.3">
      <c r="A47" s="28"/>
      <c r="B47" s="45"/>
    </row>
    <row r="49" spans="1:2" x14ac:dyDescent="0.3">
      <c r="A49" s="28"/>
      <c r="B49" s="45"/>
    </row>
    <row r="50" spans="1:2" x14ac:dyDescent="0.3">
      <c r="A50" s="28"/>
      <c r="B50" s="45">
        <f>14.9%</f>
        <v>0.14899999999999999</v>
      </c>
    </row>
    <row r="51" spans="1:2" x14ac:dyDescent="0.3">
      <c r="A51" s="28"/>
      <c r="B51" s="45"/>
    </row>
    <row r="52" spans="1:2" x14ac:dyDescent="0.3">
      <c r="A52" s="28" t="s">
        <v>96</v>
      </c>
    </row>
    <row r="53" spans="1:2" x14ac:dyDescent="0.3">
      <c r="A53" s="28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E14E-0B6B-47A7-B355-5307A3076B9A}">
  <dimension ref="A1:P49"/>
  <sheetViews>
    <sheetView zoomScale="150" workbookViewId="0">
      <selection activeCell="AB2" sqref="AB2"/>
    </sheetView>
  </sheetViews>
  <sheetFormatPr defaultColWidth="8.77734375" defaultRowHeight="14.4" x14ac:dyDescent="0.3"/>
  <cols>
    <col min="1" max="1" width="13" style="15" bestFit="1" customWidth="1"/>
    <col min="2" max="2" width="10.44140625" style="13" bestFit="1" customWidth="1"/>
    <col min="3" max="3" width="13" style="15" bestFit="1" customWidth="1"/>
    <col min="4" max="4" width="10.44140625" style="13" bestFit="1" customWidth="1"/>
    <col min="5" max="5" width="13" style="15" bestFit="1" customWidth="1"/>
    <col min="6" max="6" width="10.44140625" style="13" bestFit="1" customWidth="1"/>
    <col min="7" max="7" width="13" style="15" bestFit="1" customWidth="1"/>
    <col min="8" max="8" width="10.44140625" style="13" bestFit="1" customWidth="1"/>
    <col min="9" max="9" width="13" style="15" bestFit="1" customWidth="1"/>
    <col min="10" max="10" width="10.44140625" style="13" bestFit="1" customWidth="1"/>
    <col min="11" max="11" width="13" style="15" bestFit="1" customWidth="1"/>
    <col min="12" max="12" width="10.44140625" style="13" bestFit="1" customWidth="1"/>
    <col min="13" max="13" width="13" style="15" bestFit="1" customWidth="1"/>
    <col min="14" max="14" width="10.44140625" style="13" bestFit="1" customWidth="1"/>
  </cols>
  <sheetData>
    <row r="1" spans="1:16" x14ac:dyDescent="0.3">
      <c r="A1" s="14" t="s">
        <v>55</v>
      </c>
      <c r="B1" s="12" t="s">
        <v>65</v>
      </c>
      <c r="C1" s="14" t="s">
        <v>59</v>
      </c>
      <c r="D1" s="12" t="s">
        <v>65</v>
      </c>
      <c r="E1" s="14" t="s">
        <v>60</v>
      </c>
      <c r="F1" s="12" t="s">
        <v>66</v>
      </c>
      <c r="G1" s="14" t="s">
        <v>61</v>
      </c>
      <c r="H1" s="12" t="s">
        <v>66</v>
      </c>
      <c r="I1" s="14" t="s">
        <v>62</v>
      </c>
      <c r="J1" s="12" t="s">
        <v>66</v>
      </c>
      <c r="K1" s="14" t="s">
        <v>63</v>
      </c>
      <c r="L1" s="12" t="s">
        <v>66</v>
      </c>
      <c r="M1" s="14" t="s">
        <v>64</v>
      </c>
      <c r="N1" s="12" t="s">
        <v>66</v>
      </c>
      <c r="P1" t="s">
        <v>67</v>
      </c>
    </row>
    <row r="2" spans="1:16" x14ac:dyDescent="0.3">
      <c r="A2" s="14">
        <f>690/800</f>
        <v>0.86250000000000004</v>
      </c>
      <c r="B2" s="12">
        <f>100*((MAX($A$2:$A$49)-A2)/(MAX($A$2:$A$49)-MIN($A$2:$A$49)))</f>
        <v>36.249999999999986</v>
      </c>
      <c r="C2" s="14">
        <v>4</v>
      </c>
      <c r="D2" s="12">
        <f>100*((MAX($C$2:$C$49)-C2)/(MAX($C$2:$C$49)-MIN($C$2:$C$49)))</f>
        <v>0</v>
      </c>
      <c r="E2" s="14">
        <v>1</v>
      </c>
      <c r="F2" s="12">
        <f>100*((E2-MIN($E$2:$E$49))/(MAX($E$2:$E$49)-MIN($E$2:$E$49)))</f>
        <v>100</v>
      </c>
      <c r="G2" s="14">
        <v>32</v>
      </c>
      <c r="H2" s="12" t="b">
        <f>Utilities!M1=100*((G2-MIN($G$2:$G$49))/(MAX($G$2:$G$49)-MIN($G$2:$G$49)))</f>
        <v>0</v>
      </c>
      <c r="I2" s="14">
        <v>39</v>
      </c>
      <c r="J2" s="12">
        <f>100*((I2-MIN($I$2:$I$49))/(MAX($I$2:$I$49)-MIN($I$2:$I$49)))</f>
        <v>100</v>
      </c>
      <c r="K2" s="14">
        <v>78</v>
      </c>
      <c r="L2" s="12">
        <f>100*((K2-MIN($K$2:$K$49))/(MAX($K$2:$K$49)-MIN($K$2:$K$49)))</f>
        <v>100</v>
      </c>
      <c r="M2" s="14">
        <v>5</v>
      </c>
      <c r="N2" s="12">
        <f>100*((M2-MIN($M$2:$M$49))/(MAX($M$2:$M$49)-MIN($M$2:$M$49)))</f>
        <v>0</v>
      </c>
      <c r="P2" s="16">
        <f>B2+D2+F2+H2+J2+L2+N2</f>
        <v>336.25</v>
      </c>
    </row>
    <row r="3" spans="1:16" ht="17.55" customHeight="1" x14ac:dyDescent="0.3">
      <c r="A3" s="14">
        <f>A2</f>
        <v>0.86250000000000004</v>
      </c>
      <c r="B3" s="12">
        <f t="shared" ref="B3:B49" si="0">100*((MAX($A$2:$A$49)-A3)/(MAX($A$2:$A$49)-MIN($A$2:$A$49)))</f>
        <v>36.249999999999986</v>
      </c>
      <c r="C3" s="14">
        <v>4</v>
      </c>
      <c r="D3" s="12">
        <f t="shared" ref="D3:D49" si="1">100*((MAX($C$2:$C$49)-C3)/(MAX($C$2:$C$49)-MIN($C$2:$C$49)))</f>
        <v>0</v>
      </c>
      <c r="E3" s="14">
        <v>1</v>
      </c>
      <c r="F3" s="12">
        <f t="shared" ref="F3:F49" si="2">100*((E3-MIN($E$2:$E$49))/(MAX($E$2:$E$49)-MIN($E$2:$E$49)))</f>
        <v>100</v>
      </c>
      <c r="G3" s="14">
        <v>32</v>
      </c>
      <c r="H3" s="12">
        <f t="shared" ref="H3:H49" si="3">100*((G3-MIN($G$2:$G$49))/(MAX($G$2:$G$49)-MIN($G$2:$G$49)))</f>
        <v>100</v>
      </c>
      <c r="I3" s="14">
        <v>39</v>
      </c>
      <c r="J3" s="12">
        <f t="shared" ref="J3:J49" si="4">100*((I3-MIN($I$2:$I$49))/(MAX($I$2:$I$49)-MIN($I$2:$I$49)))</f>
        <v>100</v>
      </c>
      <c r="K3" s="14">
        <v>78</v>
      </c>
      <c r="L3" s="12">
        <f t="shared" ref="L3:L49" si="5">100*((K3-MIN($K$2:$K$49))/(MAX($K$2:$K$49)-MIN($K$2:$K$49)))</f>
        <v>100</v>
      </c>
      <c r="M3" s="14">
        <v>5</v>
      </c>
      <c r="N3" s="12">
        <f t="shared" ref="N3:N49" si="6">100*((M3-MIN($M$2:$M$49))/(MAX($M$2:$M$49)-MIN($M$2:$M$49)))</f>
        <v>0</v>
      </c>
      <c r="P3" s="16">
        <f>B3+D3+F3+H3+J3+L3+N3</f>
        <v>436.25</v>
      </c>
    </row>
    <row r="4" spans="1:16" ht="17.55" customHeight="1" x14ac:dyDescent="0.3">
      <c r="A4" s="14">
        <f t="shared" ref="A4:A7" si="7">690/800</f>
        <v>0.86250000000000004</v>
      </c>
      <c r="B4" s="12">
        <f t="shared" si="0"/>
        <v>36.249999999999986</v>
      </c>
      <c r="C4" s="14">
        <v>4</v>
      </c>
      <c r="D4" s="12">
        <f t="shared" si="1"/>
        <v>0</v>
      </c>
      <c r="E4" s="14">
        <v>1</v>
      </c>
      <c r="F4" s="12">
        <f t="shared" si="2"/>
        <v>100</v>
      </c>
      <c r="G4" s="14">
        <v>32</v>
      </c>
      <c r="H4" s="12">
        <f t="shared" si="3"/>
        <v>100</v>
      </c>
      <c r="I4" s="14">
        <v>39</v>
      </c>
      <c r="J4" s="12">
        <f t="shared" si="4"/>
        <v>100</v>
      </c>
      <c r="K4" s="14">
        <v>78</v>
      </c>
      <c r="L4" s="12">
        <f t="shared" si="5"/>
        <v>100</v>
      </c>
      <c r="M4" s="14">
        <v>5</v>
      </c>
      <c r="N4" s="12">
        <f t="shared" si="6"/>
        <v>0</v>
      </c>
      <c r="P4" s="16">
        <f t="shared" ref="P4:P49" si="8">B4+D4+F4+H4+J4+L4+N4</f>
        <v>436.25</v>
      </c>
    </row>
    <row r="5" spans="1:16" x14ac:dyDescent="0.3">
      <c r="A5" s="14">
        <f t="shared" si="7"/>
        <v>0.86250000000000004</v>
      </c>
      <c r="B5" s="12">
        <f t="shared" si="0"/>
        <v>36.249999999999986</v>
      </c>
      <c r="C5" s="14">
        <v>4</v>
      </c>
      <c r="D5" s="12">
        <f t="shared" si="1"/>
        <v>0</v>
      </c>
      <c r="E5" s="14">
        <v>0</v>
      </c>
      <c r="F5" s="12">
        <f t="shared" si="2"/>
        <v>0</v>
      </c>
      <c r="G5" s="14">
        <v>32</v>
      </c>
      <c r="H5" s="12">
        <f t="shared" si="3"/>
        <v>100</v>
      </c>
      <c r="I5" s="14">
        <v>39</v>
      </c>
      <c r="J5" s="12">
        <f t="shared" si="4"/>
        <v>100</v>
      </c>
      <c r="K5" s="14">
        <v>78</v>
      </c>
      <c r="L5" s="12">
        <f t="shared" si="5"/>
        <v>100</v>
      </c>
      <c r="M5" s="14">
        <v>5</v>
      </c>
      <c r="N5" s="12">
        <f t="shared" si="6"/>
        <v>0</v>
      </c>
      <c r="P5" s="16">
        <f t="shared" si="8"/>
        <v>336.25</v>
      </c>
    </row>
    <row r="6" spans="1:16" x14ac:dyDescent="0.3">
      <c r="A6" s="14">
        <f t="shared" si="7"/>
        <v>0.86250000000000004</v>
      </c>
      <c r="B6" s="12">
        <f t="shared" si="0"/>
        <v>36.249999999999986</v>
      </c>
      <c r="C6" s="14">
        <v>4</v>
      </c>
      <c r="D6" s="12">
        <f t="shared" si="1"/>
        <v>0</v>
      </c>
      <c r="E6" s="14">
        <v>0</v>
      </c>
      <c r="F6" s="12">
        <f t="shared" si="2"/>
        <v>0</v>
      </c>
      <c r="G6" s="14">
        <v>32</v>
      </c>
      <c r="H6" s="12">
        <f t="shared" si="3"/>
        <v>100</v>
      </c>
      <c r="I6" s="14">
        <v>39</v>
      </c>
      <c r="J6" s="12">
        <f t="shared" si="4"/>
        <v>100</v>
      </c>
      <c r="K6" s="14">
        <v>78</v>
      </c>
      <c r="L6" s="12">
        <f t="shared" si="5"/>
        <v>100</v>
      </c>
      <c r="M6" s="14">
        <v>5</v>
      </c>
      <c r="N6" s="12">
        <f t="shared" si="6"/>
        <v>0</v>
      </c>
      <c r="P6" s="16">
        <f t="shared" si="8"/>
        <v>336.25</v>
      </c>
    </row>
    <row r="7" spans="1:16" x14ac:dyDescent="0.3">
      <c r="A7" s="14">
        <f t="shared" si="7"/>
        <v>0.86250000000000004</v>
      </c>
      <c r="B7" s="12">
        <f t="shared" si="0"/>
        <v>36.249999999999986</v>
      </c>
      <c r="C7" s="14">
        <v>4</v>
      </c>
      <c r="D7" s="12">
        <f t="shared" si="1"/>
        <v>0</v>
      </c>
      <c r="E7" s="14">
        <v>0</v>
      </c>
      <c r="F7" s="12">
        <f t="shared" si="2"/>
        <v>0</v>
      </c>
      <c r="G7" s="14">
        <v>32</v>
      </c>
      <c r="H7" s="12">
        <f t="shared" si="3"/>
        <v>100</v>
      </c>
      <c r="I7" s="14">
        <v>39</v>
      </c>
      <c r="J7" s="12">
        <f t="shared" si="4"/>
        <v>100</v>
      </c>
      <c r="K7" s="14">
        <v>78</v>
      </c>
      <c r="L7" s="12">
        <f t="shared" si="5"/>
        <v>100</v>
      </c>
      <c r="M7" s="14">
        <v>5</v>
      </c>
      <c r="N7" s="12">
        <f t="shared" si="6"/>
        <v>0</v>
      </c>
      <c r="P7" s="16">
        <f t="shared" si="8"/>
        <v>336.25</v>
      </c>
    </row>
    <row r="8" spans="1:16" x14ac:dyDescent="0.3">
      <c r="A8" s="14">
        <f t="shared" ref="A8:A13" si="9">0.75</f>
        <v>0.75</v>
      </c>
      <c r="B8" s="12">
        <f t="shared" si="0"/>
        <v>100</v>
      </c>
      <c r="C8" s="14">
        <v>4</v>
      </c>
      <c r="D8" s="12">
        <f t="shared" si="1"/>
        <v>0</v>
      </c>
      <c r="E8" s="14">
        <v>1</v>
      </c>
      <c r="F8" s="12">
        <f t="shared" si="2"/>
        <v>100</v>
      </c>
      <c r="G8" s="14">
        <v>32</v>
      </c>
      <c r="H8" s="12">
        <f t="shared" si="3"/>
        <v>100</v>
      </c>
      <c r="I8" s="14">
        <v>39</v>
      </c>
      <c r="J8" s="12">
        <f t="shared" si="4"/>
        <v>100</v>
      </c>
      <c r="K8" s="14">
        <v>78</v>
      </c>
      <c r="L8" s="12">
        <f t="shared" si="5"/>
        <v>100</v>
      </c>
      <c r="M8" s="14">
        <v>5</v>
      </c>
      <c r="N8" s="12">
        <f t="shared" si="6"/>
        <v>0</v>
      </c>
      <c r="P8" s="16">
        <f t="shared" si="8"/>
        <v>500</v>
      </c>
    </row>
    <row r="9" spans="1:16" x14ac:dyDescent="0.3">
      <c r="A9" s="14">
        <f t="shared" si="9"/>
        <v>0.75</v>
      </c>
      <c r="B9" s="12">
        <f t="shared" si="0"/>
        <v>100</v>
      </c>
      <c r="C9" s="14">
        <v>4</v>
      </c>
      <c r="D9" s="12">
        <f t="shared" si="1"/>
        <v>0</v>
      </c>
      <c r="E9" s="14">
        <v>1</v>
      </c>
      <c r="F9" s="12">
        <f t="shared" si="2"/>
        <v>100</v>
      </c>
      <c r="G9" s="14">
        <v>32</v>
      </c>
      <c r="H9" s="12">
        <f t="shared" si="3"/>
        <v>100</v>
      </c>
      <c r="I9" s="14">
        <v>39</v>
      </c>
      <c r="J9" s="12">
        <f t="shared" si="4"/>
        <v>100</v>
      </c>
      <c r="K9" s="14">
        <v>78</v>
      </c>
      <c r="L9" s="12">
        <f t="shared" si="5"/>
        <v>100</v>
      </c>
      <c r="M9" s="14">
        <v>5</v>
      </c>
      <c r="N9" s="12">
        <f t="shared" si="6"/>
        <v>0</v>
      </c>
      <c r="P9" s="16">
        <f t="shared" si="8"/>
        <v>500</v>
      </c>
    </row>
    <row r="10" spans="1:16" x14ac:dyDescent="0.3">
      <c r="A10" s="14">
        <f t="shared" si="9"/>
        <v>0.75</v>
      </c>
      <c r="B10" s="12">
        <f t="shared" si="0"/>
        <v>100</v>
      </c>
      <c r="C10" s="14">
        <v>4</v>
      </c>
      <c r="D10" s="12">
        <f t="shared" si="1"/>
        <v>0</v>
      </c>
      <c r="E10" s="14">
        <v>1</v>
      </c>
      <c r="F10" s="12">
        <f t="shared" si="2"/>
        <v>100</v>
      </c>
      <c r="G10" s="14">
        <v>32</v>
      </c>
      <c r="H10" s="12">
        <f t="shared" si="3"/>
        <v>100</v>
      </c>
      <c r="I10" s="14">
        <v>39</v>
      </c>
      <c r="J10" s="12">
        <f t="shared" si="4"/>
        <v>100</v>
      </c>
      <c r="K10" s="14">
        <v>78</v>
      </c>
      <c r="L10" s="12">
        <f t="shared" si="5"/>
        <v>100</v>
      </c>
      <c r="M10" s="14">
        <v>5</v>
      </c>
      <c r="N10" s="12">
        <f t="shared" si="6"/>
        <v>0</v>
      </c>
      <c r="P10" s="16">
        <f t="shared" si="8"/>
        <v>500</v>
      </c>
    </row>
    <row r="11" spans="1:16" x14ac:dyDescent="0.3">
      <c r="A11" s="14">
        <f t="shared" si="9"/>
        <v>0.75</v>
      </c>
      <c r="B11" s="12">
        <f t="shared" si="0"/>
        <v>100</v>
      </c>
      <c r="C11" s="14">
        <v>4</v>
      </c>
      <c r="D11" s="12">
        <f t="shared" si="1"/>
        <v>0</v>
      </c>
      <c r="E11" s="14">
        <v>0</v>
      </c>
      <c r="F11" s="12">
        <f t="shared" si="2"/>
        <v>0</v>
      </c>
      <c r="G11" s="14">
        <v>32</v>
      </c>
      <c r="H11" s="12">
        <f t="shared" si="3"/>
        <v>100</v>
      </c>
      <c r="I11" s="14">
        <v>39</v>
      </c>
      <c r="J11" s="12">
        <f t="shared" si="4"/>
        <v>100</v>
      </c>
      <c r="K11" s="14">
        <v>78</v>
      </c>
      <c r="L11" s="12">
        <f t="shared" si="5"/>
        <v>100</v>
      </c>
      <c r="M11" s="14">
        <v>5</v>
      </c>
      <c r="N11" s="12">
        <f t="shared" si="6"/>
        <v>0</v>
      </c>
      <c r="P11" s="16">
        <f t="shared" si="8"/>
        <v>400</v>
      </c>
    </row>
    <row r="12" spans="1:16" x14ac:dyDescent="0.3">
      <c r="A12" s="14">
        <f t="shared" si="9"/>
        <v>0.75</v>
      </c>
      <c r="B12" s="12">
        <f t="shared" si="0"/>
        <v>100</v>
      </c>
      <c r="C12" s="14">
        <v>4</v>
      </c>
      <c r="D12" s="12">
        <f t="shared" si="1"/>
        <v>0</v>
      </c>
      <c r="E12" s="14">
        <v>0</v>
      </c>
      <c r="F12" s="12">
        <f t="shared" si="2"/>
        <v>0</v>
      </c>
      <c r="G12" s="14">
        <v>32</v>
      </c>
      <c r="H12" s="12">
        <f t="shared" si="3"/>
        <v>100</v>
      </c>
      <c r="I12" s="14">
        <v>39</v>
      </c>
      <c r="J12" s="12">
        <f t="shared" si="4"/>
        <v>100</v>
      </c>
      <c r="K12" s="14">
        <v>78</v>
      </c>
      <c r="L12" s="12">
        <f t="shared" si="5"/>
        <v>100</v>
      </c>
      <c r="M12" s="14">
        <v>5</v>
      </c>
      <c r="N12" s="12">
        <f t="shared" si="6"/>
        <v>0</v>
      </c>
      <c r="P12" s="16">
        <f t="shared" si="8"/>
        <v>400</v>
      </c>
    </row>
    <row r="13" spans="1:16" x14ac:dyDescent="0.3">
      <c r="A13" s="14">
        <f t="shared" si="9"/>
        <v>0.75</v>
      </c>
      <c r="B13" s="12">
        <f t="shared" si="0"/>
        <v>100</v>
      </c>
      <c r="C13" s="14">
        <v>4</v>
      </c>
      <c r="D13" s="12">
        <f t="shared" si="1"/>
        <v>0</v>
      </c>
      <c r="E13" s="14">
        <v>0</v>
      </c>
      <c r="F13" s="12">
        <f t="shared" si="2"/>
        <v>0</v>
      </c>
      <c r="G13" s="14">
        <v>32</v>
      </c>
      <c r="H13" s="12">
        <f t="shared" si="3"/>
        <v>100</v>
      </c>
      <c r="I13" s="14">
        <v>39</v>
      </c>
      <c r="J13" s="12">
        <f t="shared" si="4"/>
        <v>100</v>
      </c>
      <c r="K13" s="14">
        <v>78</v>
      </c>
      <c r="L13" s="12">
        <f t="shared" si="5"/>
        <v>100</v>
      </c>
      <c r="M13" s="14">
        <v>5</v>
      </c>
      <c r="N13" s="12">
        <f t="shared" si="6"/>
        <v>0</v>
      </c>
      <c r="P13" s="16">
        <f t="shared" si="8"/>
        <v>400</v>
      </c>
    </row>
    <row r="14" spans="1:16" x14ac:dyDescent="0.3">
      <c r="A14" s="14">
        <f t="shared" ref="A14:A19" si="10">690/800</f>
        <v>0.86250000000000004</v>
      </c>
      <c r="B14" s="12">
        <f t="shared" si="0"/>
        <v>36.249999999999986</v>
      </c>
      <c r="C14" s="14">
        <v>2</v>
      </c>
      <c r="D14" s="12">
        <f t="shared" si="1"/>
        <v>66.666666666666657</v>
      </c>
      <c r="E14" s="14">
        <v>1</v>
      </c>
      <c r="F14" s="12">
        <f t="shared" si="2"/>
        <v>100</v>
      </c>
      <c r="G14" s="14">
        <v>3</v>
      </c>
      <c r="H14" s="12">
        <f t="shared" si="3"/>
        <v>3.3333333333333335</v>
      </c>
      <c r="I14" s="14">
        <v>23</v>
      </c>
      <c r="J14" s="12">
        <f t="shared" si="4"/>
        <v>55.555555555555557</v>
      </c>
      <c r="K14" s="14">
        <v>46</v>
      </c>
      <c r="L14" s="12">
        <f t="shared" si="5"/>
        <v>57.333333333333336</v>
      </c>
      <c r="M14" s="14">
        <v>63</v>
      </c>
      <c r="N14" s="12">
        <f t="shared" si="6"/>
        <v>80.555555555555557</v>
      </c>
      <c r="P14" s="16">
        <f t="shared" si="8"/>
        <v>399.6944444444444</v>
      </c>
    </row>
    <row r="15" spans="1:16" x14ac:dyDescent="0.3">
      <c r="A15" s="14">
        <f t="shared" si="10"/>
        <v>0.86250000000000004</v>
      </c>
      <c r="B15" s="12">
        <f t="shared" si="0"/>
        <v>36.249999999999986</v>
      </c>
      <c r="C15" s="14">
        <v>2</v>
      </c>
      <c r="D15" s="12">
        <f t="shared" si="1"/>
        <v>66.666666666666657</v>
      </c>
      <c r="E15" s="14">
        <v>1</v>
      </c>
      <c r="F15" s="12">
        <f t="shared" si="2"/>
        <v>100</v>
      </c>
      <c r="G15" s="14">
        <v>3</v>
      </c>
      <c r="H15" s="12">
        <f t="shared" si="3"/>
        <v>3.3333333333333335</v>
      </c>
      <c r="I15" s="14">
        <v>23</v>
      </c>
      <c r="J15" s="12">
        <f t="shared" si="4"/>
        <v>55.555555555555557</v>
      </c>
      <c r="K15" s="14">
        <v>46</v>
      </c>
      <c r="L15" s="12">
        <f t="shared" si="5"/>
        <v>57.333333333333336</v>
      </c>
      <c r="M15" s="14">
        <v>63</v>
      </c>
      <c r="N15" s="12">
        <f t="shared" si="6"/>
        <v>80.555555555555557</v>
      </c>
      <c r="P15" s="16">
        <f t="shared" si="8"/>
        <v>399.6944444444444</v>
      </c>
    </row>
    <row r="16" spans="1:16" x14ac:dyDescent="0.3">
      <c r="A16" s="14">
        <f t="shared" si="10"/>
        <v>0.86250000000000004</v>
      </c>
      <c r="B16" s="12">
        <f t="shared" si="0"/>
        <v>36.249999999999986</v>
      </c>
      <c r="C16" s="14">
        <v>2</v>
      </c>
      <c r="D16" s="12">
        <f t="shared" si="1"/>
        <v>66.666666666666657</v>
      </c>
      <c r="E16" s="14">
        <v>1</v>
      </c>
      <c r="F16" s="12">
        <f t="shared" si="2"/>
        <v>100</v>
      </c>
      <c r="G16" s="14">
        <v>3</v>
      </c>
      <c r="H16" s="12">
        <f t="shared" si="3"/>
        <v>3.3333333333333335</v>
      </c>
      <c r="I16" s="14">
        <v>23</v>
      </c>
      <c r="J16" s="12">
        <f t="shared" si="4"/>
        <v>55.555555555555557</v>
      </c>
      <c r="K16" s="14">
        <v>46</v>
      </c>
      <c r="L16" s="12">
        <f t="shared" si="5"/>
        <v>57.333333333333336</v>
      </c>
      <c r="M16" s="14">
        <v>63</v>
      </c>
      <c r="N16" s="12">
        <f t="shared" si="6"/>
        <v>80.555555555555557</v>
      </c>
      <c r="P16" s="16">
        <f t="shared" si="8"/>
        <v>399.6944444444444</v>
      </c>
    </row>
    <row r="17" spans="1:16" x14ac:dyDescent="0.3">
      <c r="A17" s="14">
        <f t="shared" si="10"/>
        <v>0.86250000000000004</v>
      </c>
      <c r="B17" s="12">
        <f t="shared" si="0"/>
        <v>36.249999999999986</v>
      </c>
      <c r="C17" s="14">
        <v>2</v>
      </c>
      <c r="D17" s="12">
        <f t="shared" si="1"/>
        <v>66.666666666666657</v>
      </c>
      <c r="E17" s="14">
        <v>0</v>
      </c>
      <c r="F17" s="12">
        <f t="shared" si="2"/>
        <v>0</v>
      </c>
      <c r="G17" s="14">
        <v>3</v>
      </c>
      <c r="H17" s="12">
        <f t="shared" si="3"/>
        <v>3.3333333333333335</v>
      </c>
      <c r="I17" s="14">
        <v>23</v>
      </c>
      <c r="J17" s="12">
        <f t="shared" si="4"/>
        <v>55.555555555555557</v>
      </c>
      <c r="K17" s="14">
        <v>46</v>
      </c>
      <c r="L17" s="12">
        <f t="shared" si="5"/>
        <v>57.333333333333336</v>
      </c>
      <c r="M17" s="14">
        <v>63</v>
      </c>
      <c r="N17" s="12">
        <f t="shared" si="6"/>
        <v>80.555555555555557</v>
      </c>
      <c r="P17" s="16">
        <f t="shared" si="8"/>
        <v>299.69444444444446</v>
      </c>
    </row>
    <row r="18" spans="1:16" x14ac:dyDescent="0.3">
      <c r="A18" s="14">
        <f t="shared" si="10"/>
        <v>0.86250000000000004</v>
      </c>
      <c r="B18" s="12">
        <f t="shared" si="0"/>
        <v>36.249999999999986</v>
      </c>
      <c r="C18" s="14">
        <v>2</v>
      </c>
      <c r="D18" s="12">
        <f t="shared" si="1"/>
        <v>66.666666666666657</v>
      </c>
      <c r="E18" s="14">
        <v>0</v>
      </c>
      <c r="F18" s="12">
        <f t="shared" si="2"/>
        <v>0</v>
      </c>
      <c r="G18" s="14">
        <v>3</v>
      </c>
      <c r="H18" s="12">
        <f t="shared" si="3"/>
        <v>3.3333333333333335</v>
      </c>
      <c r="I18" s="14">
        <v>23</v>
      </c>
      <c r="J18" s="12">
        <f t="shared" si="4"/>
        <v>55.555555555555557</v>
      </c>
      <c r="K18" s="14">
        <v>46</v>
      </c>
      <c r="L18" s="12">
        <f t="shared" si="5"/>
        <v>57.333333333333336</v>
      </c>
      <c r="M18" s="14">
        <v>63</v>
      </c>
      <c r="N18" s="12">
        <f t="shared" si="6"/>
        <v>80.555555555555557</v>
      </c>
      <c r="P18" s="16">
        <f t="shared" si="8"/>
        <v>299.69444444444446</v>
      </c>
    </row>
    <row r="19" spans="1:16" x14ac:dyDescent="0.3">
      <c r="A19" s="14">
        <f t="shared" si="10"/>
        <v>0.86250000000000004</v>
      </c>
      <c r="B19" s="12">
        <f t="shared" si="0"/>
        <v>36.249999999999986</v>
      </c>
      <c r="C19" s="14">
        <v>2</v>
      </c>
      <c r="D19" s="12">
        <f t="shared" si="1"/>
        <v>66.666666666666657</v>
      </c>
      <c r="E19" s="14">
        <v>0</v>
      </c>
      <c r="F19" s="12">
        <f t="shared" si="2"/>
        <v>0</v>
      </c>
      <c r="G19" s="14">
        <v>3</v>
      </c>
      <c r="H19" s="12">
        <f t="shared" si="3"/>
        <v>3.3333333333333335</v>
      </c>
      <c r="I19" s="14">
        <v>23</v>
      </c>
      <c r="J19" s="12">
        <f t="shared" si="4"/>
        <v>55.555555555555557</v>
      </c>
      <c r="K19" s="14">
        <v>46</v>
      </c>
      <c r="L19" s="12">
        <f t="shared" si="5"/>
        <v>57.333333333333336</v>
      </c>
      <c r="M19" s="14">
        <v>63</v>
      </c>
      <c r="N19" s="12">
        <f t="shared" si="6"/>
        <v>80.555555555555557</v>
      </c>
      <c r="P19" s="16">
        <f t="shared" si="8"/>
        <v>299.69444444444446</v>
      </c>
    </row>
    <row r="20" spans="1:16" x14ac:dyDescent="0.3">
      <c r="A20" s="14">
        <f t="shared" ref="A20:A26" si="11">640/800</f>
        <v>0.8</v>
      </c>
      <c r="B20" s="12">
        <f t="shared" si="0"/>
        <v>71.666666666666643</v>
      </c>
      <c r="C20" s="14">
        <v>1</v>
      </c>
      <c r="D20" s="12">
        <f t="shared" si="1"/>
        <v>100</v>
      </c>
      <c r="E20" s="14">
        <v>1</v>
      </c>
      <c r="F20" s="12">
        <f t="shared" si="2"/>
        <v>100</v>
      </c>
      <c r="G20" s="14">
        <v>4</v>
      </c>
      <c r="H20" s="12">
        <f t="shared" si="3"/>
        <v>6.666666666666667</v>
      </c>
      <c r="I20" s="14">
        <v>13</v>
      </c>
      <c r="J20" s="12">
        <f t="shared" si="4"/>
        <v>27.777777777777779</v>
      </c>
      <c r="K20" s="14">
        <v>17</v>
      </c>
      <c r="L20" s="12">
        <f t="shared" si="5"/>
        <v>18.666666666666668</v>
      </c>
      <c r="M20" s="14">
        <v>77</v>
      </c>
      <c r="N20" s="12">
        <f t="shared" si="6"/>
        <v>100</v>
      </c>
      <c r="P20" s="16">
        <f t="shared" si="8"/>
        <v>424.77777777777777</v>
      </c>
    </row>
    <row r="21" spans="1:16" x14ac:dyDescent="0.3">
      <c r="A21" s="14">
        <f t="shared" si="11"/>
        <v>0.8</v>
      </c>
      <c r="B21" s="12">
        <f t="shared" si="0"/>
        <v>71.666666666666643</v>
      </c>
      <c r="C21" s="14">
        <v>1</v>
      </c>
      <c r="D21" s="12">
        <f t="shared" si="1"/>
        <v>100</v>
      </c>
      <c r="E21" s="14">
        <v>1</v>
      </c>
      <c r="F21" s="12">
        <f t="shared" si="2"/>
        <v>100</v>
      </c>
      <c r="G21" s="14">
        <v>4</v>
      </c>
      <c r="H21" s="12">
        <f t="shared" si="3"/>
        <v>6.666666666666667</v>
      </c>
      <c r="I21" s="14">
        <v>13</v>
      </c>
      <c r="J21" s="12">
        <f t="shared" si="4"/>
        <v>27.777777777777779</v>
      </c>
      <c r="K21" s="14">
        <v>17</v>
      </c>
      <c r="L21" s="12">
        <f t="shared" si="5"/>
        <v>18.666666666666668</v>
      </c>
      <c r="M21" s="14">
        <v>77</v>
      </c>
      <c r="N21" s="12">
        <f t="shared" si="6"/>
        <v>100</v>
      </c>
      <c r="P21" s="16">
        <f t="shared" si="8"/>
        <v>424.77777777777777</v>
      </c>
    </row>
    <row r="22" spans="1:16" x14ac:dyDescent="0.3">
      <c r="A22" s="14">
        <f t="shared" si="11"/>
        <v>0.8</v>
      </c>
      <c r="B22" s="12">
        <f t="shared" si="0"/>
        <v>71.666666666666643</v>
      </c>
      <c r="C22" s="14">
        <v>1</v>
      </c>
      <c r="D22" s="12">
        <f t="shared" si="1"/>
        <v>100</v>
      </c>
      <c r="E22" s="14">
        <v>1</v>
      </c>
      <c r="F22" s="12">
        <f t="shared" si="2"/>
        <v>100</v>
      </c>
      <c r="G22" s="14">
        <v>4</v>
      </c>
      <c r="H22" s="12">
        <f t="shared" si="3"/>
        <v>6.666666666666667</v>
      </c>
      <c r="I22" s="14">
        <v>13</v>
      </c>
      <c r="J22" s="12">
        <f t="shared" si="4"/>
        <v>27.777777777777779</v>
      </c>
      <c r="K22" s="14">
        <v>17</v>
      </c>
      <c r="L22" s="12">
        <f t="shared" si="5"/>
        <v>18.666666666666668</v>
      </c>
      <c r="M22" s="14">
        <v>77</v>
      </c>
      <c r="N22" s="12">
        <f t="shared" si="6"/>
        <v>100</v>
      </c>
      <c r="P22" s="16">
        <f t="shared" si="8"/>
        <v>424.77777777777777</v>
      </c>
    </row>
    <row r="23" spans="1:16" x14ac:dyDescent="0.3">
      <c r="A23" s="14">
        <f t="shared" si="11"/>
        <v>0.8</v>
      </c>
      <c r="B23" s="12">
        <f t="shared" si="0"/>
        <v>71.666666666666643</v>
      </c>
      <c r="C23" s="14">
        <v>1</v>
      </c>
      <c r="D23" s="12">
        <f t="shared" si="1"/>
        <v>100</v>
      </c>
      <c r="E23" s="14">
        <v>0</v>
      </c>
      <c r="F23" s="12">
        <f t="shared" si="2"/>
        <v>0</v>
      </c>
      <c r="G23" s="14">
        <v>4</v>
      </c>
      <c r="H23" s="12">
        <f t="shared" si="3"/>
        <v>6.666666666666667</v>
      </c>
      <c r="I23" s="14">
        <v>13</v>
      </c>
      <c r="J23" s="12">
        <f t="shared" si="4"/>
        <v>27.777777777777779</v>
      </c>
      <c r="K23" s="14">
        <v>17</v>
      </c>
      <c r="L23" s="12">
        <f t="shared" si="5"/>
        <v>18.666666666666668</v>
      </c>
      <c r="M23" s="14">
        <v>77</v>
      </c>
      <c r="N23" s="12">
        <f t="shared" si="6"/>
        <v>100</v>
      </c>
      <c r="P23" s="16">
        <f t="shared" si="8"/>
        <v>324.77777777777771</v>
      </c>
    </row>
    <row r="24" spans="1:16" x14ac:dyDescent="0.3">
      <c r="A24" s="14">
        <f t="shared" si="11"/>
        <v>0.8</v>
      </c>
      <c r="B24" s="12">
        <f t="shared" si="0"/>
        <v>71.666666666666643</v>
      </c>
      <c r="C24" s="14">
        <v>1</v>
      </c>
      <c r="D24" s="12">
        <f t="shared" si="1"/>
        <v>100</v>
      </c>
      <c r="E24" s="14">
        <v>0</v>
      </c>
      <c r="F24" s="12">
        <f t="shared" si="2"/>
        <v>0</v>
      </c>
      <c r="G24" s="14">
        <v>4</v>
      </c>
      <c r="H24" s="12">
        <f t="shared" si="3"/>
        <v>6.666666666666667</v>
      </c>
      <c r="I24" s="14">
        <v>13</v>
      </c>
      <c r="J24" s="12">
        <f t="shared" si="4"/>
        <v>27.777777777777779</v>
      </c>
      <c r="K24" s="14">
        <v>17</v>
      </c>
      <c r="L24" s="12">
        <f t="shared" si="5"/>
        <v>18.666666666666668</v>
      </c>
      <c r="M24" s="14">
        <v>77</v>
      </c>
      <c r="N24" s="12">
        <f t="shared" si="6"/>
        <v>100</v>
      </c>
      <c r="P24" s="16">
        <f t="shared" si="8"/>
        <v>324.77777777777771</v>
      </c>
    </row>
    <row r="25" spans="1:16" x14ac:dyDescent="0.3">
      <c r="A25" s="14">
        <f t="shared" si="11"/>
        <v>0.8</v>
      </c>
      <c r="B25" s="12">
        <f t="shared" si="0"/>
        <v>71.666666666666643</v>
      </c>
      <c r="C25" s="14">
        <v>1</v>
      </c>
      <c r="D25" s="12">
        <f t="shared" si="1"/>
        <v>100</v>
      </c>
      <c r="E25" s="14">
        <v>0</v>
      </c>
      <c r="F25" s="12">
        <f t="shared" si="2"/>
        <v>0</v>
      </c>
      <c r="G25" s="14">
        <v>4</v>
      </c>
      <c r="H25" s="12">
        <f t="shared" si="3"/>
        <v>6.666666666666667</v>
      </c>
      <c r="I25" s="14">
        <v>13</v>
      </c>
      <c r="J25" s="12">
        <f t="shared" si="4"/>
        <v>27.777777777777779</v>
      </c>
      <c r="K25" s="14">
        <v>17</v>
      </c>
      <c r="L25" s="12">
        <f t="shared" si="5"/>
        <v>18.666666666666668</v>
      </c>
      <c r="M25" s="14">
        <v>77</v>
      </c>
      <c r="N25" s="12">
        <f t="shared" si="6"/>
        <v>100</v>
      </c>
      <c r="P25" s="16">
        <f t="shared" si="8"/>
        <v>324.77777777777771</v>
      </c>
    </row>
    <row r="26" spans="1:16" x14ac:dyDescent="0.3">
      <c r="A26" s="14">
        <f t="shared" si="11"/>
        <v>0.8</v>
      </c>
      <c r="B26" s="12">
        <f t="shared" si="0"/>
        <v>71.666666666666643</v>
      </c>
      <c r="C26" s="14">
        <v>1</v>
      </c>
      <c r="D26" s="12">
        <f t="shared" si="1"/>
        <v>100</v>
      </c>
      <c r="E26" s="14">
        <v>1</v>
      </c>
      <c r="F26" s="12">
        <f t="shared" si="2"/>
        <v>100</v>
      </c>
      <c r="G26" s="14">
        <v>2</v>
      </c>
      <c r="H26" s="12">
        <f t="shared" si="3"/>
        <v>0</v>
      </c>
      <c r="I26" s="14">
        <v>3</v>
      </c>
      <c r="J26" s="12">
        <f t="shared" si="4"/>
        <v>0</v>
      </c>
      <c r="K26" s="14">
        <v>3</v>
      </c>
      <c r="L26" s="12">
        <f t="shared" si="5"/>
        <v>0</v>
      </c>
      <c r="M26" s="14">
        <v>56</v>
      </c>
      <c r="N26" s="12">
        <f t="shared" si="6"/>
        <v>70.833333333333343</v>
      </c>
      <c r="P26" s="16">
        <f t="shared" si="8"/>
        <v>342.5</v>
      </c>
    </row>
    <row r="27" spans="1:16" x14ac:dyDescent="0.3">
      <c r="A27" s="14">
        <f>650/800</f>
        <v>0.8125</v>
      </c>
      <c r="B27" s="12">
        <f t="shared" si="0"/>
        <v>64.583333333333343</v>
      </c>
      <c r="C27" s="14">
        <v>3</v>
      </c>
      <c r="D27" s="12">
        <f t="shared" si="1"/>
        <v>33.333333333333329</v>
      </c>
      <c r="E27" s="14">
        <v>1</v>
      </c>
      <c r="F27" s="12">
        <f t="shared" si="2"/>
        <v>100</v>
      </c>
      <c r="G27" s="14">
        <v>2</v>
      </c>
      <c r="H27" s="12">
        <f t="shared" si="3"/>
        <v>0</v>
      </c>
      <c r="I27" s="14">
        <v>3</v>
      </c>
      <c r="J27" s="12">
        <f t="shared" si="4"/>
        <v>0</v>
      </c>
      <c r="K27" s="14">
        <v>3</v>
      </c>
      <c r="L27" s="12">
        <f t="shared" si="5"/>
        <v>0</v>
      </c>
      <c r="M27" s="14">
        <v>56</v>
      </c>
      <c r="N27" s="12">
        <f t="shared" si="6"/>
        <v>70.833333333333343</v>
      </c>
      <c r="P27" s="16">
        <f t="shared" si="8"/>
        <v>268.75</v>
      </c>
    </row>
    <row r="28" spans="1:16" x14ac:dyDescent="0.3">
      <c r="A28" s="14">
        <f>650/800</f>
        <v>0.8125</v>
      </c>
      <c r="B28" s="12">
        <f t="shared" si="0"/>
        <v>64.583333333333343</v>
      </c>
      <c r="C28" s="14">
        <v>3</v>
      </c>
      <c r="D28" s="12">
        <f t="shared" si="1"/>
        <v>33.333333333333329</v>
      </c>
      <c r="E28" s="14">
        <v>1</v>
      </c>
      <c r="F28" s="12">
        <f t="shared" si="2"/>
        <v>100</v>
      </c>
      <c r="G28" s="14">
        <v>2</v>
      </c>
      <c r="H28" s="12">
        <f t="shared" si="3"/>
        <v>0</v>
      </c>
      <c r="I28" s="14">
        <v>3</v>
      </c>
      <c r="J28" s="12">
        <f t="shared" si="4"/>
        <v>0</v>
      </c>
      <c r="K28" s="14">
        <v>3</v>
      </c>
      <c r="L28" s="12">
        <f t="shared" si="5"/>
        <v>0</v>
      </c>
      <c r="M28" s="14">
        <v>56</v>
      </c>
      <c r="N28" s="12">
        <f t="shared" si="6"/>
        <v>70.833333333333343</v>
      </c>
      <c r="P28" s="16">
        <f t="shared" si="8"/>
        <v>268.75</v>
      </c>
    </row>
    <row r="29" spans="1:16" x14ac:dyDescent="0.3">
      <c r="A29" s="14">
        <f>650/800</f>
        <v>0.8125</v>
      </c>
      <c r="B29" s="12">
        <f t="shared" si="0"/>
        <v>64.583333333333343</v>
      </c>
      <c r="C29" s="14">
        <v>3</v>
      </c>
      <c r="D29" s="12">
        <f t="shared" si="1"/>
        <v>33.333333333333329</v>
      </c>
      <c r="E29" s="14">
        <v>0</v>
      </c>
      <c r="F29" s="12">
        <f t="shared" si="2"/>
        <v>0</v>
      </c>
      <c r="G29" s="14">
        <v>2</v>
      </c>
      <c r="H29" s="12">
        <f t="shared" si="3"/>
        <v>0</v>
      </c>
      <c r="I29" s="14">
        <v>3</v>
      </c>
      <c r="J29" s="12">
        <f t="shared" si="4"/>
        <v>0</v>
      </c>
      <c r="K29" s="14">
        <v>3</v>
      </c>
      <c r="L29" s="12">
        <f t="shared" si="5"/>
        <v>0</v>
      </c>
      <c r="M29" s="14">
        <v>56</v>
      </c>
      <c r="N29" s="12">
        <f t="shared" si="6"/>
        <v>70.833333333333343</v>
      </c>
      <c r="P29" s="16">
        <f t="shared" si="8"/>
        <v>168.75</v>
      </c>
    </row>
    <row r="30" spans="1:16" x14ac:dyDescent="0.3">
      <c r="A30" s="14">
        <f>650/800</f>
        <v>0.8125</v>
      </c>
      <c r="B30" s="12">
        <f t="shared" si="0"/>
        <v>64.583333333333343</v>
      </c>
      <c r="C30" s="14">
        <v>3</v>
      </c>
      <c r="D30" s="12">
        <f t="shared" si="1"/>
        <v>33.333333333333329</v>
      </c>
      <c r="E30" s="14">
        <v>0</v>
      </c>
      <c r="F30" s="12">
        <f t="shared" si="2"/>
        <v>0</v>
      </c>
      <c r="G30" s="14">
        <v>2</v>
      </c>
      <c r="H30" s="12">
        <f t="shared" si="3"/>
        <v>0</v>
      </c>
      <c r="I30" s="14">
        <v>3</v>
      </c>
      <c r="J30" s="12">
        <f t="shared" si="4"/>
        <v>0</v>
      </c>
      <c r="K30" s="14">
        <v>3</v>
      </c>
      <c r="L30" s="12">
        <f t="shared" si="5"/>
        <v>0</v>
      </c>
      <c r="M30" s="14">
        <v>56</v>
      </c>
      <c r="N30" s="12">
        <f t="shared" si="6"/>
        <v>70.833333333333343</v>
      </c>
      <c r="P30" s="16">
        <f t="shared" si="8"/>
        <v>168.75</v>
      </c>
    </row>
    <row r="31" spans="1:16" x14ac:dyDescent="0.3">
      <c r="A31" s="14">
        <f>650/800</f>
        <v>0.8125</v>
      </c>
      <c r="B31" s="12">
        <f t="shared" si="0"/>
        <v>64.583333333333343</v>
      </c>
      <c r="C31" s="14">
        <v>3</v>
      </c>
      <c r="D31" s="12">
        <f t="shared" si="1"/>
        <v>33.333333333333329</v>
      </c>
      <c r="E31" s="14">
        <v>0</v>
      </c>
      <c r="F31" s="12">
        <f t="shared" si="2"/>
        <v>0</v>
      </c>
      <c r="G31" s="14">
        <v>2</v>
      </c>
      <c r="H31" s="12">
        <f t="shared" si="3"/>
        <v>0</v>
      </c>
      <c r="I31" s="14">
        <v>3</v>
      </c>
      <c r="J31" s="12">
        <f t="shared" si="4"/>
        <v>0</v>
      </c>
      <c r="K31" s="14">
        <v>3</v>
      </c>
      <c r="L31" s="12">
        <f t="shared" si="5"/>
        <v>0</v>
      </c>
      <c r="M31" s="14">
        <v>56</v>
      </c>
      <c r="N31" s="12">
        <f t="shared" si="6"/>
        <v>70.833333333333343</v>
      </c>
      <c r="P31" s="16">
        <f t="shared" si="8"/>
        <v>168.75</v>
      </c>
    </row>
    <row r="32" spans="1:16" x14ac:dyDescent="0.3">
      <c r="A32" s="14">
        <f t="shared" ref="A32:A37" si="12">315/340</f>
        <v>0.92647058823529416</v>
      </c>
      <c r="B32" s="12">
        <f t="shared" si="0"/>
        <v>0</v>
      </c>
      <c r="C32" s="14">
        <v>2</v>
      </c>
      <c r="D32" s="12">
        <f t="shared" si="1"/>
        <v>66.666666666666657</v>
      </c>
      <c r="E32" s="14">
        <v>1</v>
      </c>
      <c r="F32" s="12">
        <f t="shared" si="2"/>
        <v>100</v>
      </c>
      <c r="G32" s="14">
        <v>3</v>
      </c>
      <c r="H32" s="12">
        <f t="shared" si="3"/>
        <v>3.3333333333333335</v>
      </c>
      <c r="I32" s="14">
        <v>23</v>
      </c>
      <c r="J32" s="12">
        <f t="shared" si="4"/>
        <v>55.555555555555557</v>
      </c>
      <c r="K32" s="14">
        <v>46</v>
      </c>
      <c r="L32" s="12">
        <f t="shared" si="5"/>
        <v>57.333333333333336</v>
      </c>
      <c r="M32" s="14">
        <v>63</v>
      </c>
      <c r="N32" s="12">
        <f t="shared" si="6"/>
        <v>80.555555555555557</v>
      </c>
      <c r="P32" s="16">
        <f t="shared" si="8"/>
        <v>363.4444444444444</v>
      </c>
    </row>
    <row r="33" spans="1:16" x14ac:dyDescent="0.3">
      <c r="A33" s="14">
        <f t="shared" si="12"/>
        <v>0.92647058823529416</v>
      </c>
      <c r="B33" s="12">
        <f t="shared" si="0"/>
        <v>0</v>
      </c>
      <c r="C33" s="14">
        <v>2</v>
      </c>
      <c r="D33" s="12">
        <f t="shared" si="1"/>
        <v>66.666666666666657</v>
      </c>
      <c r="E33" s="14">
        <v>1</v>
      </c>
      <c r="F33" s="12">
        <f t="shared" si="2"/>
        <v>100</v>
      </c>
      <c r="G33" s="14">
        <v>3</v>
      </c>
      <c r="H33" s="12">
        <f t="shared" si="3"/>
        <v>3.3333333333333335</v>
      </c>
      <c r="I33" s="14">
        <v>23</v>
      </c>
      <c r="J33" s="12">
        <f t="shared" si="4"/>
        <v>55.555555555555557</v>
      </c>
      <c r="K33" s="14">
        <v>46</v>
      </c>
      <c r="L33" s="12">
        <f t="shared" si="5"/>
        <v>57.333333333333336</v>
      </c>
      <c r="M33" s="14">
        <v>63</v>
      </c>
      <c r="N33" s="12">
        <f t="shared" si="6"/>
        <v>80.555555555555557</v>
      </c>
      <c r="P33" s="16">
        <f t="shared" si="8"/>
        <v>363.4444444444444</v>
      </c>
    </row>
    <row r="34" spans="1:16" x14ac:dyDescent="0.3">
      <c r="A34" s="14">
        <f t="shared" si="12"/>
        <v>0.92647058823529416</v>
      </c>
      <c r="B34" s="12">
        <f t="shared" si="0"/>
        <v>0</v>
      </c>
      <c r="C34" s="14">
        <v>2</v>
      </c>
      <c r="D34" s="12">
        <f t="shared" si="1"/>
        <v>66.666666666666657</v>
      </c>
      <c r="E34" s="14">
        <v>1</v>
      </c>
      <c r="F34" s="12">
        <f t="shared" si="2"/>
        <v>100</v>
      </c>
      <c r="G34" s="14">
        <v>3</v>
      </c>
      <c r="H34" s="12">
        <f t="shared" si="3"/>
        <v>3.3333333333333335</v>
      </c>
      <c r="I34" s="14">
        <v>23</v>
      </c>
      <c r="J34" s="12">
        <f t="shared" si="4"/>
        <v>55.555555555555557</v>
      </c>
      <c r="K34" s="14">
        <v>46</v>
      </c>
      <c r="L34" s="12">
        <f t="shared" si="5"/>
        <v>57.333333333333336</v>
      </c>
      <c r="M34" s="14">
        <v>63</v>
      </c>
      <c r="N34" s="12">
        <f t="shared" si="6"/>
        <v>80.555555555555557</v>
      </c>
      <c r="P34" s="16">
        <f t="shared" si="8"/>
        <v>363.4444444444444</v>
      </c>
    </row>
    <row r="35" spans="1:16" x14ac:dyDescent="0.3">
      <c r="A35" s="14">
        <f t="shared" si="12"/>
        <v>0.92647058823529416</v>
      </c>
      <c r="B35" s="12">
        <f t="shared" si="0"/>
        <v>0</v>
      </c>
      <c r="C35" s="14">
        <v>2</v>
      </c>
      <c r="D35" s="12">
        <f t="shared" si="1"/>
        <v>66.666666666666657</v>
      </c>
      <c r="E35" s="14">
        <v>0</v>
      </c>
      <c r="F35" s="12">
        <f t="shared" si="2"/>
        <v>0</v>
      </c>
      <c r="G35" s="14">
        <v>3</v>
      </c>
      <c r="H35" s="12">
        <f t="shared" si="3"/>
        <v>3.3333333333333335</v>
      </c>
      <c r="I35" s="14">
        <v>23</v>
      </c>
      <c r="J35" s="12">
        <f t="shared" si="4"/>
        <v>55.555555555555557</v>
      </c>
      <c r="K35" s="14">
        <v>46</v>
      </c>
      <c r="L35" s="12">
        <f t="shared" si="5"/>
        <v>57.333333333333336</v>
      </c>
      <c r="M35" s="14">
        <v>63</v>
      </c>
      <c r="N35" s="12">
        <f t="shared" si="6"/>
        <v>80.555555555555557</v>
      </c>
      <c r="P35" s="16">
        <f t="shared" si="8"/>
        <v>263.44444444444446</v>
      </c>
    </row>
    <row r="36" spans="1:16" x14ac:dyDescent="0.3">
      <c r="A36" s="14">
        <f t="shared" si="12"/>
        <v>0.92647058823529416</v>
      </c>
      <c r="B36" s="12">
        <f t="shared" si="0"/>
        <v>0</v>
      </c>
      <c r="C36" s="14">
        <v>2</v>
      </c>
      <c r="D36" s="12">
        <f t="shared" si="1"/>
        <v>66.666666666666657</v>
      </c>
      <c r="E36" s="14">
        <v>0</v>
      </c>
      <c r="F36" s="12">
        <f t="shared" si="2"/>
        <v>0</v>
      </c>
      <c r="G36" s="14">
        <v>3</v>
      </c>
      <c r="H36" s="12">
        <f t="shared" si="3"/>
        <v>3.3333333333333335</v>
      </c>
      <c r="I36" s="14">
        <v>23</v>
      </c>
      <c r="J36" s="12">
        <f t="shared" si="4"/>
        <v>55.555555555555557</v>
      </c>
      <c r="K36" s="14">
        <v>46</v>
      </c>
      <c r="L36" s="12">
        <f t="shared" si="5"/>
        <v>57.333333333333336</v>
      </c>
      <c r="M36" s="14">
        <v>63</v>
      </c>
      <c r="N36" s="12">
        <f t="shared" si="6"/>
        <v>80.555555555555557</v>
      </c>
      <c r="P36" s="16">
        <f t="shared" si="8"/>
        <v>263.44444444444446</v>
      </c>
    </row>
    <row r="37" spans="1:16" x14ac:dyDescent="0.3">
      <c r="A37" s="14">
        <f t="shared" si="12"/>
        <v>0.92647058823529416</v>
      </c>
      <c r="B37" s="12">
        <f t="shared" si="0"/>
        <v>0</v>
      </c>
      <c r="C37" s="14">
        <v>2</v>
      </c>
      <c r="D37" s="12">
        <f t="shared" si="1"/>
        <v>66.666666666666657</v>
      </c>
      <c r="E37" s="14">
        <v>0</v>
      </c>
      <c r="F37" s="12">
        <f t="shared" si="2"/>
        <v>0</v>
      </c>
      <c r="G37" s="14">
        <v>3</v>
      </c>
      <c r="H37" s="12">
        <f t="shared" si="3"/>
        <v>3.3333333333333335</v>
      </c>
      <c r="I37" s="14">
        <v>23</v>
      </c>
      <c r="J37" s="12">
        <f t="shared" si="4"/>
        <v>55.555555555555557</v>
      </c>
      <c r="K37" s="14">
        <v>46</v>
      </c>
      <c r="L37" s="12">
        <f t="shared" si="5"/>
        <v>57.333333333333336</v>
      </c>
      <c r="M37" s="14">
        <v>63</v>
      </c>
      <c r="N37" s="12">
        <f t="shared" si="6"/>
        <v>80.555555555555557</v>
      </c>
      <c r="P37" s="16">
        <f t="shared" si="8"/>
        <v>263.44444444444446</v>
      </c>
    </row>
    <row r="38" spans="1:16" x14ac:dyDescent="0.3">
      <c r="A38" s="14">
        <f t="shared" ref="A38:A44" si="13">303/340</f>
        <v>0.89117647058823535</v>
      </c>
      <c r="B38" s="12">
        <f t="shared" si="0"/>
        <v>19.999999999999986</v>
      </c>
      <c r="C38" s="14">
        <v>1</v>
      </c>
      <c r="D38" s="12">
        <f t="shared" si="1"/>
        <v>100</v>
      </c>
      <c r="E38" s="14">
        <v>1</v>
      </c>
      <c r="F38" s="12">
        <f t="shared" si="2"/>
        <v>100</v>
      </c>
      <c r="G38" s="14">
        <v>4</v>
      </c>
      <c r="H38" s="12">
        <f t="shared" si="3"/>
        <v>6.666666666666667</v>
      </c>
      <c r="I38" s="14">
        <v>13</v>
      </c>
      <c r="J38" s="12">
        <f t="shared" si="4"/>
        <v>27.777777777777779</v>
      </c>
      <c r="K38" s="14">
        <v>17</v>
      </c>
      <c r="L38" s="12">
        <f t="shared" si="5"/>
        <v>18.666666666666668</v>
      </c>
      <c r="M38" s="14">
        <v>77</v>
      </c>
      <c r="N38" s="12">
        <f t="shared" si="6"/>
        <v>100</v>
      </c>
      <c r="P38" s="16">
        <f t="shared" si="8"/>
        <v>373.11111111111109</v>
      </c>
    </row>
    <row r="39" spans="1:16" x14ac:dyDescent="0.3">
      <c r="A39" s="14">
        <f t="shared" si="13"/>
        <v>0.89117647058823535</v>
      </c>
      <c r="B39" s="12">
        <f t="shared" si="0"/>
        <v>19.999999999999986</v>
      </c>
      <c r="C39" s="14">
        <v>1</v>
      </c>
      <c r="D39" s="12">
        <f t="shared" si="1"/>
        <v>100</v>
      </c>
      <c r="E39" s="14">
        <v>1</v>
      </c>
      <c r="F39" s="12">
        <f t="shared" si="2"/>
        <v>100</v>
      </c>
      <c r="G39" s="14">
        <v>4</v>
      </c>
      <c r="H39" s="12">
        <f t="shared" si="3"/>
        <v>6.666666666666667</v>
      </c>
      <c r="I39" s="14">
        <v>13</v>
      </c>
      <c r="J39" s="12">
        <f t="shared" si="4"/>
        <v>27.777777777777779</v>
      </c>
      <c r="K39" s="14">
        <v>17</v>
      </c>
      <c r="L39" s="12">
        <f t="shared" si="5"/>
        <v>18.666666666666668</v>
      </c>
      <c r="M39" s="14">
        <v>77</v>
      </c>
      <c r="N39" s="12">
        <f t="shared" si="6"/>
        <v>100</v>
      </c>
      <c r="P39" s="16">
        <f t="shared" si="8"/>
        <v>373.11111111111109</v>
      </c>
    </row>
    <row r="40" spans="1:16" x14ac:dyDescent="0.3">
      <c r="A40" s="14">
        <f t="shared" si="13"/>
        <v>0.89117647058823535</v>
      </c>
      <c r="B40" s="12">
        <f t="shared" si="0"/>
        <v>19.999999999999986</v>
      </c>
      <c r="C40" s="14">
        <v>1</v>
      </c>
      <c r="D40" s="12">
        <f t="shared" si="1"/>
        <v>100</v>
      </c>
      <c r="E40" s="14">
        <v>1</v>
      </c>
      <c r="F40" s="12">
        <f t="shared" si="2"/>
        <v>100</v>
      </c>
      <c r="G40" s="14">
        <v>4</v>
      </c>
      <c r="H40" s="12">
        <f t="shared" si="3"/>
        <v>6.666666666666667</v>
      </c>
      <c r="I40" s="14">
        <v>13</v>
      </c>
      <c r="J40" s="12">
        <f t="shared" si="4"/>
        <v>27.777777777777779</v>
      </c>
      <c r="K40" s="14">
        <v>17</v>
      </c>
      <c r="L40" s="12">
        <f t="shared" si="5"/>
        <v>18.666666666666668</v>
      </c>
      <c r="M40" s="14">
        <v>77</v>
      </c>
      <c r="N40" s="12">
        <f t="shared" si="6"/>
        <v>100</v>
      </c>
      <c r="P40" s="16">
        <f t="shared" si="8"/>
        <v>373.11111111111109</v>
      </c>
    </row>
    <row r="41" spans="1:16" x14ac:dyDescent="0.3">
      <c r="A41" s="14">
        <f t="shared" si="13"/>
        <v>0.89117647058823535</v>
      </c>
      <c r="B41" s="12">
        <f t="shared" si="0"/>
        <v>19.999999999999986</v>
      </c>
      <c r="C41" s="14">
        <v>1</v>
      </c>
      <c r="D41" s="12">
        <f t="shared" si="1"/>
        <v>100</v>
      </c>
      <c r="E41" s="14">
        <v>0</v>
      </c>
      <c r="F41" s="12">
        <f t="shared" si="2"/>
        <v>0</v>
      </c>
      <c r="G41" s="14">
        <v>4</v>
      </c>
      <c r="H41" s="12">
        <f t="shared" si="3"/>
        <v>6.666666666666667</v>
      </c>
      <c r="I41" s="14">
        <v>13</v>
      </c>
      <c r="J41" s="12">
        <f t="shared" si="4"/>
        <v>27.777777777777779</v>
      </c>
      <c r="K41" s="14">
        <v>17</v>
      </c>
      <c r="L41" s="12">
        <f t="shared" si="5"/>
        <v>18.666666666666668</v>
      </c>
      <c r="M41" s="14">
        <v>77</v>
      </c>
      <c r="N41" s="12">
        <f t="shared" si="6"/>
        <v>100</v>
      </c>
      <c r="P41" s="16">
        <f t="shared" si="8"/>
        <v>273.11111111111109</v>
      </c>
    </row>
    <row r="42" spans="1:16" x14ac:dyDescent="0.3">
      <c r="A42" s="14">
        <f t="shared" si="13"/>
        <v>0.89117647058823535</v>
      </c>
      <c r="B42" s="12">
        <f t="shared" si="0"/>
        <v>19.999999999999986</v>
      </c>
      <c r="C42" s="14">
        <v>1</v>
      </c>
      <c r="D42" s="12">
        <f t="shared" si="1"/>
        <v>100</v>
      </c>
      <c r="E42" s="14">
        <v>0</v>
      </c>
      <c r="F42" s="12">
        <f t="shared" si="2"/>
        <v>0</v>
      </c>
      <c r="G42" s="14">
        <v>4</v>
      </c>
      <c r="H42" s="12">
        <f t="shared" si="3"/>
        <v>6.666666666666667</v>
      </c>
      <c r="I42" s="14">
        <v>13</v>
      </c>
      <c r="J42" s="12">
        <f t="shared" si="4"/>
        <v>27.777777777777779</v>
      </c>
      <c r="K42" s="14">
        <v>17</v>
      </c>
      <c r="L42" s="12">
        <f t="shared" si="5"/>
        <v>18.666666666666668</v>
      </c>
      <c r="M42" s="14">
        <v>77</v>
      </c>
      <c r="N42" s="12">
        <f t="shared" si="6"/>
        <v>100</v>
      </c>
      <c r="P42" s="16">
        <f t="shared" si="8"/>
        <v>273.11111111111109</v>
      </c>
    </row>
    <row r="43" spans="1:16" x14ac:dyDescent="0.3">
      <c r="A43" s="14">
        <f t="shared" si="13"/>
        <v>0.89117647058823535</v>
      </c>
      <c r="B43" s="12">
        <f t="shared" si="0"/>
        <v>19.999999999999986</v>
      </c>
      <c r="C43" s="14">
        <v>1</v>
      </c>
      <c r="D43" s="12">
        <f t="shared" si="1"/>
        <v>100</v>
      </c>
      <c r="E43" s="14">
        <v>0</v>
      </c>
      <c r="F43" s="12">
        <f t="shared" si="2"/>
        <v>0</v>
      </c>
      <c r="G43" s="14">
        <v>4</v>
      </c>
      <c r="H43" s="12">
        <f t="shared" si="3"/>
        <v>6.666666666666667</v>
      </c>
      <c r="I43" s="14">
        <v>13</v>
      </c>
      <c r="J43" s="12">
        <f t="shared" si="4"/>
        <v>27.777777777777779</v>
      </c>
      <c r="K43" s="14">
        <v>17</v>
      </c>
      <c r="L43" s="12">
        <f t="shared" si="5"/>
        <v>18.666666666666668</v>
      </c>
      <c r="M43" s="14">
        <v>77</v>
      </c>
      <c r="N43" s="12">
        <f t="shared" si="6"/>
        <v>100</v>
      </c>
      <c r="P43" s="16">
        <f t="shared" si="8"/>
        <v>273.11111111111109</v>
      </c>
    </row>
    <row r="44" spans="1:16" x14ac:dyDescent="0.3">
      <c r="A44" s="14">
        <f t="shared" si="13"/>
        <v>0.89117647058823535</v>
      </c>
      <c r="B44" s="12">
        <f t="shared" si="0"/>
        <v>19.999999999999986</v>
      </c>
      <c r="C44" s="14">
        <v>1</v>
      </c>
      <c r="D44" s="12">
        <f t="shared" si="1"/>
        <v>100</v>
      </c>
      <c r="E44" s="14">
        <v>1</v>
      </c>
      <c r="F44" s="12">
        <f t="shared" si="2"/>
        <v>100</v>
      </c>
      <c r="G44" s="14">
        <v>2</v>
      </c>
      <c r="H44" s="12">
        <f t="shared" si="3"/>
        <v>0</v>
      </c>
      <c r="I44" s="14">
        <v>3</v>
      </c>
      <c r="J44" s="12">
        <f t="shared" si="4"/>
        <v>0</v>
      </c>
      <c r="K44" s="14">
        <v>3</v>
      </c>
      <c r="L44" s="12">
        <f t="shared" si="5"/>
        <v>0</v>
      </c>
      <c r="M44" s="14">
        <v>56</v>
      </c>
      <c r="N44" s="12">
        <f t="shared" si="6"/>
        <v>70.833333333333343</v>
      </c>
      <c r="P44" s="16">
        <f t="shared" si="8"/>
        <v>290.83333333333337</v>
      </c>
    </row>
    <row r="45" spans="1:16" x14ac:dyDescent="0.3">
      <c r="A45" s="14">
        <f>305/340</f>
        <v>0.8970588235294118</v>
      </c>
      <c r="B45" s="12">
        <f t="shared" si="0"/>
        <v>16.666666666666664</v>
      </c>
      <c r="C45" s="14">
        <v>3</v>
      </c>
      <c r="D45" s="12">
        <f t="shared" si="1"/>
        <v>33.333333333333329</v>
      </c>
      <c r="E45" s="14">
        <v>1</v>
      </c>
      <c r="F45" s="12">
        <f t="shared" si="2"/>
        <v>100</v>
      </c>
      <c r="G45" s="14">
        <v>2</v>
      </c>
      <c r="H45" s="12">
        <f t="shared" si="3"/>
        <v>0</v>
      </c>
      <c r="I45" s="14">
        <v>3</v>
      </c>
      <c r="J45" s="12">
        <f t="shared" si="4"/>
        <v>0</v>
      </c>
      <c r="K45" s="14">
        <v>3</v>
      </c>
      <c r="L45" s="12">
        <f t="shared" si="5"/>
        <v>0</v>
      </c>
      <c r="M45" s="14">
        <v>56</v>
      </c>
      <c r="N45" s="12">
        <f t="shared" si="6"/>
        <v>70.833333333333343</v>
      </c>
      <c r="P45" s="16">
        <f t="shared" si="8"/>
        <v>220.83333333333334</v>
      </c>
    </row>
    <row r="46" spans="1:16" x14ac:dyDescent="0.3">
      <c r="A46" s="14">
        <f>305/340</f>
        <v>0.8970588235294118</v>
      </c>
      <c r="B46" s="12">
        <f t="shared" si="0"/>
        <v>16.666666666666664</v>
      </c>
      <c r="C46" s="14">
        <v>3</v>
      </c>
      <c r="D46" s="12">
        <f t="shared" si="1"/>
        <v>33.333333333333329</v>
      </c>
      <c r="E46" s="14">
        <v>1</v>
      </c>
      <c r="F46" s="12">
        <f t="shared" si="2"/>
        <v>100</v>
      </c>
      <c r="G46" s="14">
        <v>2</v>
      </c>
      <c r="H46" s="12">
        <f t="shared" si="3"/>
        <v>0</v>
      </c>
      <c r="I46" s="14">
        <v>3</v>
      </c>
      <c r="J46" s="12">
        <f t="shared" si="4"/>
        <v>0</v>
      </c>
      <c r="K46" s="14">
        <v>3</v>
      </c>
      <c r="L46" s="12">
        <f t="shared" si="5"/>
        <v>0</v>
      </c>
      <c r="M46" s="14">
        <v>56</v>
      </c>
      <c r="N46" s="12">
        <f t="shared" si="6"/>
        <v>70.833333333333343</v>
      </c>
      <c r="P46" s="16">
        <f t="shared" si="8"/>
        <v>220.83333333333334</v>
      </c>
    </row>
    <row r="47" spans="1:16" x14ac:dyDescent="0.3">
      <c r="A47" s="14">
        <f>305/340</f>
        <v>0.8970588235294118</v>
      </c>
      <c r="B47" s="12">
        <f t="shared" si="0"/>
        <v>16.666666666666664</v>
      </c>
      <c r="C47" s="14">
        <v>3</v>
      </c>
      <c r="D47" s="12">
        <f t="shared" si="1"/>
        <v>33.333333333333329</v>
      </c>
      <c r="E47" s="14">
        <v>0</v>
      </c>
      <c r="F47" s="12">
        <f t="shared" si="2"/>
        <v>0</v>
      </c>
      <c r="G47" s="14">
        <v>2</v>
      </c>
      <c r="H47" s="12">
        <f t="shared" si="3"/>
        <v>0</v>
      </c>
      <c r="I47" s="14">
        <v>3</v>
      </c>
      <c r="J47" s="12">
        <f t="shared" si="4"/>
        <v>0</v>
      </c>
      <c r="K47" s="14">
        <v>3</v>
      </c>
      <c r="L47" s="12">
        <f t="shared" si="5"/>
        <v>0</v>
      </c>
      <c r="M47" s="14">
        <v>56</v>
      </c>
      <c r="N47" s="12">
        <f t="shared" si="6"/>
        <v>70.833333333333343</v>
      </c>
      <c r="P47" s="16">
        <f t="shared" si="8"/>
        <v>120.83333333333334</v>
      </c>
    </row>
    <row r="48" spans="1:16" x14ac:dyDescent="0.3">
      <c r="A48" s="14">
        <f>305/340</f>
        <v>0.8970588235294118</v>
      </c>
      <c r="B48" s="12">
        <f t="shared" si="0"/>
        <v>16.666666666666664</v>
      </c>
      <c r="C48" s="14">
        <v>3</v>
      </c>
      <c r="D48" s="12">
        <f t="shared" si="1"/>
        <v>33.333333333333329</v>
      </c>
      <c r="E48" s="14">
        <v>0</v>
      </c>
      <c r="F48" s="12">
        <f t="shared" si="2"/>
        <v>0</v>
      </c>
      <c r="G48" s="14">
        <v>2</v>
      </c>
      <c r="H48" s="12">
        <f t="shared" si="3"/>
        <v>0</v>
      </c>
      <c r="I48" s="14">
        <v>3</v>
      </c>
      <c r="J48" s="12">
        <f t="shared" si="4"/>
        <v>0</v>
      </c>
      <c r="K48" s="14">
        <v>3</v>
      </c>
      <c r="L48" s="12">
        <f t="shared" si="5"/>
        <v>0</v>
      </c>
      <c r="M48" s="14">
        <v>56</v>
      </c>
      <c r="N48" s="12">
        <f t="shared" si="6"/>
        <v>70.833333333333343</v>
      </c>
      <c r="P48" s="16">
        <f t="shared" si="8"/>
        <v>120.83333333333334</v>
      </c>
    </row>
    <row r="49" spans="1:16" x14ac:dyDescent="0.3">
      <c r="A49" s="14">
        <f>305/340</f>
        <v>0.8970588235294118</v>
      </c>
      <c r="B49" s="12">
        <f t="shared" si="0"/>
        <v>16.666666666666664</v>
      </c>
      <c r="C49" s="14">
        <v>3</v>
      </c>
      <c r="D49" s="12">
        <f t="shared" si="1"/>
        <v>33.333333333333329</v>
      </c>
      <c r="E49" s="14">
        <v>0</v>
      </c>
      <c r="F49" s="12">
        <f t="shared" si="2"/>
        <v>0</v>
      </c>
      <c r="G49" s="14">
        <v>2</v>
      </c>
      <c r="H49" s="12">
        <f t="shared" si="3"/>
        <v>0</v>
      </c>
      <c r="I49" s="14">
        <v>3</v>
      </c>
      <c r="J49" s="12">
        <f t="shared" si="4"/>
        <v>0</v>
      </c>
      <c r="K49" s="14">
        <v>3</v>
      </c>
      <c r="L49" s="12">
        <f t="shared" si="5"/>
        <v>0</v>
      </c>
      <c r="M49" s="14">
        <v>56</v>
      </c>
      <c r="N49" s="12">
        <f t="shared" si="6"/>
        <v>70.833333333333343</v>
      </c>
      <c r="P49" s="16">
        <f t="shared" si="8"/>
        <v>120.83333333333334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AB3F-66ED-4938-86BE-B1ED9B23C711}">
  <dimension ref="A1:P81"/>
  <sheetViews>
    <sheetView workbookViewId="0"/>
  </sheetViews>
  <sheetFormatPr defaultColWidth="15.77734375" defaultRowHeight="14.4" x14ac:dyDescent="0.3"/>
  <cols>
    <col min="1" max="16384" width="15.77734375" style="2"/>
  </cols>
  <sheetData>
    <row r="1" spans="1:16" x14ac:dyDescent="0.3">
      <c r="A1" s="2" t="s">
        <v>0</v>
      </c>
      <c r="B1" s="1" t="s">
        <v>143</v>
      </c>
      <c r="E1" s="2" t="s">
        <v>8</v>
      </c>
      <c r="F1" s="2">
        <v>3</v>
      </c>
      <c r="H1" s="2" t="s">
        <v>15</v>
      </c>
      <c r="I1" s="1" t="s">
        <v>41</v>
      </c>
      <c r="K1" s="2" t="s">
        <v>20</v>
      </c>
      <c r="L1" s="2">
        <v>100</v>
      </c>
    </row>
    <row r="2" spans="1:16" x14ac:dyDescent="0.3">
      <c r="A2" s="2" t="s">
        <v>1</v>
      </c>
      <c r="B2" s="2" t="e">
        <f>'Decison Tree'!#REF!</f>
        <v>#REF!</v>
      </c>
      <c r="E2" s="2" t="s">
        <v>10</v>
      </c>
      <c r="F2" s="2" t="e">
        <f ca="1">_xll.PTreeEvaluate5(B3,$L$11:$L$81,$J$11:$J$81,$K$11:$K$81,$N$11:$N$81,$G$11:$G$81,,L1)</f>
        <v>#VALUE!</v>
      </c>
    </row>
    <row r="3" spans="1:16" x14ac:dyDescent="0.3">
      <c r="A3" s="2" t="s">
        <v>2</v>
      </c>
      <c r="B3" s="2" t="s">
        <v>142</v>
      </c>
      <c r="E3" s="2" t="s">
        <v>11</v>
      </c>
      <c r="F3" s="1" t="s">
        <v>37</v>
      </c>
      <c r="H3" s="2" t="s">
        <v>16</v>
      </c>
      <c r="I3" s="2" t="s">
        <v>39</v>
      </c>
    </row>
    <row r="4" spans="1:16" x14ac:dyDescent="0.3">
      <c r="A4" s="2" t="s">
        <v>3</v>
      </c>
      <c r="B4" s="2" t="s">
        <v>36</v>
      </c>
      <c r="E4" s="2" t="s">
        <v>12</v>
      </c>
      <c r="F4" s="1" t="s">
        <v>38</v>
      </c>
      <c r="H4" s="2" t="s">
        <v>17</v>
      </c>
      <c r="I4" s="1" t="s">
        <v>40</v>
      </c>
    </row>
    <row r="5" spans="1:16" x14ac:dyDescent="0.3">
      <c r="A5" s="2" t="s">
        <v>4</v>
      </c>
      <c r="B5" s="2">
        <v>0</v>
      </c>
      <c r="E5" s="2" t="s">
        <v>13</v>
      </c>
      <c r="F5" s="1" t="s">
        <v>38</v>
      </c>
      <c r="H5" s="2" t="s">
        <v>18</v>
      </c>
      <c r="I5" s="2" t="s">
        <v>39</v>
      </c>
    </row>
    <row r="6" spans="1:16" x14ac:dyDescent="0.3">
      <c r="A6" s="2" t="s">
        <v>5</v>
      </c>
      <c r="E6" s="2" t="s">
        <v>14</v>
      </c>
      <c r="F6" s="1" t="s">
        <v>37</v>
      </c>
      <c r="H6" s="2" t="s">
        <v>19</v>
      </c>
      <c r="I6" s="1" t="s">
        <v>40</v>
      </c>
    </row>
    <row r="7" spans="1:16" x14ac:dyDescent="0.3">
      <c r="A7" s="2" t="s">
        <v>6</v>
      </c>
      <c r="E7" s="2" t="s">
        <v>9</v>
      </c>
      <c r="F7" s="1" t="s">
        <v>140</v>
      </c>
    </row>
    <row r="8" spans="1:16" x14ac:dyDescent="0.3">
      <c r="A8" s="2" t="s">
        <v>7</v>
      </c>
      <c r="B8" s="2">
        <v>71</v>
      </c>
    </row>
    <row r="10" spans="1:16" x14ac:dyDescent="0.3">
      <c r="A10" s="2" t="s">
        <v>21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2</v>
      </c>
      <c r="M10" s="2" t="s">
        <v>32</v>
      </c>
      <c r="N10" s="2" t="s">
        <v>33</v>
      </c>
      <c r="O10" s="2" t="s">
        <v>34</v>
      </c>
      <c r="P10" s="2" t="s">
        <v>35</v>
      </c>
    </row>
    <row r="11" spans="1:16" x14ac:dyDescent="0.3">
      <c r="A11" s="2" t="e">
        <f ca="1">'Decison Tree'!$C$132</f>
        <v>#VALUE!</v>
      </c>
      <c r="B11" s="2" t="str">
        <f>B1</f>
        <v>VYshu"s Decison?</v>
      </c>
      <c r="C11" s="2">
        <v>0</v>
      </c>
      <c r="I11" s="2" t="s">
        <v>42</v>
      </c>
      <c r="J11" s="2">
        <f>'Decison Tree'!$B$132</f>
        <v>0</v>
      </c>
      <c r="K11" s="2">
        <f>'Decison Tree'!$B$131</f>
        <v>0</v>
      </c>
      <c r="L11" s="2" t="s">
        <v>45</v>
      </c>
      <c r="M11" s="1" t="s">
        <v>43</v>
      </c>
      <c r="O11" s="2" t="str">
        <f>'Decison Tree'!$C$131</f>
        <v>Decision</v>
      </c>
      <c r="P11" s="2" t="b">
        <v>0</v>
      </c>
    </row>
    <row r="12" spans="1:16" x14ac:dyDescent="0.3">
      <c r="A12" s="2" t="e">
        <f ca="1">'Decison Tree'!$D$40</f>
        <v>#VALUE!</v>
      </c>
      <c r="B12" s="1" t="s">
        <v>71</v>
      </c>
      <c r="C12" s="2">
        <v>0</v>
      </c>
      <c r="I12" s="2" t="s">
        <v>42</v>
      </c>
      <c r="J12" s="2">
        <f>'Decison Tree'!$C$40</f>
        <v>0</v>
      </c>
      <c r="L12" s="2" t="s">
        <v>190</v>
      </c>
      <c r="M12" s="1" t="s">
        <v>43</v>
      </c>
      <c r="O12" s="2" t="str">
        <f>'Decison Tree'!$D$39</f>
        <v>Place of Study?</v>
      </c>
      <c r="P12" s="2" t="b">
        <v>0</v>
      </c>
    </row>
    <row r="13" spans="1:16" x14ac:dyDescent="0.3">
      <c r="A13" s="2" t="e">
        <f ca="1">'Decison Tree'!$D$142</f>
        <v>#VALUE!</v>
      </c>
      <c r="B13" s="1" t="s">
        <v>144</v>
      </c>
      <c r="C13" s="2">
        <v>0</v>
      </c>
      <c r="I13" s="2" t="s">
        <v>42</v>
      </c>
      <c r="J13" s="2">
        <f>'Decison Tree'!$C$142</f>
        <v>0</v>
      </c>
      <c r="L13" s="2" t="s">
        <v>185</v>
      </c>
      <c r="M13" s="1" t="s">
        <v>43</v>
      </c>
      <c r="O13" s="2" t="str">
        <f>'Decison Tree'!$D$141</f>
        <v>Placement</v>
      </c>
      <c r="P13" s="2" t="b">
        <v>0</v>
      </c>
    </row>
    <row r="14" spans="1:16" x14ac:dyDescent="0.3">
      <c r="A14" s="2" t="e">
        <f ca="1">'Decison Tree'!$E$24</f>
        <v>#VALUE!</v>
      </c>
      <c r="B14" s="1" t="s">
        <v>47</v>
      </c>
      <c r="C14" s="2">
        <v>0</v>
      </c>
      <c r="I14" s="2" t="s">
        <v>42</v>
      </c>
      <c r="J14" s="2">
        <f>'Decison Tree'!$D$24</f>
        <v>0</v>
      </c>
      <c r="L14" s="2" t="s">
        <v>72</v>
      </c>
      <c r="M14" s="1" t="s">
        <v>43</v>
      </c>
      <c r="O14" s="2" t="str">
        <f>'Decison Tree'!$E$23</f>
        <v>What To study?</v>
      </c>
      <c r="P14" s="2" t="b">
        <v>0</v>
      </c>
    </row>
    <row r="15" spans="1:16" x14ac:dyDescent="0.3">
      <c r="A15" s="2" t="e">
        <f ca="1">'Decison Tree'!$E$86</f>
        <v>#VALUE!</v>
      </c>
      <c r="B15" s="1" t="s">
        <v>48</v>
      </c>
      <c r="C15" s="2">
        <v>0</v>
      </c>
      <c r="I15" s="2" t="s">
        <v>42</v>
      </c>
      <c r="J15" s="2">
        <f>'Decison Tree'!$D$86</f>
        <v>0</v>
      </c>
      <c r="L15" s="2" t="s">
        <v>155</v>
      </c>
      <c r="M15" s="1" t="s">
        <v>43</v>
      </c>
      <c r="O15" s="2" t="str">
        <f>'Decison Tree'!$E$85</f>
        <v>What To Study?</v>
      </c>
      <c r="P15" s="2" t="b">
        <v>0</v>
      </c>
    </row>
    <row r="16" spans="1:16" x14ac:dyDescent="0.3">
      <c r="A16" s="2" t="e">
        <f ca="1">'Decison Tree'!$F$16</f>
        <v>#VALUE!</v>
      </c>
      <c r="B16" s="1" t="s">
        <v>49</v>
      </c>
      <c r="C16" s="2">
        <v>0</v>
      </c>
      <c r="I16" s="2" t="s">
        <v>42</v>
      </c>
      <c r="J16" s="2">
        <f>'Decison Tree'!$E$16</f>
        <v>0</v>
      </c>
      <c r="K16" s="2">
        <f>'Decison Tree'!$E$15</f>
        <v>0.56000000000000005</v>
      </c>
      <c r="L16" s="2" t="s">
        <v>73</v>
      </c>
      <c r="M16" s="1" t="s">
        <v>43</v>
      </c>
      <c r="O16" s="2" t="str">
        <f>'Decison Tree'!$F$15</f>
        <v>Source of Fund?</v>
      </c>
      <c r="P16" s="2" t="b">
        <v>0</v>
      </c>
    </row>
    <row r="17" spans="1:16" x14ac:dyDescent="0.3">
      <c r="A17" s="2" t="e">
        <f ca="1">'Decison Tree'!$F$32</f>
        <v>#VALUE!</v>
      </c>
      <c r="B17" s="1" t="s">
        <v>50</v>
      </c>
      <c r="C17" s="2">
        <v>0</v>
      </c>
      <c r="I17" s="2" t="s">
        <v>42</v>
      </c>
      <c r="J17" s="2">
        <f>'Decison Tree'!$E$32</f>
        <v>0</v>
      </c>
      <c r="K17" s="2">
        <f>'Decison Tree'!$E$31</f>
        <v>0.43999999999999995</v>
      </c>
      <c r="L17" s="2" t="s">
        <v>149</v>
      </c>
      <c r="M17" s="1" t="s">
        <v>43</v>
      </c>
      <c r="O17" s="2" t="str">
        <f>'Decison Tree'!$F$31</f>
        <v>Source of Fund?</v>
      </c>
      <c r="P17" s="2" t="b">
        <v>0</v>
      </c>
    </row>
    <row r="18" spans="1:16" x14ac:dyDescent="0.3">
      <c r="A18" s="2" t="e">
        <f ca="1">'Decison Tree'!$G$12</f>
        <v>#VALUE!</v>
      </c>
      <c r="B18" s="1" t="s">
        <v>74</v>
      </c>
      <c r="C18" s="2">
        <v>0</v>
      </c>
      <c r="I18" s="2" t="s">
        <v>42</v>
      </c>
      <c r="J18" s="2">
        <f>'Decison Tree'!$F$12</f>
        <v>0</v>
      </c>
      <c r="K18" s="2">
        <f>'Decison Tree'!$F$11</f>
        <v>0.28000000000000003</v>
      </c>
      <c r="L18" s="2" t="s">
        <v>91</v>
      </c>
      <c r="M18" s="1" t="s">
        <v>43</v>
      </c>
      <c r="O18" s="2" t="str">
        <f>'Decison Tree'!$G$11</f>
        <v>Job Status</v>
      </c>
      <c r="P18" s="2" t="b">
        <v>0</v>
      </c>
    </row>
    <row r="19" spans="1:16" x14ac:dyDescent="0.3">
      <c r="A19" s="2" t="e">
        <f ca="1">'Decison Tree'!$G$20</f>
        <v>#VALUE!</v>
      </c>
      <c r="B19" s="1" t="s">
        <v>75</v>
      </c>
      <c r="C19" s="2">
        <v>0</v>
      </c>
      <c r="I19" s="2" t="s">
        <v>42</v>
      </c>
      <c r="J19" s="2">
        <f>'Decison Tree'!$F$20</f>
        <v>0</v>
      </c>
      <c r="K19" s="2">
        <f>'Decison Tree'!$F$19</f>
        <v>0.72</v>
      </c>
      <c r="L19" s="2" t="s">
        <v>92</v>
      </c>
      <c r="M19" s="1" t="s">
        <v>43</v>
      </c>
      <c r="O19" s="2" t="str">
        <f>'Decison Tree'!$G$19</f>
        <v>Job Status</v>
      </c>
      <c r="P19" s="2" t="b">
        <v>0</v>
      </c>
    </row>
    <row r="20" spans="1:16" x14ac:dyDescent="0.3">
      <c r="A20" s="2" t="e">
        <f ca="1">'Decison Tree'!$H$10</f>
        <v>#VALUE!</v>
      </c>
      <c r="B20" s="1" t="s">
        <v>46</v>
      </c>
      <c r="C20" s="2">
        <v>0</v>
      </c>
      <c r="H20" s="2" t="s">
        <v>42</v>
      </c>
      <c r="I20" s="2" t="s">
        <v>42</v>
      </c>
      <c r="J20" s="2">
        <f>'Decison Tree'!$G$10</f>
        <v>8.5587102857142892</v>
      </c>
      <c r="K20" s="2">
        <f>'Decison Tree'!$G$9</f>
        <v>0.48707600000000001</v>
      </c>
      <c r="L20" s="2" t="s">
        <v>56</v>
      </c>
      <c r="M20" s="1" t="s">
        <v>43</v>
      </c>
      <c r="P20" s="2" t="b">
        <v>0</v>
      </c>
    </row>
    <row r="21" spans="1:16" x14ac:dyDescent="0.3">
      <c r="A21" s="2" t="e">
        <f ca="1">'Decison Tree'!$H$14</f>
        <v>#VALUE!</v>
      </c>
      <c r="B21" s="1" t="s">
        <v>90</v>
      </c>
      <c r="C21" s="2">
        <v>0</v>
      </c>
      <c r="H21" s="2" t="s">
        <v>42</v>
      </c>
      <c r="I21" s="2" t="s">
        <v>42</v>
      </c>
      <c r="J21" s="2">
        <f>'Decison Tree'!$G$14</f>
        <v>8.5587102857142892</v>
      </c>
      <c r="K21" s="2">
        <f>'Decison Tree'!$G$13</f>
        <v>0.51292399999999994</v>
      </c>
      <c r="L21" s="2" t="s">
        <v>56</v>
      </c>
      <c r="M21" s="1" t="s">
        <v>43</v>
      </c>
      <c r="P21" s="2" t="b">
        <v>0</v>
      </c>
    </row>
    <row r="22" spans="1:16" x14ac:dyDescent="0.3">
      <c r="A22" s="2" t="e">
        <f ca="1">'Decison Tree'!$H$18</f>
        <v>#VALUE!</v>
      </c>
      <c r="B22" s="1" t="s">
        <v>46</v>
      </c>
      <c r="C22" s="2">
        <v>0</v>
      </c>
      <c r="H22" s="2" t="s">
        <v>42</v>
      </c>
      <c r="I22" s="2" t="s">
        <v>42</v>
      </c>
      <c r="J22" s="2">
        <f>'Decison Tree'!$G$18</f>
        <v>8.5587102857142892</v>
      </c>
      <c r="K22" s="2">
        <f>'Decison Tree'!$G$17</f>
        <v>0.48707600000000001</v>
      </c>
      <c r="L22" s="2" t="s">
        <v>57</v>
      </c>
      <c r="M22" s="1" t="s">
        <v>43</v>
      </c>
      <c r="P22" s="2" t="b">
        <v>0</v>
      </c>
    </row>
    <row r="23" spans="1:16" x14ac:dyDescent="0.3">
      <c r="A23" s="2" t="e">
        <f ca="1">'Decison Tree'!$H$22</f>
        <v>#VALUE!</v>
      </c>
      <c r="B23" s="1" t="s">
        <v>90</v>
      </c>
      <c r="C23" s="2">
        <v>0</v>
      </c>
      <c r="H23" s="2" t="s">
        <v>42</v>
      </c>
      <c r="I23" s="2" t="s">
        <v>42</v>
      </c>
      <c r="J23" s="2">
        <f>'Decison Tree'!$G$22</f>
        <v>8.5587102857142892</v>
      </c>
      <c r="K23" s="2">
        <f>'Decison Tree'!$G$21</f>
        <v>0.51292399999999994</v>
      </c>
      <c r="L23" s="2" t="s">
        <v>57</v>
      </c>
      <c r="M23" s="1" t="s">
        <v>43</v>
      </c>
      <c r="P23" s="2" t="b">
        <v>0</v>
      </c>
    </row>
    <row r="24" spans="1:16" x14ac:dyDescent="0.3">
      <c r="A24" s="2" t="e">
        <f ca="1">'Decison Tree'!$G$28</f>
        <v>#VALUE!</v>
      </c>
      <c r="B24" s="1" t="s">
        <v>74</v>
      </c>
      <c r="C24" s="2">
        <v>0</v>
      </c>
      <c r="I24" s="2" t="s">
        <v>42</v>
      </c>
      <c r="J24" s="2">
        <f>'Decison Tree'!$F$28</f>
        <v>0</v>
      </c>
      <c r="K24" s="2">
        <f>'Decison Tree'!$F$27</f>
        <v>0.28000000000000003</v>
      </c>
      <c r="L24" s="2" t="s">
        <v>150</v>
      </c>
      <c r="M24" s="1" t="s">
        <v>43</v>
      </c>
      <c r="O24" s="2" t="str">
        <f>'Decison Tree'!$G$27</f>
        <v>Job Status</v>
      </c>
      <c r="P24" s="2" t="b">
        <v>0</v>
      </c>
    </row>
    <row r="25" spans="1:16" x14ac:dyDescent="0.3">
      <c r="A25" s="2" t="e">
        <f ca="1">'Decison Tree'!$H$26</f>
        <v>#VALUE!</v>
      </c>
      <c r="B25" s="1" t="s">
        <v>46</v>
      </c>
      <c r="C25" s="2">
        <v>0</v>
      </c>
      <c r="H25" s="2" t="s">
        <v>42</v>
      </c>
      <c r="I25" s="2" t="s">
        <v>42</v>
      </c>
      <c r="J25" s="2">
        <f>'Decison Tree'!$G$26</f>
        <v>7.4313532857142892</v>
      </c>
      <c r="K25" s="2">
        <f>'Decison Tree'!$G$25</f>
        <v>0.48707600000000001</v>
      </c>
      <c r="L25" s="2" t="s">
        <v>151</v>
      </c>
      <c r="M25" s="1" t="s">
        <v>43</v>
      </c>
      <c r="P25" s="2" t="b">
        <v>0</v>
      </c>
    </row>
    <row r="26" spans="1:16" x14ac:dyDescent="0.3">
      <c r="A26" s="2" t="e">
        <f ca="1">'Decison Tree'!$H$30</f>
        <v>#VALUE!</v>
      </c>
      <c r="B26" s="1" t="s">
        <v>90</v>
      </c>
      <c r="C26" s="2">
        <v>0</v>
      </c>
      <c r="H26" s="2" t="s">
        <v>42</v>
      </c>
      <c r="I26" s="2" t="s">
        <v>42</v>
      </c>
      <c r="J26" s="2">
        <f>'Decison Tree'!$G$30</f>
        <v>7.4313532857142892</v>
      </c>
      <c r="K26" s="2">
        <f>'Decison Tree'!$G$29</f>
        <v>0.51292399999999994</v>
      </c>
      <c r="L26" s="2" t="s">
        <v>151</v>
      </c>
      <c r="M26" s="1" t="s">
        <v>43</v>
      </c>
      <c r="P26" s="2" t="b">
        <v>0</v>
      </c>
    </row>
    <row r="27" spans="1:16" x14ac:dyDescent="0.3">
      <c r="A27" s="2" t="e">
        <f ca="1">'Decison Tree'!$G$36</f>
        <v>#VALUE!</v>
      </c>
      <c r="B27" s="1" t="s">
        <v>75</v>
      </c>
      <c r="C27" s="2">
        <v>0</v>
      </c>
      <c r="I27" s="2" t="s">
        <v>42</v>
      </c>
      <c r="J27" s="2">
        <f>'Decison Tree'!$F$36</f>
        <v>0</v>
      </c>
      <c r="K27" s="2">
        <f>'Decison Tree'!$F$35</f>
        <v>0.72</v>
      </c>
      <c r="L27" s="2" t="s">
        <v>152</v>
      </c>
      <c r="M27" s="1" t="s">
        <v>43</v>
      </c>
      <c r="O27" s="2" t="str">
        <f>'Decison Tree'!$G$35</f>
        <v>Job Status</v>
      </c>
      <c r="P27" s="2" t="b">
        <v>0</v>
      </c>
    </row>
    <row r="28" spans="1:16" x14ac:dyDescent="0.3">
      <c r="A28" s="2" t="e">
        <f ca="1">'Decison Tree'!$H$34</f>
        <v>#VALUE!</v>
      </c>
      <c r="B28" s="1" t="s">
        <v>46</v>
      </c>
      <c r="C28" s="2">
        <v>0</v>
      </c>
      <c r="H28" s="2" t="s">
        <v>42</v>
      </c>
      <c r="I28" s="2" t="s">
        <v>42</v>
      </c>
      <c r="J28" s="2">
        <f>'Decison Tree'!$G$34</f>
        <v>7.4313532857142892</v>
      </c>
      <c r="K28" s="2">
        <f>'Decison Tree'!$G$33</f>
        <v>0.48707600000000001</v>
      </c>
      <c r="L28" s="2" t="s">
        <v>153</v>
      </c>
      <c r="M28" s="1" t="s">
        <v>43</v>
      </c>
      <c r="P28" s="2" t="b">
        <v>0</v>
      </c>
    </row>
    <row r="29" spans="1:16" x14ac:dyDescent="0.3">
      <c r="A29" s="2" t="e">
        <f ca="1">'Decison Tree'!$H$38</f>
        <v>#VALUE!</v>
      </c>
      <c r="B29" s="1" t="s">
        <v>90</v>
      </c>
      <c r="C29" s="2">
        <v>0</v>
      </c>
      <c r="H29" s="2" t="s">
        <v>42</v>
      </c>
      <c r="I29" s="2" t="s">
        <v>42</v>
      </c>
      <c r="J29" s="2">
        <f>'Decison Tree'!$G$38</f>
        <v>7.4313532857142892</v>
      </c>
      <c r="K29" s="2">
        <f>'Decison Tree'!$G$37</f>
        <v>0.51292399999999994</v>
      </c>
      <c r="L29" s="2" t="s">
        <v>153</v>
      </c>
      <c r="M29" s="1" t="s">
        <v>43</v>
      </c>
      <c r="P29" s="2" t="b">
        <v>0</v>
      </c>
    </row>
    <row r="30" spans="1:16" x14ac:dyDescent="0.3">
      <c r="A30" s="2" t="e">
        <f ca="1">'Decison Tree'!$F$56</f>
        <v>#VALUE!</v>
      </c>
      <c r="B30" s="1" t="s">
        <v>49</v>
      </c>
      <c r="C30" s="2">
        <v>0</v>
      </c>
      <c r="I30" s="2" t="s">
        <v>42</v>
      </c>
      <c r="J30" s="2">
        <f>'Decison Tree'!$E$56</f>
        <v>0</v>
      </c>
      <c r="K30" s="2">
        <f>'Decison Tree'!$E$55</f>
        <v>0.68</v>
      </c>
      <c r="L30" s="2" t="s">
        <v>191</v>
      </c>
      <c r="M30" s="1" t="s">
        <v>43</v>
      </c>
      <c r="O30" s="2" t="str">
        <f>'Decison Tree'!$F$55</f>
        <v>Country of Study?</v>
      </c>
      <c r="P30" s="2" t="b">
        <v>0</v>
      </c>
    </row>
    <row r="31" spans="1:16" x14ac:dyDescent="0.3">
      <c r="A31" s="2" t="e">
        <f ca="1">'Decison Tree'!$F$102</f>
        <v>#VALUE!</v>
      </c>
      <c r="B31" s="1" t="s">
        <v>51</v>
      </c>
      <c r="C31" s="2">
        <v>0</v>
      </c>
      <c r="I31" s="2" t="s">
        <v>42</v>
      </c>
      <c r="J31" s="2">
        <f>'Decison Tree'!$E$102</f>
        <v>0</v>
      </c>
      <c r="K31" s="2">
        <f>'Decison Tree'!$E$101</f>
        <v>0.31999999999999995</v>
      </c>
      <c r="L31" s="2" t="s">
        <v>192</v>
      </c>
      <c r="M31" s="1" t="s">
        <v>43</v>
      </c>
      <c r="O31" s="2" t="str">
        <f>'Decison Tree'!$F$101</f>
        <v>Country of Study?</v>
      </c>
      <c r="P31" s="2" t="b">
        <v>0</v>
      </c>
    </row>
    <row r="32" spans="1:16" x14ac:dyDescent="0.3">
      <c r="A32" s="2" t="e">
        <f ca="1">'Decison Tree'!$G$48</f>
        <v>#VALUE!</v>
      </c>
      <c r="B32" s="1" t="s">
        <v>52</v>
      </c>
      <c r="C32" s="2">
        <v>0</v>
      </c>
      <c r="I32" s="2" t="s">
        <v>42</v>
      </c>
      <c r="J32" s="2">
        <f>'Decison Tree'!$F$48</f>
        <v>0</v>
      </c>
      <c r="L32" s="2" t="s">
        <v>157</v>
      </c>
      <c r="M32" s="1" t="s">
        <v>43</v>
      </c>
      <c r="O32" s="2" t="str">
        <f>'Decison Tree'!$G$47</f>
        <v>Source of Fund?</v>
      </c>
      <c r="P32" s="2" t="b">
        <v>0</v>
      </c>
    </row>
    <row r="33" spans="1:16" x14ac:dyDescent="0.3">
      <c r="A33" s="2" t="e">
        <f ca="1">'Decison Tree'!$G$64</f>
        <v>#VALUE!</v>
      </c>
      <c r="B33" s="1" t="s">
        <v>53</v>
      </c>
      <c r="C33" s="2">
        <v>0</v>
      </c>
      <c r="I33" s="2" t="s">
        <v>42</v>
      </c>
      <c r="J33" s="2">
        <f>'Decison Tree'!$F$64</f>
        <v>0</v>
      </c>
      <c r="L33" s="2" t="s">
        <v>167</v>
      </c>
      <c r="M33" s="1" t="s">
        <v>43</v>
      </c>
      <c r="O33" s="2" t="str">
        <f>'Decison Tree'!$G$63</f>
        <v>Source of Fund?</v>
      </c>
      <c r="P33" s="2" t="b">
        <v>0</v>
      </c>
    </row>
    <row r="34" spans="1:16" x14ac:dyDescent="0.3">
      <c r="A34" s="2" t="e">
        <f ca="1">'Decison Tree'!$G$78</f>
        <v>#VALUE!</v>
      </c>
      <c r="B34" s="1" t="s">
        <v>54</v>
      </c>
      <c r="C34" s="2">
        <v>0</v>
      </c>
      <c r="I34" s="2" t="s">
        <v>42</v>
      </c>
      <c r="J34" s="2">
        <f>'Decison Tree'!$F$78</f>
        <v>0</v>
      </c>
      <c r="L34" s="2" t="s">
        <v>176</v>
      </c>
      <c r="M34" s="1" t="s">
        <v>43</v>
      </c>
      <c r="O34" s="2" t="str">
        <f>'Decison Tree'!$G$77</f>
        <v>Source of Fund?</v>
      </c>
      <c r="P34" s="2" t="b">
        <v>0</v>
      </c>
    </row>
    <row r="35" spans="1:16" x14ac:dyDescent="0.3">
      <c r="A35" s="2" t="e">
        <f ca="1">'Decison Tree'!$G$94</f>
        <v>#VALUE!</v>
      </c>
      <c r="B35" s="1" t="s">
        <v>52</v>
      </c>
      <c r="C35" s="2">
        <v>0</v>
      </c>
      <c r="I35" s="2" t="s">
        <v>42</v>
      </c>
      <c r="J35" s="2">
        <f>'Decison Tree'!$F$94</f>
        <v>0</v>
      </c>
      <c r="L35" s="2" t="s">
        <v>162</v>
      </c>
      <c r="M35" s="1" t="s">
        <v>43</v>
      </c>
      <c r="O35" s="2" t="str">
        <f>'Decison Tree'!$G$93</f>
        <v>Source of Fund?</v>
      </c>
      <c r="P35" s="2" t="b">
        <v>0</v>
      </c>
    </row>
    <row r="36" spans="1:16" x14ac:dyDescent="0.3">
      <c r="A36" s="2" t="e">
        <f ca="1">'Decison Tree'!$G$110</f>
        <v>#VALUE!</v>
      </c>
      <c r="B36" s="1" t="s">
        <v>53</v>
      </c>
      <c r="C36" s="2">
        <v>0</v>
      </c>
      <c r="I36" s="2" t="s">
        <v>42</v>
      </c>
      <c r="J36" s="2">
        <f>'Decison Tree'!$F$110</f>
        <v>0</v>
      </c>
      <c r="L36" s="2" t="s">
        <v>171</v>
      </c>
      <c r="M36" s="1" t="s">
        <v>43</v>
      </c>
      <c r="O36" s="2" t="str">
        <f>'Decison Tree'!$G$109</f>
        <v>Source of Fund?</v>
      </c>
      <c r="P36" s="2" t="b">
        <v>0</v>
      </c>
    </row>
    <row r="37" spans="1:16" x14ac:dyDescent="0.3">
      <c r="A37" s="2" t="e">
        <f ca="1">'Decison Tree'!$G$124</f>
        <v>#VALUE!</v>
      </c>
      <c r="B37" s="1" t="s">
        <v>54</v>
      </c>
      <c r="C37" s="2">
        <v>0</v>
      </c>
      <c r="I37" s="2" t="s">
        <v>42</v>
      </c>
      <c r="J37" s="2">
        <f>'Decison Tree'!$F$124</f>
        <v>0</v>
      </c>
      <c r="L37" s="2" t="s">
        <v>180</v>
      </c>
      <c r="M37" s="1" t="s">
        <v>43</v>
      </c>
      <c r="O37" s="2" t="str">
        <f>'Decison Tree'!$G$123</f>
        <v>Source of Fund?</v>
      </c>
      <c r="P37" s="2" t="b">
        <v>0</v>
      </c>
    </row>
    <row r="38" spans="1:16" x14ac:dyDescent="0.3">
      <c r="A38" s="2" t="e">
        <f ca="1">'Decison Tree'!$H$44</f>
        <v>#VALUE!</v>
      </c>
      <c r="B38" s="1" t="s">
        <v>74</v>
      </c>
      <c r="C38" s="2">
        <v>0</v>
      </c>
      <c r="I38" s="2" t="s">
        <v>42</v>
      </c>
      <c r="J38" s="2">
        <f>'Decison Tree'!$G$44</f>
        <v>0</v>
      </c>
      <c r="K38" s="2">
        <f>'Decison Tree'!$G$43</f>
        <v>0.28000000000000003</v>
      </c>
      <c r="L38" s="2" t="s">
        <v>158</v>
      </c>
      <c r="M38" s="1" t="s">
        <v>43</v>
      </c>
      <c r="O38" s="2" t="str">
        <f>'Decison Tree'!$H$43</f>
        <v>Job Status</v>
      </c>
      <c r="P38" s="2" t="b">
        <v>0</v>
      </c>
    </row>
    <row r="39" spans="1:16" x14ac:dyDescent="0.3">
      <c r="A39" s="2" t="e">
        <f ca="1">'Decison Tree'!$I$42</f>
        <v>#VALUE!</v>
      </c>
      <c r="B39" s="1" t="s">
        <v>46</v>
      </c>
      <c r="C39" s="2">
        <v>0</v>
      </c>
      <c r="H39" s="2" t="s">
        <v>42</v>
      </c>
      <c r="I39" s="2" t="s">
        <v>42</v>
      </c>
      <c r="J39" s="2">
        <f>'Decison Tree'!$H$42</f>
        <v>98.866666666666674</v>
      </c>
      <c r="K39" s="2">
        <f>'Decison Tree'!$H$41</f>
        <v>0.73</v>
      </c>
      <c r="L39" s="2" t="s">
        <v>159</v>
      </c>
      <c r="M39" s="1" t="s">
        <v>43</v>
      </c>
      <c r="P39" s="2" t="b">
        <v>0</v>
      </c>
    </row>
    <row r="40" spans="1:16" x14ac:dyDescent="0.3">
      <c r="A40" s="2" t="e">
        <f ca="1">'Decison Tree'!$I$46</f>
        <v>#VALUE!</v>
      </c>
      <c r="B40" s="1" t="s">
        <v>90</v>
      </c>
      <c r="C40" s="2">
        <v>0</v>
      </c>
      <c r="H40" s="2" t="s">
        <v>42</v>
      </c>
      <c r="I40" s="2" t="s">
        <v>42</v>
      </c>
      <c r="J40" s="2">
        <f>'Decison Tree'!$H$46</f>
        <v>98.866666666666674</v>
      </c>
      <c r="K40" s="2">
        <f>'Decison Tree'!$H$45</f>
        <v>0.27</v>
      </c>
      <c r="L40" s="2" t="s">
        <v>159</v>
      </c>
      <c r="M40" s="1" t="s">
        <v>43</v>
      </c>
      <c r="P40" s="2" t="b">
        <v>0</v>
      </c>
    </row>
    <row r="41" spans="1:16" x14ac:dyDescent="0.3">
      <c r="A41" s="2" t="e">
        <f ca="1">'Decison Tree'!$H$52</f>
        <v>#VALUE!</v>
      </c>
      <c r="B41" s="1" t="s">
        <v>75</v>
      </c>
      <c r="C41" s="2">
        <v>0</v>
      </c>
      <c r="I41" s="2" t="s">
        <v>42</v>
      </c>
      <c r="J41" s="2">
        <f>'Decison Tree'!$G$52</f>
        <v>0</v>
      </c>
      <c r="K41" s="2">
        <f>'Decison Tree'!$G$51</f>
        <v>0.72</v>
      </c>
      <c r="L41" s="2" t="s">
        <v>160</v>
      </c>
      <c r="M41" s="1" t="s">
        <v>43</v>
      </c>
      <c r="O41" s="2" t="str">
        <f>'Decison Tree'!$H$51</f>
        <v>Job Status</v>
      </c>
      <c r="P41" s="2" t="b">
        <v>0</v>
      </c>
    </row>
    <row r="42" spans="1:16" x14ac:dyDescent="0.3">
      <c r="A42" s="2" t="e">
        <f ca="1">'Decison Tree'!$I$50</f>
        <v>#VALUE!</v>
      </c>
      <c r="B42" s="1" t="s">
        <v>46</v>
      </c>
      <c r="C42" s="2">
        <v>0</v>
      </c>
      <c r="H42" s="2" t="s">
        <v>42</v>
      </c>
      <c r="I42" s="2" t="s">
        <v>42</v>
      </c>
      <c r="J42" s="2">
        <f>'Decison Tree'!$H$50</f>
        <v>98.866666666666674</v>
      </c>
      <c r="K42" s="2">
        <f>'Decison Tree'!$H$49</f>
        <v>0.73</v>
      </c>
      <c r="L42" s="2" t="s">
        <v>161</v>
      </c>
      <c r="M42" s="1" t="s">
        <v>43</v>
      </c>
      <c r="P42" s="2" t="b">
        <v>0</v>
      </c>
    </row>
    <row r="43" spans="1:16" x14ac:dyDescent="0.3">
      <c r="A43" s="2" t="e">
        <f ca="1">'Decison Tree'!$I$54</f>
        <v>#VALUE!</v>
      </c>
      <c r="B43" s="1" t="s">
        <v>90</v>
      </c>
      <c r="C43" s="2">
        <v>0</v>
      </c>
      <c r="H43" s="2" t="s">
        <v>42</v>
      </c>
      <c r="I43" s="2" t="s">
        <v>42</v>
      </c>
      <c r="J43" s="2">
        <f>'Decison Tree'!$H$54</f>
        <v>98.866666666666674</v>
      </c>
      <c r="K43" s="2">
        <f>'Decison Tree'!$H$53</f>
        <v>0.27</v>
      </c>
      <c r="L43" s="2" t="s">
        <v>161</v>
      </c>
      <c r="M43" s="1" t="s">
        <v>43</v>
      </c>
      <c r="P43" s="2" t="b">
        <v>0</v>
      </c>
    </row>
    <row r="44" spans="1:16" x14ac:dyDescent="0.3">
      <c r="A44" s="2" t="e">
        <f ca="1">'Decison Tree'!$H$90</f>
        <v>#VALUE!</v>
      </c>
      <c r="B44" s="1" t="s">
        <v>74</v>
      </c>
      <c r="C44" s="2">
        <v>0</v>
      </c>
      <c r="I44" s="2" t="s">
        <v>42</v>
      </c>
      <c r="J44" s="2">
        <f>'Decison Tree'!$G$90</f>
        <v>0</v>
      </c>
      <c r="K44" s="2">
        <f>'Decison Tree'!$G$89</f>
        <v>0.28000000000000003</v>
      </c>
      <c r="L44" s="2" t="s">
        <v>163</v>
      </c>
      <c r="M44" s="1" t="s">
        <v>43</v>
      </c>
      <c r="O44" s="2" t="str">
        <f>'Decison Tree'!$H$89</f>
        <v>Job Status</v>
      </c>
      <c r="P44" s="2" t="b">
        <v>0</v>
      </c>
    </row>
    <row r="45" spans="1:16" x14ac:dyDescent="0.3">
      <c r="A45" s="2" t="e">
        <f ca="1">'Decison Tree'!$I$88</f>
        <v>#VALUE!</v>
      </c>
      <c r="B45" s="1" t="s">
        <v>46</v>
      </c>
      <c r="C45" s="2">
        <v>0</v>
      </c>
      <c r="H45" s="2" t="s">
        <v>42</v>
      </c>
      <c r="I45" s="2" t="s">
        <v>42</v>
      </c>
      <c r="J45" s="2">
        <f>'Decison Tree'!$H$88</f>
        <v>93.152380952380952</v>
      </c>
      <c r="K45" s="2">
        <f>'Decison Tree'!$H$87</f>
        <v>0.73</v>
      </c>
      <c r="L45" s="2" t="s">
        <v>164</v>
      </c>
      <c r="M45" s="1" t="s">
        <v>43</v>
      </c>
      <c r="P45" s="2" t="b">
        <v>0</v>
      </c>
    </row>
    <row r="46" spans="1:16" x14ac:dyDescent="0.3">
      <c r="A46" s="2" t="e">
        <f ca="1">'Decison Tree'!$I$92</f>
        <v>#VALUE!</v>
      </c>
      <c r="B46" s="1" t="s">
        <v>90</v>
      </c>
      <c r="C46" s="2">
        <v>0</v>
      </c>
      <c r="H46" s="2" t="s">
        <v>42</v>
      </c>
      <c r="I46" s="2" t="s">
        <v>42</v>
      </c>
      <c r="J46" s="2">
        <f>'Decison Tree'!$H$92</f>
        <v>93.152380952380952</v>
      </c>
      <c r="K46" s="2">
        <f>'Decison Tree'!$H$91</f>
        <v>0.27</v>
      </c>
      <c r="L46" s="2" t="s">
        <v>164</v>
      </c>
      <c r="M46" s="1" t="s">
        <v>43</v>
      </c>
      <c r="P46" s="2" t="b">
        <v>0</v>
      </c>
    </row>
    <row r="47" spans="1:16" x14ac:dyDescent="0.3">
      <c r="A47" s="2" t="e">
        <f ca="1">'Decison Tree'!$H$98</f>
        <v>#VALUE!</v>
      </c>
      <c r="B47" s="1" t="s">
        <v>75</v>
      </c>
      <c r="C47" s="2">
        <v>0</v>
      </c>
      <c r="I47" s="2" t="s">
        <v>42</v>
      </c>
      <c r="J47" s="2">
        <f>'Decison Tree'!$G$98</f>
        <v>0</v>
      </c>
      <c r="K47" s="2">
        <f>'Decison Tree'!$G$97</f>
        <v>0.72</v>
      </c>
      <c r="L47" s="2" t="s">
        <v>165</v>
      </c>
      <c r="M47" s="1" t="s">
        <v>43</v>
      </c>
      <c r="O47" s="2" t="str">
        <f>'Decison Tree'!$H$97</f>
        <v>Job Status</v>
      </c>
      <c r="P47" s="2" t="b">
        <v>0</v>
      </c>
    </row>
    <row r="48" spans="1:16" x14ac:dyDescent="0.3">
      <c r="A48" s="2" t="e">
        <f ca="1">'Decison Tree'!$I$96</f>
        <v>#VALUE!</v>
      </c>
      <c r="B48" s="1" t="s">
        <v>46</v>
      </c>
      <c r="C48" s="2">
        <v>0</v>
      </c>
      <c r="H48" s="2" t="s">
        <v>42</v>
      </c>
      <c r="I48" s="2" t="s">
        <v>42</v>
      </c>
      <c r="J48" s="2">
        <f>'Decison Tree'!$H$96</f>
        <v>93.152380952380952</v>
      </c>
      <c r="K48" s="2">
        <f>'Decison Tree'!$H$95</f>
        <v>0.73</v>
      </c>
      <c r="L48" s="2" t="s">
        <v>166</v>
      </c>
      <c r="M48" s="1" t="s">
        <v>43</v>
      </c>
      <c r="P48" s="2" t="b">
        <v>0</v>
      </c>
    </row>
    <row r="49" spans="1:16" x14ac:dyDescent="0.3">
      <c r="A49" s="2" t="e">
        <f ca="1">'Decison Tree'!$I$100</f>
        <v>#VALUE!</v>
      </c>
      <c r="B49" s="1" t="s">
        <v>90</v>
      </c>
      <c r="C49" s="2">
        <v>0</v>
      </c>
      <c r="H49" s="2" t="s">
        <v>42</v>
      </c>
      <c r="I49" s="2" t="s">
        <v>42</v>
      </c>
      <c r="J49" s="2">
        <f>'Decison Tree'!$H$100</f>
        <v>93.152380952380952</v>
      </c>
      <c r="K49" s="2">
        <f>'Decison Tree'!$H$99</f>
        <v>0.27</v>
      </c>
      <c r="L49" s="2" t="s">
        <v>166</v>
      </c>
      <c r="M49" s="1" t="s">
        <v>43</v>
      </c>
      <c r="P49" s="2" t="b">
        <v>0</v>
      </c>
    </row>
    <row r="50" spans="1:16" x14ac:dyDescent="0.3">
      <c r="A50" s="2" t="e">
        <f ca="1">'Decison Tree'!$H$60</f>
        <v>#VALUE!</v>
      </c>
      <c r="B50" s="1" t="s">
        <v>74</v>
      </c>
      <c r="C50" s="2">
        <v>0</v>
      </c>
      <c r="I50" s="2" t="s">
        <v>42</v>
      </c>
      <c r="J50" s="2">
        <f>'Decison Tree'!$G$60</f>
        <v>0</v>
      </c>
      <c r="K50" s="2">
        <f>'Decison Tree'!$G$59</f>
        <v>0.28000000000000003</v>
      </c>
      <c r="L50" s="2" t="s">
        <v>168</v>
      </c>
      <c r="M50" s="1" t="s">
        <v>43</v>
      </c>
      <c r="O50" s="2" t="str">
        <f>'Decison Tree'!$H$59</f>
        <v>Job Status</v>
      </c>
      <c r="P50" s="2" t="b">
        <v>0</v>
      </c>
    </row>
    <row r="51" spans="1:16" x14ac:dyDescent="0.3">
      <c r="A51" s="2" t="e">
        <f ca="1">'Decison Tree'!$I$58</f>
        <v>#VALUE!</v>
      </c>
      <c r="B51" s="1" t="s">
        <v>46</v>
      </c>
      <c r="C51" s="2">
        <v>0</v>
      </c>
      <c r="H51" s="2" t="s">
        <v>42</v>
      </c>
      <c r="I51" s="2" t="s">
        <v>42</v>
      </c>
      <c r="J51" s="2">
        <f>'Decison Tree'!$H$58</f>
        <v>79.161904761904765</v>
      </c>
      <c r="K51" s="2">
        <f>'Decison Tree'!$H$57</f>
        <v>0.82</v>
      </c>
      <c r="L51" s="2" t="s">
        <v>58</v>
      </c>
      <c r="M51" s="1" t="s">
        <v>43</v>
      </c>
      <c r="P51" s="2" t="b">
        <v>0</v>
      </c>
    </row>
    <row r="52" spans="1:16" x14ac:dyDescent="0.3">
      <c r="A52" s="2" t="e">
        <f ca="1">'Decison Tree'!$I$62</f>
        <v>#VALUE!</v>
      </c>
      <c r="B52" s="1" t="s">
        <v>90</v>
      </c>
      <c r="C52" s="2">
        <v>0</v>
      </c>
      <c r="H52" s="2" t="s">
        <v>42</v>
      </c>
      <c r="I52" s="2" t="s">
        <v>42</v>
      </c>
      <c r="J52" s="2">
        <f>'Decison Tree'!$H$62</f>
        <v>79.161904761904765</v>
      </c>
      <c r="K52" s="2">
        <f>'Decison Tree'!$H$61</f>
        <v>0.18000000000000005</v>
      </c>
      <c r="L52" s="2" t="s">
        <v>58</v>
      </c>
      <c r="M52" s="1" t="s">
        <v>43</v>
      </c>
      <c r="P52" s="2" t="b">
        <v>0</v>
      </c>
    </row>
    <row r="53" spans="1:16" x14ac:dyDescent="0.3">
      <c r="A53" s="2" t="e">
        <f ca="1">'Decison Tree'!$H$68</f>
        <v>#VALUE!</v>
      </c>
      <c r="B53" s="1" t="s">
        <v>75</v>
      </c>
      <c r="C53" s="2">
        <v>0</v>
      </c>
      <c r="I53" s="2" t="s">
        <v>42</v>
      </c>
      <c r="J53" s="2">
        <f>'Decison Tree'!$G$68</f>
        <v>0</v>
      </c>
      <c r="K53" s="2">
        <f>'Decison Tree'!$G$67</f>
        <v>0.72</v>
      </c>
      <c r="L53" s="2" t="s">
        <v>169</v>
      </c>
      <c r="M53" s="1" t="s">
        <v>43</v>
      </c>
      <c r="O53" s="2" t="str">
        <f>'Decison Tree'!$H$67</f>
        <v>Job Status</v>
      </c>
      <c r="P53" s="2" t="b">
        <v>0</v>
      </c>
    </row>
    <row r="54" spans="1:16" x14ac:dyDescent="0.3">
      <c r="A54" s="2" t="e">
        <f ca="1">'Decison Tree'!$I$66</f>
        <v>#VALUE!</v>
      </c>
      <c r="B54" s="1" t="s">
        <v>46</v>
      </c>
      <c r="C54" s="2">
        <v>0</v>
      </c>
      <c r="H54" s="2" t="s">
        <v>42</v>
      </c>
      <c r="I54" s="2" t="s">
        <v>42</v>
      </c>
      <c r="J54" s="2">
        <f>'Decison Tree'!$H$66</f>
        <v>79.161904761904765</v>
      </c>
      <c r="K54" s="2">
        <f>'Decison Tree'!$H$65</f>
        <v>0.82</v>
      </c>
      <c r="L54" s="2" t="s">
        <v>170</v>
      </c>
      <c r="M54" s="1" t="s">
        <v>43</v>
      </c>
      <c r="P54" s="2" t="b">
        <v>0</v>
      </c>
    </row>
    <row r="55" spans="1:16" x14ac:dyDescent="0.3">
      <c r="A55" s="2" t="e">
        <f ca="1">'Decison Tree'!$I$70</f>
        <v>#VALUE!</v>
      </c>
      <c r="B55" s="1" t="s">
        <v>90</v>
      </c>
      <c r="C55" s="2">
        <v>0</v>
      </c>
      <c r="H55" s="2" t="s">
        <v>42</v>
      </c>
      <c r="I55" s="2" t="s">
        <v>42</v>
      </c>
      <c r="J55" s="2">
        <f>'Decison Tree'!$H$70</f>
        <v>79.161904761904765</v>
      </c>
      <c r="K55" s="2">
        <f>'Decison Tree'!$H$69</f>
        <v>0.18000000000000005</v>
      </c>
      <c r="L55" s="2" t="s">
        <v>170</v>
      </c>
      <c r="M55" s="1" t="s">
        <v>43</v>
      </c>
      <c r="P55" s="2" t="b">
        <v>0</v>
      </c>
    </row>
    <row r="56" spans="1:16" x14ac:dyDescent="0.3">
      <c r="A56" s="2" t="e">
        <f ca="1">'Decison Tree'!$H$106</f>
        <v>#VALUE!</v>
      </c>
      <c r="B56" s="1" t="s">
        <v>74</v>
      </c>
      <c r="C56" s="2">
        <v>0</v>
      </c>
      <c r="I56" s="2" t="s">
        <v>42</v>
      </c>
      <c r="J56" s="2">
        <f>'Decison Tree'!$G$106</f>
        <v>0</v>
      </c>
      <c r="K56" s="2">
        <f>'Decison Tree'!$G$105</f>
        <v>0.28000000000000003</v>
      </c>
      <c r="L56" s="2" t="s">
        <v>172</v>
      </c>
      <c r="M56" s="1" t="s">
        <v>43</v>
      </c>
      <c r="O56" s="2" t="str">
        <f>'Decison Tree'!$H$105</f>
        <v>Job Status</v>
      </c>
      <c r="P56" s="2" t="b">
        <v>0</v>
      </c>
    </row>
    <row r="57" spans="1:16" x14ac:dyDescent="0.3">
      <c r="A57" s="2" t="e">
        <f ca="1">'Decison Tree'!$I$104</f>
        <v>#VALUE!</v>
      </c>
      <c r="B57" s="1" t="s">
        <v>46</v>
      </c>
      <c r="C57" s="2">
        <v>0</v>
      </c>
      <c r="H57" s="2" t="s">
        <v>42</v>
      </c>
      <c r="I57" s="2" t="s">
        <v>42</v>
      </c>
      <c r="J57" s="2">
        <f>'Decison Tree'!$H$104</f>
        <v>80.590476190476195</v>
      </c>
      <c r="K57" s="2">
        <f>'Decison Tree'!$H$103</f>
        <v>0.82</v>
      </c>
      <c r="L57" s="2" t="s">
        <v>173</v>
      </c>
      <c r="M57" s="1" t="s">
        <v>43</v>
      </c>
      <c r="P57" s="2" t="b">
        <v>0</v>
      </c>
    </row>
    <row r="58" spans="1:16" x14ac:dyDescent="0.3">
      <c r="A58" s="2" t="e">
        <f ca="1">'Decison Tree'!$I$108</f>
        <v>#VALUE!</v>
      </c>
      <c r="B58" s="1" t="s">
        <v>90</v>
      </c>
      <c r="C58" s="2">
        <v>0</v>
      </c>
      <c r="H58" s="2" t="s">
        <v>42</v>
      </c>
      <c r="I58" s="2" t="s">
        <v>42</v>
      </c>
      <c r="J58" s="2">
        <f>'Decison Tree'!$H$108</f>
        <v>80.590476190476195</v>
      </c>
      <c r="K58" s="2">
        <f>'Decison Tree'!$H$107</f>
        <v>0.18000000000000005</v>
      </c>
      <c r="L58" s="2" t="s">
        <v>173</v>
      </c>
      <c r="M58" s="1" t="s">
        <v>43</v>
      </c>
      <c r="P58" s="2" t="b">
        <v>0</v>
      </c>
    </row>
    <row r="59" spans="1:16" x14ac:dyDescent="0.3">
      <c r="A59" s="2" t="e">
        <f ca="1">'Decison Tree'!$H$114</f>
        <v>#VALUE!</v>
      </c>
      <c r="B59" s="1" t="s">
        <v>75</v>
      </c>
      <c r="C59" s="2">
        <v>0</v>
      </c>
      <c r="I59" s="2" t="s">
        <v>42</v>
      </c>
      <c r="J59" s="2">
        <f>'Decison Tree'!$G$114</f>
        <v>0</v>
      </c>
      <c r="K59" s="2">
        <f>'Decison Tree'!$G$113</f>
        <v>0.72</v>
      </c>
      <c r="L59" s="2" t="s">
        <v>174</v>
      </c>
      <c r="M59" s="1" t="s">
        <v>43</v>
      </c>
      <c r="O59" s="2" t="str">
        <f>'Decison Tree'!$H$113</f>
        <v>Job Status</v>
      </c>
      <c r="P59" s="2" t="b">
        <v>0</v>
      </c>
    </row>
    <row r="60" spans="1:16" x14ac:dyDescent="0.3">
      <c r="A60" s="2" t="e">
        <f ca="1">'Decison Tree'!$I$112</f>
        <v>#VALUE!</v>
      </c>
      <c r="B60" s="1" t="s">
        <v>46</v>
      </c>
      <c r="C60" s="2">
        <v>0</v>
      </c>
      <c r="H60" s="2" t="s">
        <v>42</v>
      </c>
      <c r="I60" s="2" t="s">
        <v>42</v>
      </c>
      <c r="J60" s="2">
        <f>'Decison Tree'!$H$112</f>
        <v>80.590476190476195</v>
      </c>
      <c r="K60" s="2">
        <f>'Decison Tree'!$H$111</f>
        <v>0.82</v>
      </c>
      <c r="L60" s="2" t="s">
        <v>175</v>
      </c>
      <c r="M60" s="1" t="s">
        <v>43</v>
      </c>
      <c r="P60" s="2" t="b">
        <v>0</v>
      </c>
    </row>
    <row r="61" spans="1:16" x14ac:dyDescent="0.3">
      <c r="A61" s="2" t="e">
        <f ca="1">'Decison Tree'!$I$116</f>
        <v>#VALUE!</v>
      </c>
      <c r="B61" s="1" t="s">
        <v>90</v>
      </c>
      <c r="C61" s="2">
        <v>0</v>
      </c>
      <c r="H61" s="2" t="s">
        <v>42</v>
      </c>
      <c r="I61" s="2" t="s">
        <v>42</v>
      </c>
      <c r="J61" s="2">
        <f>'Decison Tree'!$H$116</f>
        <v>80.590476190476195</v>
      </c>
      <c r="K61" s="2">
        <f>'Decison Tree'!$H$115</f>
        <v>0.18000000000000005</v>
      </c>
      <c r="L61" s="2" t="s">
        <v>175</v>
      </c>
      <c r="M61" s="1" t="s">
        <v>43</v>
      </c>
      <c r="P61" s="2" t="b">
        <v>0</v>
      </c>
    </row>
    <row r="62" spans="1:16" x14ac:dyDescent="0.3">
      <c r="A62" s="2" t="e">
        <f ca="1">'Decison Tree'!$H$74</f>
        <v>#VALUE!</v>
      </c>
      <c r="B62" s="1" t="s">
        <v>74</v>
      </c>
      <c r="C62" s="2">
        <v>0</v>
      </c>
      <c r="I62" s="2" t="s">
        <v>42</v>
      </c>
      <c r="J62" s="2">
        <f>'Decison Tree'!$G$74</f>
        <v>0</v>
      </c>
      <c r="K62" s="2">
        <f>'Decison Tree'!$G$73</f>
        <v>0.28000000000000003</v>
      </c>
      <c r="L62" s="2" t="s">
        <v>177</v>
      </c>
      <c r="M62" s="1" t="s">
        <v>43</v>
      </c>
      <c r="O62" s="2" t="str">
        <f>'Decison Tree'!$H$73</f>
        <v>Job Status</v>
      </c>
      <c r="P62" s="2" t="b">
        <v>0</v>
      </c>
    </row>
    <row r="63" spans="1:16" x14ac:dyDescent="0.3">
      <c r="A63" s="2" t="e">
        <f ca="1">'Decison Tree'!$I$72</f>
        <v>#VALUE!</v>
      </c>
      <c r="B63" s="1" t="s">
        <v>46</v>
      </c>
      <c r="C63" s="2">
        <v>0</v>
      </c>
      <c r="H63" s="2" t="s">
        <v>42</v>
      </c>
      <c r="I63" s="2" t="s">
        <v>42</v>
      </c>
      <c r="J63" s="2">
        <f>'Decison Tree'!$H$72</f>
        <v>85.714285714285722</v>
      </c>
      <c r="K63" s="2">
        <f>'Decison Tree'!$H$71</f>
        <v>0.94299999999999995</v>
      </c>
      <c r="L63" s="2" t="s">
        <v>77</v>
      </c>
      <c r="M63" s="1" t="s">
        <v>43</v>
      </c>
      <c r="P63" s="2" t="b">
        <v>0</v>
      </c>
    </row>
    <row r="64" spans="1:16" x14ac:dyDescent="0.3">
      <c r="A64" s="2" t="e">
        <f ca="1">'Decison Tree'!$I$76</f>
        <v>#VALUE!</v>
      </c>
      <c r="B64" s="1" t="s">
        <v>90</v>
      </c>
      <c r="C64" s="2">
        <v>0</v>
      </c>
      <c r="H64" s="2" t="s">
        <v>42</v>
      </c>
      <c r="I64" s="2" t="s">
        <v>42</v>
      </c>
      <c r="J64" s="2">
        <f>'Decison Tree'!$H$76</f>
        <v>85.714285714285722</v>
      </c>
      <c r="K64" s="2">
        <f>'Decison Tree'!$H$75</f>
        <v>5.7000000000000002E-2</v>
      </c>
      <c r="L64" s="2" t="s">
        <v>77</v>
      </c>
      <c r="M64" s="1" t="s">
        <v>43</v>
      </c>
      <c r="P64" s="2" t="b">
        <v>0</v>
      </c>
    </row>
    <row r="65" spans="1:16" x14ac:dyDescent="0.3">
      <c r="A65" s="2" t="e">
        <f ca="1">'Decison Tree'!$H$82</f>
        <v>#VALUE!</v>
      </c>
      <c r="B65" s="1" t="s">
        <v>75</v>
      </c>
      <c r="C65" s="2">
        <v>0</v>
      </c>
      <c r="I65" s="2" t="s">
        <v>42</v>
      </c>
      <c r="J65" s="2">
        <f>'Decison Tree'!$G$82</f>
        <v>0</v>
      </c>
      <c r="K65" s="2">
        <f>'Decison Tree'!$G$81</f>
        <v>0.72</v>
      </c>
      <c r="L65" s="2" t="s">
        <v>178</v>
      </c>
      <c r="M65" s="1" t="s">
        <v>43</v>
      </c>
      <c r="O65" s="2" t="str">
        <f>'Decison Tree'!$H$81</f>
        <v>Job Status</v>
      </c>
      <c r="P65" s="2" t="b">
        <v>0</v>
      </c>
    </row>
    <row r="66" spans="1:16" x14ac:dyDescent="0.3">
      <c r="A66" s="2" t="e">
        <f ca="1">'Decison Tree'!$I$80</f>
        <v>#VALUE!</v>
      </c>
      <c r="B66" s="1" t="s">
        <v>46</v>
      </c>
      <c r="C66" s="2">
        <v>0</v>
      </c>
      <c r="H66" s="2" t="s">
        <v>42</v>
      </c>
      <c r="I66" s="2" t="s">
        <v>42</v>
      </c>
      <c r="J66" s="2">
        <f>'Decison Tree'!$H$80</f>
        <v>85.714285714285722</v>
      </c>
      <c r="K66" s="2">
        <f>'Decison Tree'!$H$79</f>
        <v>0.94299999999999995</v>
      </c>
      <c r="L66" s="2" t="s">
        <v>179</v>
      </c>
      <c r="M66" s="1" t="s">
        <v>43</v>
      </c>
      <c r="P66" s="2" t="b">
        <v>0</v>
      </c>
    </row>
    <row r="67" spans="1:16" x14ac:dyDescent="0.3">
      <c r="A67" s="2" t="e">
        <f ca="1">'Decison Tree'!$I$84</f>
        <v>#VALUE!</v>
      </c>
      <c r="B67" s="1" t="s">
        <v>90</v>
      </c>
      <c r="C67" s="2">
        <v>0</v>
      </c>
      <c r="H67" s="2" t="s">
        <v>42</v>
      </c>
      <c r="I67" s="2" t="s">
        <v>42</v>
      </c>
      <c r="J67" s="2">
        <f>'Decison Tree'!$H$84</f>
        <v>85.714285714285722</v>
      </c>
      <c r="K67" s="2">
        <f>'Decison Tree'!$H$83</f>
        <v>5.7000000000000002E-2</v>
      </c>
      <c r="L67" s="2" t="s">
        <v>179</v>
      </c>
      <c r="M67" s="1" t="s">
        <v>43</v>
      </c>
      <c r="P67" s="2" t="b">
        <v>0</v>
      </c>
    </row>
    <row r="68" spans="1:16" x14ac:dyDescent="0.3">
      <c r="A68" s="2" t="e">
        <f ca="1">'Decison Tree'!$H$120</f>
        <v>#VALUE!</v>
      </c>
      <c r="B68" s="1" t="s">
        <v>74</v>
      </c>
      <c r="C68" s="2">
        <v>0</v>
      </c>
      <c r="I68" s="2" t="s">
        <v>42</v>
      </c>
      <c r="J68" s="2">
        <f>'Decison Tree'!$G$120</f>
        <v>0</v>
      </c>
      <c r="K68" s="2">
        <f>'Decison Tree'!$G$119</f>
        <v>0.28000000000000003</v>
      </c>
      <c r="L68" s="2" t="s">
        <v>181</v>
      </c>
      <c r="M68" s="1" t="s">
        <v>43</v>
      </c>
      <c r="O68" s="2" t="str">
        <f>'Decison Tree'!$H$119</f>
        <v>Job Status</v>
      </c>
      <c r="P68" s="2" t="b">
        <v>0</v>
      </c>
    </row>
    <row r="69" spans="1:16" x14ac:dyDescent="0.3">
      <c r="A69" s="2" t="e">
        <f ca="1">'Decison Tree'!$I$118</f>
        <v>#VALUE!</v>
      </c>
      <c r="B69" s="1" t="s">
        <v>46</v>
      </c>
      <c r="C69" s="2">
        <v>0</v>
      </c>
      <c r="H69" s="2" t="s">
        <v>42</v>
      </c>
      <c r="I69" s="2" t="s">
        <v>42</v>
      </c>
      <c r="J69" s="2">
        <f>'Decison Tree'!$H$118</f>
        <v>91.428571428571431</v>
      </c>
      <c r="K69" s="2">
        <f>'Decison Tree'!$H$117</f>
        <v>0.94299999999999995</v>
      </c>
      <c r="L69" s="2" t="s">
        <v>182</v>
      </c>
      <c r="M69" s="1" t="s">
        <v>43</v>
      </c>
      <c r="P69" s="2" t="b">
        <v>0</v>
      </c>
    </row>
    <row r="70" spans="1:16" x14ac:dyDescent="0.3">
      <c r="A70" s="2" t="e">
        <f ca="1">'Decison Tree'!$I$122</f>
        <v>#VALUE!</v>
      </c>
      <c r="B70" s="1" t="s">
        <v>90</v>
      </c>
      <c r="C70" s="2">
        <v>0</v>
      </c>
      <c r="H70" s="2" t="s">
        <v>42</v>
      </c>
      <c r="I70" s="2" t="s">
        <v>42</v>
      </c>
      <c r="J70" s="2">
        <f>'Decison Tree'!$H$122</f>
        <v>91.428571428571431</v>
      </c>
      <c r="K70" s="2">
        <f>'Decison Tree'!$H$121</f>
        <v>5.7000000000000002E-2</v>
      </c>
      <c r="L70" s="2" t="s">
        <v>182</v>
      </c>
      <c r="M70" s="1" t="s">
        <v>43</v>
      </c>
      <c r="P70" s="2" t="b">
        <v>0</v>
      </c>
    </row>
    <row r="71" spans="1:16" x14ac:dyDescent="0.3">
      <c r="A71" s="2" t="e">
        <f ca="1">'Decison Tree'!$H$128</f>
        <v>#VALUE!</v>
      </c>
      <c r="B71" s="1" t="s">
        <v>75</v>
      </c>
      <c r="C71" s="2">
        <v>0</v>
      </c>
      <c r="I71" s="2" t="s">
        <v>42</v>
      </c>
      <c r="J71" s="2">
        <f>'Decison Tree'!$G$128</f>
        <v>0</v>
      </c>
      <c r="K71" s="2">
        <f>'Decison Tree'!$G$127</f>
        <v>0.72</v>
      </c>
      <c r="L71" s="2" t="s">
        <v>183</v>
      </c>
      <c r="M71" s="1" t="s">
        <v>43</v>
      </c>
      <c r="O71" s="2" t="str">
        <f>'Decison Tree'!$H$127</f>
        <v>Job Status</v>
      </c>
      <c r="P71" s="2" t="b">
        <v>0</v>
      </c>
    </row>
    <row r="72" spans="1:16" x14ac:dyDescent="0.3">
      <c r="A72" s="2" t="e">
        <f ca="1">'Decison Tree'!$I$126</f>
        <v>#VALUE!</v>
      </c>
      <c r="B72" s="1" t="s">
        <v>46</v>
      </c>
      <c r="C72" s="2">
        <v>0</v>
      </c>
      <c r="H72" s="2" t="s">
        <v>42</v>
      </c>
      <c r="I72" s="2" t="s">
        <v>42</v>
      </c>
      <c r="J72" s="2">
        <f>'Decison Tree'!$H$126</f>
        <v>91.428571428571431</v>
      </c>
      <c r="K72" s="2">
        <f>'Decison Tree'!$H$125</f>
        <v>0.94299999999999995</v>
      </c>
      <c r="L72" s="2" t="s">
        <v>184</v>
      </c>
      <c r="M72" s="1" t="s">
        <v>43</v>
      </c>
      <c r="P72" s="2" t="b">
        <v>0</v>
      </c>
    </row>
    <row r="73" spans="1:16" x14ac:dyDescent="0.3">
      <c r="A73" s="2" t="e">
        <f ca="1">'Decison Tree'!$I$130</f>
        <v>#VALUE!</v>
      </c>
      <c r="B73" s="1" t="s">
        <v>90</v>
      </c>
      <c r="C73" s="2">
        <v>0</v>
      </c>
      <c r="H73" s="2" t="s">
        <v>42</v>
      </c>
      <c r="I73" s="2" t="s">
        <v>42</v>
      </c>
      <c r="J73" s="2">
        <f>'Decison Tree'!$H$130</f>
        <v>91.428571428571431</v>
      </c>
      <c r="K73" s="2">
        <f>'Decison Tree'!$H$129</f>
        <v>5.7000000000000002E-2</v>
      </c>
      <c r="L73" s="2" t="s">
        <v>184</v>
      </c>
      <c r="M73" s="1" t="s">
        <v>43</v>
      </c>
      <c r="P73" s="2" t="b">
        <v>0</v>
      </c>
    </row>
    <row r="74" spans="1:16" x14ac:dyDescent="0.3">
      <c r="A74" s="2" t="e">
        <f ca="1">'Decison Tree'!$E$136</f>
        <v>#VALUE!</v>
      </c>
      <c r="B74" s="1" t="s">
        <v>79</v>
      </c>
      <c r="C74" s="2">
        <v>0</v>
      </c>
      <c r="I74" s="2" t="s">
        <v>42</v>
      </c>
      <c r="J74" s="2">
        <f>'Decison Tree'!$D$136</f>
        <v>0</v>
      </c>
      <c r="K74" s="2">
        <f>'Decison Tree'!$D$135</f>
        <v>0.5</v>
      </c>
      <c r="L74" s="2" t="s">
        <v>187</v>
      </c>
      <c r="M74" s="1" t="s">
        <v>43</v>
      </c>
      <c r="O74" s="2" t="str">
        <f>'Decison Tree'!$E$135</f>
        <v>Type of Placement?</v>
      </c>
      <c r="P74" s="2" t="b">
        <v>0</v>
      </c>
    </row>
    <row r="75" spans="1:16" x14ac:dyDescent="0.3">
      <c r="A75" s="2" t="e">
        <f ca="1">'Decison Tree'!$E$146</f>
        <v>#VALUE!</v>
      </c>
      <c r="B75" s="1" t="s">
        <v>80</v>
      </c>
      <c r="C75" s="2">
        <v>0</v>
      </c>
      <c r="I75" s="2" t="s">
        <v>42</v>
      </c>
      <c r="J75" s="2">
        <f>'Decison Tree'!$D$146</f>
        <v>0</v>
      </c>
      <c r="K75" s="2">
        <f>'Decison Tree'!$D$145</f>
        <v>0.5</v>
      </c>
      <c r="L75" s="2" t="s">
        <v>188</v>
      </c>
      <c r="M75" s="1" t="s">
        <v>43</v>
      </c>
      <c r="O75" s="2" t="str">
        <f>'Decison Tree'!$E$145</f>
        <v>Type of Placement?</v>
      </c>
      <c r="P75" s="2" t="b">
        <v>0</v>
      </c>
    </row>
    <row r="76" spans="1:16" x14ac:dyDescent="0.3">
      <c r="A76" s="2" t="e">
        <f ca="1">'Decison Tree'!$F$134</f>
        <v>#VALUE!</v>
      </c>
      <c r="B76" s="1" t="s">
        <v>46</v>
      </c>
      <c r="C76" s="2">
        <v>0</v>
      </c>
      <c r="H76" s="2" t="s">
        <v>42</v>
      </c>
      <c r="I76" s="2" t="s">
        <v>42</v>
      </c>
      <c r="J76" s="2">
        <f>'Decison Tree'!$E$134</f>
        <v>1.542111428571429</v>
      </c>
      <c r="K76" s="2">
        <f>'Decison Tree'!$E$133</f>
        <v>0.60099999999999998</v>
      </c>
      <c r="L76" s="2" t="s">
        <v>78</v>
      </c>
      <c r="M76" s="1" t="s">
        <v>43</v>
      </c>
      <c r="P76" s="2" t="b">
        <v>0</v>
      </c>
    </row>
    <row r="77" spans="1:16" x14ac:dyDescent="0.3">
      <c r="A77" s="2" t="e">
        <f ca="1">'Decison Tree'!$F$138</f>
        <v>#VALUE!</v>
      </c>
      <c r="B77" s="1" t="s">
        <v>93</v>
      </c>
      <c r="C77" s="2">
        <v>0</v>
      </c>
      <c r="H77" s="2" t="s">
        <v>42</v>
      </c>
      <c r="I77" s="2" t="s">
        <v>42</v>
      </c>
      <c r="J77" s="2">
        <f>'Decison Tree'!$E$138</f>
        <v>0.77105571428571451</v>
      </c>
      <c r="K77" s="2">
        <f>'Decison Tree'!$E$137</f>
        <v>0.25</v>
      </c>
      <c r="L77" s="2" t="s">
        <v>78</v>
      </c>
      <c r="M77" s="1" t="s">
        <v>43</v>
      </c>
      <c r="P77" s="2" t="b">
        <v>0</v>
      </c>
    </row>
    <row r="78" spans="1:16" x14ac:dyDescent="0.3">
      <c r="A78" s="2" t="e">
        <f ca="1">'Decison Tree'!$F$140</f>
        <v>#VALUE!</v>
      </c>
      <c r="B78" s="1" t="s">
        <v>90</v>
      </c>
      <c r="C78" s="2">
        <v>0</v>
      </c>
      <c r="H78" s="2" t="s">
        <v>42</v>
      </c>
      <c r="I78" s="2" t="s">
        <v>42</v>
      </c>
      <c r="J78" s="2">
        <f>'Decison Tree'!$E$140</f>
        <v>0</v>
      </c>
      <c r="K78" s="2">
        <f>'Decison Tree'!$E$139</f>
        <v>0.14899999999999999</v>
      </c>
      <c r="L78" s="2" t="s">
        <v>78</v>
      </c>
      <c r="M78" s="1" t="s">
        <v>43</v>
      </c>
      <c r="P78" s="2" t="b">
        <v>0</v>
      </c>
    </row>
    <row r="79" spans="1:16" x14ac:dyDescent="0.3">
      <c r="A79" s="2" t="e">
        <f ca="1">'Decison Tree'!$F$144</f>
        <v>#VALUE!</v>
      </c>
      <c r="B79" s="1" t="s">
        <v>46</v>
      </c>
      <c r="C79" s="2">
        <v>0</v>
      </c>
      <c r="H79" s="2" t="s">
        <v>42</v>
      </c>
      <c r="I79" s="2" t="s">
        <v>42</v>
      </c>
      <c r="J79" s="2">
        <f>'Decison Tree'!$E$144</f>
        <v>1.233689142857143</v>
      </c>
      <c r="K79" s="2">
        <f>'Decison Tree'!$E$143</f>
        <v>0.60099999999999998</v>
      </c>
      <c r="L79" s="2" t="s">
        <v>189</v>
      </c>
      <c r="M79" s="1" t="s">
        <v>43</v>
      </c>
      <c r="P79" s="2" t="b">
        <v>0</v>
      </c>
    </row>
    <row r="80" spans="1:16" x14ac:dyDescent="0.3">
      <c r="A80" s="2" t="e">
        <f ca="1">'Decison Tree'!$F$148</f>
        <v>#VALUE!</v>
      </c>
      <c r="B80" s="1" t="s">
        <v>93</v>
      </c>
      <c r="C80" s="2">
        <v>0</v>
      </c>
      <c r="H80" s="2" t="s">
        <v>42</v>
      </c>
      <c r="I80" s="2" t="s">
        <v>42</v>
      </c>
      <c r="J80" s="2">
        <f>'Decison Tree'!$E$148</f>
        <v>0.61684457142857152</v>
      </c>
      <c r="K80" s="2">
        <f>'Decison Tree'!$E$147</f>
        <v>0.25</v>
      </c>
      <c r="L80" s="2" t="s">
        <v>189</v>
      </c>
      <c r="M80" s="1" t="s">
        <v>43</v>
      </c>
      <c r="P80" s="2" t="b">
        <v>0</v>
      </c>
    </row>
    <row r="81" spans="1:16" x14ac:dyDescent="0.3">
      <c r="A81" s="2" t="e">
        <f ca="1">'Decison Tree'!$F$150</f>
        <v>#VALUE!</v>
      </c>
      <c r="B81" s="1" t="s">
        <v>90</v>
      </c>
      <c r="C81" s="2">
        <v>0</v>
      </c>
      <c r="H81" s="2" t="s">
        <v>42</v>
      </c>
      <c r="I81" s="2" t="s">
        <v>42</v>
      </c>
      <c r="J81" s="2">
        <f>'Decison Tree'!$E$150</f>
        <v>0</v>
      </c>
      <c r="K81" s="2">
        <f>'Decison Tree'!$E$149</f>
        <v>0.14899999999999999</v>
      </c>
      <c r="L81" s="2" t="s">
        <v>189</v>
      </c>
      <c r="M81" s="1" t="s">
        <v>43</v>
      </c>
      <c r="P81" s="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4C4D-8C21-4C9E-8E5C-1ED67CEB8056}">
  <dimension ref="C9:H134"/>
  <sheetViews>
    <sheetView workbookViewId="0"/>
  </sheetViews>
  <sheetFormatPr defaultRowHeight="14.4" x14ac:dyDescent="0.3"/>
  <sheetData>
    <row r="9" spans="4:7" x14ac:dyDescent="0.3">
      <c r="E9" s="46"/>
    </row>
    <row r="10" spans="4:7" x14ac:dyDescent="0.3">
      <c r="D10" s="55"/>
      <c r="E10" s="55"/>
      <c r="F10" s="55"/>
      <c r="G10" s="55"/>
    </row>
    <row r="17" spans="4:4" x14ac:dyDescent="0.3">
      <c r="D17" s="46"/>
    </row>
    <row r="33" spans="3:8" x14ac:dyDescent="0.3">
      <c r="C33" s="46"/>
    </row>
    <row r="42" spans="3:8" x14ac:dyDescent="0.3">
      <c r="E42" s="55"/>
      <c r="F42" s="55"/>
    </row>
    <row r="44" spans="3:8" x14ac:dyDescent="0.3">
      <c r="H44" s="55"/>
    </row>
    <row r="49" spans="5:8" x14ac:dyDescent="0.3">
      <c r="E49" s="46"/>
    </row>
    <row r="60" spans="5:8" x14ac:dyDescent="0.3">
      <c r="H60" s="55"/>
    </row>
    <row r="74" spans="4:8" x14ac:dyDescent="0.3">
      <c r="H74" s="55"/>
    </row>
    <row r="79" spans="4:8" x14ac:dyDescent="0.3">
      <c r="D79" s="46"/>
    </row>
    <row r="95" spans="5:5" x14ac:dyDescent="0.3">
      <c r="E95" s="46"/>
    </row>
    <row r="129" spans="4:5" x14ac:dyDescent="0.3">
      <c r="D129" s="46"/>
    </row>
    <row r="134" spans="4:5" x14ac:dyDescent="0.3">
      <c r="E134" s="5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A168-8F69-43AB-9EF6-3B76E8568CFA}">
  <dimension ref="A1:P109"/>
  <sheetViews>
    <sheetView workbookViewId="0"/>
  </sheetViews>
  <sheetFormatPr defaultColWidth="15.6640625" defaultRowHeight="14.4" x14ac:dyDescent="0.3"/>
  <cols>
    <col min="1" max="16384" width="15.6640625" style="2"/>
  </cols>
  <sheetData>
    <row r="1" spans="1:16" x14ac:dyDescent="0.3">
      <c r="A1" s="2" t="s">
        <v>0</v>
      </c>
      <c r="B1" s="1" t="s">
        <v>70</v>
      </c>
      <c r="E1" s="2" t="s">
        <v>8</v>
      </c>
      <c r="F1" s="2">
        <v>3</v>
      </c>
      <c r="H1" s="2" t="s">
        <v>15</v>
      </c>
      <c r="I1" s="1" t="s">
        <v>41</v>
      </c>
      <c r="K1" s="2" t="s">
        <v>20</v>
      </c>
      <c r="L1" s="2">
        <v>100</v>
      </c>
    </row>
    <row r="2" spans="1:16" x14ac:dyDescent="0.3">
      <c r="A2" s="2" t="s">
        <v>1</v>
      </c>
      <c r="B2" s="2" t="e">
        <f>Utilities!#REF!</f>
        <v>#REF!</v>
      </c>
      <c r="E2" s="2" t="s">
        <v>10</v>
      </c>
      <c r="F2" s="2" t="e">
        <f ca="1">_xll.PTreeEvaluate5(B3,$L$11:$L$109,$J$11:$J$109,$K$11:$K$109,$N$11:$N$109,$G$11:$G$109,,L1)</f>
        <v>#VALUE!</v>
      </c>
    </row>
    <row r="3" spans="1:16" x14ac:dyDescent="0.3">
      <c r="A3" s="2" t="s">
        <v>2</v>
      </c>
      <c r="B3" s="2" t="s">
        <v>69</v>
      </c>
      <c r="E3" s="2" t="s">
        <v>11</v>
      </c>
      <c r="F3" s="1" t="s">
        <v>37</v>
      </c>
      <c r="H3" s="2" t="s">
        <v>16</v>
      </c>
      <c r="I3" s="2" t="s">
        <v>39</v>
      </c>
    </row>
    <row r="4" spans="1:16" x14ac:dyDescent="0.3">
      <c r="A4" s="2" t="s">
        <v>3</v>
      </c>
      <c r="B4" s="2" t="s">
        <v>36</v>
      </c>
      <c r="E4" s="2" t="s">
        <v>12</v>
      </c>
      <c r="F4" s="1" t="s">
        <v>38</v>
      </c>
      <c r="H4" s="2" t="s">
        <v>17</v>
      </c>
      <c r="I4" s="1" t="s">
        <v>40</v>
      </c>
    </row>
    <row r="5" spans="1:16" x14ac:dyDescent="0.3">
      <c r="A5" s="2" t="s">
        <v>4</v>
      </c>
      <c r="B5" s="2">
        <v>0</v>
      </c>
      <c r="E5" s="2" t="s">
        <v>13</v>
      </c>
      <c r="F5" s="1" t="s">
        <v>38</v>
      </c>
      <c r="H5" s="2" t="s">
        <v>18</v>
      </c>
      <c r="I5" s="2" t="s">
        <v>39</v>
      </c>
    </row>
    <row r="6" spans="1:16" x14ac:dyDescent="0.3">
      <c r="A6" s="2" t="s">
        <v>5</v>
      </c>
      <c r="E6" s="2" t="s">
        <v>14</v>
      </c>
      <c r="F6" s="1" t="s">
        <v>37</v>
      </c>
      <c r="H6" s="2" t="s">
        <v>19</v>
      </c>
      <c r="I6" s="1" t="s">
        <v>40</v>
      </c>
    </row>
    <row r="7" spans="1:16" x14ac:dyDescent="0.3">
      <c r="A7" s="2" t="s">
        <v>6</v>
      </c>
      <c r="E7" s="2" t="s">
        <v>9</v>
      </c>
      <c r="F7" s="1" t="s">
        <v>68</v>
      </c>
    </row>
    <row r="8" spans="1:16" x14ac:dyDescent="0.3">
      <c r="A8" s="2" t="s">
        <v>7</v>
      </c>
      <c r="B8" s="2">
        <v>99</v>
      </c>
    </row>
    <row r="10" spans="1:16" x14ac:dyDescent="0.3">
      <c r="A10" s="2" t="s">
        <v>21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2</v>
      </c>
      <c r="M10" s="2" t="s">
        <v>32</v>
      </c>
      <c r="N10" s="2" t="s">
        <v>33</v>
      </c>
      <c r="O10" s="2" t="s">
        <v>34</v>
      </c>
      <c r="P10" s="2" t="s">
        <v>35</v>
      </c>
    </row>
    <row r="11" spans="1:16" x14ac:dyDescent="0.3">
      <c r="A11" s="2" t="e">
        <f>Utilities!#REF!</f>
        <v>#REF!</v>
      </c>
      <c r="B11" s="2" t="str">
        <f>B1</f>
        <v>Vyshu Decison</v>
      </c>
      <c r="C11" s="2">
        <v>0</v>
      </c>
      <c r="H11" s="2" t="s">
        <v>42</v>
      </c>
      <c r="I11" s="2" t="s">
        <v>42</v>
      </c>
      <c r="J11" s="2" t="e">
        <f>Utilities!#REF!</f>
        <v>#REF!</v>
      </c>
      <c r="K11" s="2" t="e">
        <f>Utilities!#REF!</f>
        <v>#REF!</v>
      </c>
      <c r="L11" s="2" t="s">
        <v>141</v>
      </c>
      <c r="M11" s="1" t="s">
        <v>43</v>
      </c>
      <c r="P11" s="2" t="b">
        <v>0</v>
      </c>
    </row>
    <row r="12" spans="1:16" x14ac:dyDescent="0.3">
      <c r="B12" s="1"/>
      <c r="M12" s="1"/>
    </row>
    <row r="13" spans="1:16" x14ac:dyDescent="0.3">
      <c r="B13" s="1"/>
      <c r="M13" s="1"/>
    </row>
    <row r="14" spans="1:16" x14ac:dyDescent="0.3">
      <c r="B14" s="1"/>
      <c r="M14" s="1"/>
    </row>
    <row r="15" spans="1:16" x14ac:dyDescent="0.3">
      <c r="B15" s="1"/>
      <c r="M15" s="1"/>
    </row>
    <row r="16" spans="1:16" x14ac:dyDescent="0.3">
      <c r="B16" s="1"/>
      <c r="M16" s="1"/>
    </row>
    <row r="17" spans="2:13" x14ac:dyDescent="0.3">
      <c r="B17" s="1"/>
      <c r="M17" s="1"/>
    </row>
    <row r="18" spans="2:13" x14ac:dyDescent="0.3">
      <c r="B18" s="1"/>
      <c r="M18" s="1"/>
    </row>
    <row r="19" spans="2:13" x14ac:dyDescent="0.3">
      <c r="B19" s="1"/>
      <c r="M19" s="1"/>
    </row>
    <row r="20" spans="2:13" x14ac:dyDescent="0.3">
      <c r="B20" s="1"/>
      <c r="M20" s="1"/>
    </row>
    <row r="21" spans="2:13" x14ac:dyDescent="0.3">
      <c r="B21" s="1"/>
      <c r="M21" s="1"/>
    </row>
    <row r="22" spans="2:13" x14ac:dyDescent="0.3">
      <c r="B22" s="1"/>
      <c r="M22" s="1"/>
    </row>
    <row r="23" spans="2:13" x14ac:dyDescent="0.3">
      <c r="B23" s="1"/>
      <c r="M23" s="1"/>
    </row>
    <row r="24" spans="2:13" x14ac:dyDescent="0.3">
      <c r="B24" s="1"/>
      <c r="M24" s="1"/>
    </row>
    <row r="25" spans="2:13" x14ac:dyDescent="0.3">
      <c r="B25" s="1"/>
      <c r="M25" s="1"/>
    </row>
    <row r="26" spans="2:13" x14ac:dyDescent="0.3">
      <c r="B26" s="1"/>
      <c r="M26" s="1"/>
    </row>
    <row r="27" spans="2:13" x14ac:dyDescent="0.3">
      <c r="B27" s="1"/>
      <c r="M27" s="1"/>
    </row>
    <row r="28" spans="2:13" x14ac:dyDescent="0.3">
      <c r="B28" s="1"/>
      <c r="M28" s="1"/>
    </row>
    <row r="29" spans="2:13" x14ac:dyDescent="0.3">
      <c r="B29" s="1"/>
      <c r="M29" s="1"/>
    </row>
    <row r="30" spans="2:13" x14ac:dyDescent="0.3">
      <c r="B30" s="1"/>
      <c r="M30" s="1"/>
    </row>
    <row r="31" spans="2:13" x14ac:dyDescent="0.3">
      <c r="B31" s="1"/>
      <c r="M31" s="1"/>
    </row>
    <row r="32" spans="2:13" x14ac:dyDescent="0.3">
      <c r="B32" s="1"/>
      <c r="M32" s="1"/>
    </row>
    <row r="33" spans="2:13" x14ac:dyDescent="0.3">
      <c r="B33" s="1"/>
      <c r="M33" s="1"/>
    </row>
    <row r="34" spans="2:13" x14ac:dyDescent="0.3">
      <c r="B34" s="1"/>
      <c r="M34" s="1"/>
    </row>
    <row r="35" spans="2:13" x14ac:dyDescent="0.3">
      <c r="B35" s="1"/>
      <c r="M35" s="1"/>
    </row>
    <row r="36" spans="2:13" x14ac:dyDescent="0.3">
      <c r="B36" s="1"/>
      <c r="M36" s="1"/>
    </row>
    <row r="37" spans="2:13" x14ac:dyDescent="0.3">
      <c r="B37" s="1"/>
      <c r="M37" s="1"/>
    </row>
    <row r="38" spans="2:13" x14ac:dyDescent="0.3">
      <c r="B38" s="1"/>
      <c r="M38" s="1"/>
    </row>
    <row r="39" spans="2:13" x14ac:dyDescent="0.3">
      <c r="B39" s="1"/>
      <c r="M39" s="1"/>
    </row>
    <row r="40" spans="2:13" x14ac:dyDescent="0.3">
      <c r="B40" s="1"/>
      <c r="M40" s="1"/>
    </row>
    <row r="41" spans="2:13" x14ac:dyDescent="0.3">
      <c r="B41" s="1"/>
      <c r="M41" s="1"/>
    </row>
    <row r="42" spans="2:13" x14ac:dyDescent="0.3">
      <c r="B42" s="1"/>
      <c r="M42" s="1"/>
    </row>
    <row r="43" spans="2:13" x14ac:dyDescent="0.3">
      <c r="B43" s="1"/>
      <c r="M43" s="1"/>
    </row>
    <row r="44" spans="2:13" x14ac:dyDescent="0.3">
      <c r="B44" s="1"/>
      <c r="M44" s="1"/>
    </row>
    <row r="45" spans="2:13" x14ac:dyDescent="0.3">
      <c r="B45" s="1"/>
      <c r="M45" s="1"/>
    </row>
    <row r="46" spans="2:13" x14ac:dyDescent="0.3">
      <c r="B46" s="1"/>
      <c r="M46" s="1"/>
    </row>
    <row r="47" spans="2:13" x14ac:dyDescent="0.3">
      <c r="B47" s="1"/>
      <c r="M47" s="1"/>
    </row>
    <row r="48" spans="2:13" x14ac:dyDescent="0.3">
      <c r="B48" s="1"/>
      <c r="M48" s="1"/>
    </row>
    <row r="49" spans="2:13" x14ac:dyDescent="0.3">
      <c r="B49" s="1"/>
      <c r="M49" s="1"/>
    </row>
    <row r="50" spans="2:13" x14ac:dyDescent="0.3">
      <c r="B50" s="1"/>
      <c r="M50" s="1"/>
    </row>
    <row r="51" spans="2:13" x14ac:dyDescent="0.3">
      <c r="B51" s="1"/>
      <c r="M51" s="1"/>
    </row>
    <row r="52" spans="2:13" x14ac:dyDescent="0.3">
      <c r="B52" s="1"/>
      <c r="M52" s="1"/>
    </row>
    <row r="53" spans="2:13" x14ac:dyDescent="0.3">
      <c r="B53" s="1"/>
      <c r="M53" s="1"/>
    </row>
    <row r="54" spans="2:13" x14ac:dyDescent="0.3">
      <c r="B54" s="1"/>
      <c r="M54" s="1"/>
    </row>
    <row r="55" spans="2:13" x14ac:dyDescent="0.3">
      <c r="B55" s="1"/>
      <c r="M55" s="1"/>
    </row>
    <row r="56" spans="2:13" x14ac:dyDescent="0.3">
      <c r="B56" s="1"/>
      <c r="M56" s="1"/>
    </row>
    <row r="57" spans="2:13" x14ac:dyDescent="0.3">
      <c r="B57" s="1"/>
      <c r="M57" s="1"/>
    </row>
    <row r="58" spans="2:13" x14ac:dyDescent="0.3">
      <c r="B58" s="1"/>
      <c r="M58" s="1"/>
    </row>
    <row r="59" spans="2:13" x14ac:dyDescent="0.3">
      <c r="B59" s="1"/>
      <c r="M59" s="1"/>
    </row>
    <row r="60" spans="2:13" x14ac:dyDescent="0.3">
      <c r="B60" s="1"/>
      <c r="M60" s="1"/>
    </row>
    <row r="61" spans="2:13" x14ac:dyDescent="0.3">
      <c r="B61" s="1"/>
      <c r="M61" s="1"/>
    </row>
    <row r="62" spans="2:13" x14ac:dyDescent="0.3">
      <c r="B62" s="1"/>
      <c r="M62" s="1"/>
    </row>
    <row r="63" spans="2:13" x14ac:dyDescent="0.3">
      <c r="B63" s="1"/>
      <c r="M63" s="1"/>
    </row>
    <row r="64" spans="2:13" x14ac:dyDescent="0.3">
      <c r="B64" s="1"/>
      <c r="M64" s="1"/>
    </row>
    <row r="65" spans="2:13" x14ac:dyDescent="0.3">
      <c r="B65" s="1"/>
      <c r="M65" s="1"/>
    </row>
    <row r="66" spans="2:13" x14ac:dyDescent="0.3">
      <c r="B66" s="1"/>
      <c r="M66" s="1"/>
    </row>
    <row r="67" spans="2:13" x14ac:dyDescent="0.3">
      <c r="B67" s="1"/>
      <c r="M67" s="1"/>
    </row>
    <row r="68" spans="2:13" x14ac:dyDescent="0.3">
      <c r="B68" s="1"/>
      <c r="M68" s="1"/>
    </row>
    <row r="69" spans="2:13" x14ac:dyDescent="0.3">
      <c r="B69" s="1"/>
      <c r="M69" s="1"/>
    </row>
    <row r="70" spans="2:13" x14ac:dyDescent="0.3">
      <c r="B70" s="1"/>
      <c r="M70" s="1"/>
    </row>
    <row r="71" spans="2:13" x14ac:dyDescent="0.3">
      <c r="B71" s="1"/>
      <c r="M71" s="1"/>
    </row>
    <row r="72" spans="2:13" x14ac:dyDescent="0.3">
      <c r="B72" s="1"/>
      <c r="M72" s="1"/>
    </row>
    <row r="73" spans="2:13" x14ac:dyDescent="0.3">
      <c r="B73" s="1"/>
      <c r="M73" s="1"/>
    </row>
    <row r="74" spans="2:13" x14ac:dyDescent="0.3">
      <c r="B74" s="1"/>
      <c r="M74" s="1"/>
    </row>
    <row r="75" spans="2:13" x14ac:dyDescent="0.3">
      <c r="B75" s="1"/>
      <c r="M75" s="1"/>
    </row>
    <row r="76" spans="2:13" x14ac:dyDescent="0.3">
      <c r="B76" s="1"/>
      <c r="M76" s="1"/>
    </row>
    <row r="77" spans="2:13" x14ac:dyDescent="0.3">
      <c r="B77" s="1"/>
      <c r="M77" s="1"/>
    </row>
    <row r="78" spans="2:13" x14ac:dyDescent="0.3">
      <c r="B78" s="1"/>
      <c r="M78" s="1"/>
    </row>
    <row r="79" spans="2:13" x14ac:dyDescent="0.3">
      <c r="B79" s="1"/>
      <c r="M79" s="1"/>
    </row>
    <row r="80" spans="2:13" x14ac:dyDescent="0.3">
      <c r="B80" s="1"/>
      <c r="M80" s="1"/>
    </row>
    <row r="81" spans="2:13" x14ac:dyDescent="0.3">
      <c r="B81" s="1"/>
      <c r="M81" s="1"/>
    </row>
    <row r="82" spans="2:13" x14ac:dyDescent="0.3">
      <c r="B82" s="1"/>
      <c r="M82" s="1"/>
    </row>
    <row r="83" spans="2:13" x14ac:dyDescent="0.3">
      <c r="B83" s="1"/>
      <c r="M83" s="1"/>
    </row>
    <row r="84" spans="2:13" x14ac:dyDescent="0.3">
      <c r="B84" s="1"/>
      <c r="M84" s="1"/>
    </row>
    <row r="85" spans="2:13" x14ac:dyDescent="0.3">
      <c r="B85" s="1"/>
      <c r="M85" s="1"/>
    </row>
    <row r="86" spans="2:13" x14ac:dyDescent="0.3">
      <c r="B86" s="1"/>
      <c r="M86" s="1"/>
    </row>
    <row r="87" spans="2:13" x14ac:dyDescent="0.3">
      <c r="B87" s="1"/>
      <c r="M87" s="1"/>
    </row>
    <row r="88" spans="2:13" x14ac:dyDescent="0.3">
      <c r="B88" s="1"/>
      <c r="M88" s="1"/>
    </row>
    <row r="89" spans="2:13" x14ac:dyDescent="0.3">
      <c r="B89" s="1"/>
      <c r="M89" s="1"/>
    </row>
    <row r="90" spans="2:13" x14ac:dyDescent="0.3">
      <c r="B90" s="1"/>
      <c r="M90" s="1"/>
    </row>
    <row r="91" spans="2:13" x14ac:dyDescent="0.3">
      <c r="B91" s="1"/>
      <c r="M91" s="1"/>
    </row>
    <row r="92" spans="2:13" x14ac:dyDescent="0.3">
      <c r="B92" s="1"/>
      <c r="M92" s="1"/>
    </row>
    <row r="93" spans="2:13" x14ac:dyDescent="0.3">
      <c r="B93" s="1"/>
      <c r="M93" s="1"/>
    </row>
    <row r="94" spans="2:13" x14ac:dyDescent="0.3">
      <c r="B94" s="1"/>
      <c r="M94" s="1"/>
    </row>
    <row r="95" spans="2:13" x14ac:dyDescent="0.3">
      <c r="B95" s="1"/>
      <c r="M95" s="1"/>
    </row>
    <row r="96" spans="2:13" x14ac:dyDescent="0.3">
      <c r="B96" s="1"/>
      <c r="M96" s="1"/>
    </row>
    <row r="97" spans="2:13" x14ac:dyDescent="0.3">
      <c r="B97" s="1"/>
      <c r="M97" s="1"/>
    </row>
    <row r="98" spans="2:13" x14ac:dyDescent="0.3">
      <c r="B98" s="1"/>
      <c r="M98" s="1"/>
    </row>
    <row r="99" spans="2:13" x14ac:dyDescent="0.3">
      <c r="B99" s="1"/>
      <c r="M99" s="1"/>
    </row>
    <row r="100" spans="2:13" x14ac:dyDescent="0.3">
      <c r="B100" s="1"/>
      <c r="M100" s="1"/>
    </row>
    <row r="101" spans="2:13" x14ac:dyDescent="0.3">
      <c r="B101" s="1"/>
      <c r="M101" s="1"/>
    </row>
    <row r="102" spans="2:13" x14ac:dyDescent="0.3">
      <c r="B102" s="1"/>
      <c r="M102" s="1"/>
    </row>
    <row r="103" spans="2:13" x14ac:dyDescent="0.3">
      <c r="B103" s="1"/>
      <c r="M103" s="1"/>
    </row>
    <row r="104" spans="2:13" x14ac:dyDescent="0.3">
      <c r="B104" s="1"/>
      <c r="M104" s="1"/>
    </row>
    <row r="105" spans="2:13" x14ac:dyDescent="0.3">
      <c r="B105" s="1"/>
      <c r="M105" s="1"/>
    </row>
    <row r="106" spans="2:13" x14ac:dyDescent="0.3">
      <c r="B106" s="1"/>
      <c r="M106" s="1"/>
    </row>
    <row r="107" spans="2:13" x14ac:dyDescent="0.3">
      <c r="B107" s="1"/>
      <c r="M107" s="1"/>
    </row>
    <row r="108" spans="2:13" x14ac:dyDescent="0.3">
      <c r="B108" s="1"/>
      <c r="M108" s="1"/>
    </row>
    <row r="109" spans="2:13" x14ac:dyDescent="0.3">
      <c r="B109" s="1"/>
      <c r="M10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85CB-694C-4F21-9CC9-A65BD887F9B9}">
  <dimension ref="B1:M61"/>
  <sheetViews>
    <sheetView showGridLines="0" workbookViewId="0">
      <selection activeCell="M14" sqref="M14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9.5546875" bestFit="1" customWidth="1"/>
    <col min="4" max="4" width="7.44140625" bestFit="1" customWidth="1"/>
    <col min="5" max="5" width="9.33203125" bestFit="1" customWidth="1"/>
    <col min="6" max="6" width="7.44140625" bestFit="1" customWidth="1"/>
  </cols>
  <sheetData>
    <row r="1" spans="2:13" s="60" customFormat="1" ht="17.399999999999999" x14ac:dyDescent="0.3">
      <c r="B1" s="63" t="s">
        <v>206</v>
      </c>
    </row>
    <row r="2" spans="2:13" s="61" customFormat="1" ht="10.199999999999999" x14ac:dyDescent="0.2">
      <c r="B2" s="64" t="s">
        <v>207</v>
      </c>
    </row>
    <row r="3" spans="2:13" s="61" customFormat="1" ht="10.199999999999999" x14ac:dyDescent="0.2">
      <c r="B3" s="64" t="s">
        <v>208</v>
      </c>
    </row>
    <row r="4" spans="2:13" s="61" customFormat="1" ht="10.199999999999999" x14ac:dyDescent="0.2">
      <c r="B4" s="64" t="s">
        <v>209</v>
      </c>
    </row>
    <row r="5" spans="2:13" s="62" customFormat="1" ht="10.199999999999999" x14ac:dyDescent="0.2">
      <c r="B5" s="65" t="s">
        <v>210</v>
      </c>
    </row>
    <row r="14" spans="2:13" x14ac:dyDescent="0.3">
      <c r="M14" t="s">
        <v>254</v>
      </c>
    </row>
    <row r="28" spans="2:6" ht="15" thickBot="1" x14ac:dyDescent="0.35"/>
    <row r="29" spans="2:6" ht="15" thickBot="1" x14ac:dyDescent="0.35">
      <c r="B29" s="66" t="s">
        <v>211</v>
      </c>
      <c r="C29" s="67"/>
      <c r="D29" s="67"/>
      <c r="E29" s="67"/>
      <c r="F29" s="68"/>
    </row>
    <row r="30" spans="2:6" x14ac:dyDescent="0.3">
      <c r="B30" s="71"/>
      <c r="C30" s="77" t="s">
        <v>242</v>
      </c>
      <c r="D30" s="78"/>
      <c r="E30" s="82" t="s">
        <v>244</v>
      </c>
      <c r="F30" s="83"/>
    </row>
    <row r="31" spans="2:6" x14ac:dyDescent="0.3">
      <c r="B31" s="72"/>
      <c r="C31" s="69" t="s">
        <v>109</v>
      </c>
      <c r="D31" s="79" t="s">
        <v>243</v>
      </c>
      <c r="E31" s="69" t="s">
        <v>109</v>
      </c>
      <c r="F31" s="70" t="s">
        <v>243</v>
      </c>
    </row>
    <row r="32" spans="2:6" x14ac:dyDescent="0.3">
      <c r="B32" s="73" t="s">
        <v>212</v>
      </c>
      <c r="C32" s="75">
        <v>-7.0744191754679164E-18</v>
      </c>
      <c r="D32" s="80">
        <v>-1</v>
      </c>
      <c r="E32" s="75">
        <v>97.038095238095252</v>
      </c>
      <c r="F32" s="84">
        <v>0</v>
      </c>
    </row>
    <row r="33" spans="2:6" x14ac:dyDescent="0.3">
      <c r="B33" s="73" t="s">
        <v>213</v>
      </c>
      <c r="C33" s="75">
        <v>2.3448275862068959E-2</v>
      </c>
      <c r="D33" s="80">
        <v>-0.93103448275862066</v>
      </c>
      <c r="E33" s="75">
        <v>97.038095238095252</v>
      </c>
      <c r="F33" s="84">
        <v>0</v>
      </c>
    </row>
    <row r="34" spans="2:6" x14ac:dyDescent="0.3">
      <c r="B34" s="73" t="s">
        <v>214</v>
      </c>
      <c r="C34" s="75">
        <v>4.6896551724137925E-2</v>
      </c>
      <c r="D34" s="80">
        <v>-0.86206896551724144</v>
      </c>
      <c r="E34" s="75">
        <v>97.038095238095252</v>
      </c>
      <c r="F34" s="84">
        <v>0</v>
      </c>
    </row>
    <row r="35" spans="2:6" x14ac:dyDescent="0.3">
      <c r="B35" s="73" t="s">
        <v>215</v>
      </c>
      <c r="C35" s="75">
        <v>7.0344827586206901E-2</v>
      </c>
      <c r="D35" s="80">
        <v>-0.7931034482758621</v>
      </c>
      <c r="E35" s="75">
        <v>97.038095238095252</v>
      </c>
      <c r="F35" s="84">
        <v>0</v>
      </c>
    </row>
    <row r="36" spans="2:6" x14ac:dyDescent="0.3">
      <c r="B36" s="73" t="s">
        <v>216</v>
      </c>
      <c r="C36" s="75">
        <v>9.3793103448275864E-2</v>
      </c>
      <c r="D36" s="80">
        <v>-0.72413793103448276</v>
      </c>
      <c r="E36" s="75">
        <v>97.038095238095252</v>
      </c>
      <c r="F36" s="84">
        <v>0</v>
      </c>
    </row>
    <row r="37" spans="2:6" x14ac:dyDescent="0.3">
      <c r="B37" s="73" t="s">
        <v>217</v>
      </c>
      <c r="C37" s="75">
        <v>0.11724137931034483</v>
      </c>
      <c r="D37" s="80">
        <v>-0.65517241379310343</v>
      </c>
      <c r="E37" s="75">
        <v>97.038095238095252</v>
      </c>
      <c r="F37" s="84">
        <v>0</v>
      </c>
    </row>
    <row r="38" spans="2:6" x14ac:dyDescent="0.3">
      <c r="B38" s="73" t="s">
        <v>218</v>
      </c>
      <c r="C38" s="75">
        <v>0.1406896551724138</v>
      </c>
      <c r="D38" s="80">
        <v>-0.58620689655172409</v>
      </c>
      <c r="E38" s="75">
        <v>97.038095238095252</v>
      </c>
      <c r="F38" s="84">
        <v>0</v>
      </c>
    </row>
    <row r="39" spans="2:6" x14ac:dyDescent="0.3">
      <c r="B39" s="73" t="s">
        <v>219</v>
      </c>
      <c r="C39" s="75">
        <v>0.16413793103448276</v>
      </c>
      <c r="D39" s="80">
        <v>-0.51724137931034486</v>
      </c>
      <c r="E39" s="75">
        <v>97.038095238095252</v>
      </c>
      <c r="F39" s="84">
        <v>0</v>
      </c>
    </row>
    <row r="40" spans="2:6" x14ac:dyDescent="0.3">
      <c r="B40" s="73" t="s">
        <v>220</v>
      </c>
      <c r="C40" s="75">
        <v>0.18758620689655173</v>
      </c>
      <c r="D40" s="80">
        <v>-0.44827586206896552</v>
      </c>
      <c r="E40" s="75">
        <v>97.038095238095252</v>
      </c>
      <c r="F40" s="84">
        <v>0</v>
      </c>
    </row>
    <row r="41" spans="2:6" x14ac:dyDescent="0.3">
      <c r="B41" s="73" t="s">
        <v>221</v>
      </c>
      <c r="C41" s="75">
        <v>0.21103448275862069</v>
      </c>
      <c r="D41" s="80">
        <v>-0.37931034482758624</v>
      </c>
      <c r="E41" s="75">
        <v>97.038095238095252</v>
      </c>
      <c r="F41" s="84">
        <v>0</v>
      </c>
    </row>
    <row r="42" spans="2:6" x14ac:dyDescent="0.3">
      <c r="B42" s="73" t="s">
        <v>222</v>
      </c>
      <c r="C42" s="75">
        <v>0.23448275862068968</v>
      </c>
      <c r="D42" s="80">
        <v>-0.31034482758620685</v>
      </c>
      <c r="E42" s="75">
        <v>97.038095238095252</v>
      </c>
      <c r="F42" s="84">
        <v>0</v>
      </c>
    </row>
    <row r="43" spans="2:6" x14ac:dyDescent="0.3">
      <c r="B43" s="73" t="s">
        <v>223</v>
      </c>
      <c r="C43" s="75">
        <v>0.25793103448275861</v>
      </c>
      <c r="D43" s="80">
        <v>-0.24137931034482765</v>
      </c>
      <c r="E43" s="75">
        <v>97.038095238095252</v>
      </c>
      <c r="F43" s="84">
        <v>0</v>
      </c>
    </row>
    <row r="44" spans="2:6" x14ac:dyDescent="0.3">
      <c r="B44" s="73" t="s">
        <v>224</v>
      </c>
      <c r="C44" s="75">
        <v>0.2813793103448276</v>
      </c>
      <c r="D44" s="80">
        <v>-0.17241379310344829</v>
      </c>
      <c r="E44" s="75">
        <v>97.038095238095252</v>
      </c>
      <c r="F44" s="84">
        <v>0</v>
      </c>
    </row>
    <row r="45" spans="2:6" x14ac:dyDescent="0.3">
      <c r="B45" s="73" t="s">
        <v>225</v>
      </c>
      <c r="C45" s="75">
        <v>0.30482758620689659</v>
      </c>
      <c r="D45" s="80">
        <v>-0.10344827586206891</v>
      </c>
      <c r="E45" s="75">
        <v>97.038095238095252</v>
      </c>
      <c r="F45" s="84">
        <v>0</v>
      </c>
    </row>
    <row r="46" spans="2:6" x14ac:dyDescent="0.3">
      <c r="B46" s="73" t="s">
        <v>226</v>
      </c>
      <c r="C46" s="75">
        <v>0.32827586206896553</v>
      </c>
      <c r="D46" s="80">
        <v>-3.4482758620689689E-2</v>
      </c>
      <c r="E46" s="75">
        <v>97.038095238095252</v>
      </c>
      <c r="F46" s="84">
        <v>0</v>
      </c>
    </row>
    <row r="47" spans="2:6" x14ac:dyDescent="0.3">
      <c r="B47" s="73" t="s">
        <v>227</v>
      </c>
      <c r="C47" s="75">
        <v>0.35172413793103452</v>
      </c>
      <c r="D47" s="80">
        <v>3.4482758620689689E-2</v>
      </c>
      <c r="E47" s="75">
        <v>97.038095238095252</v>
      </c>
      <c r="F47" s="84">
        <v>0</v>
      </c>
    </row>
    <row r="48" spans="2:6" x14ac:dyDescent="0.3">
      <c r="B48" s="73" t="s">
        <v>228</v>
      </c>
      <c r="C48" s="75">
        <v>0.37517241379310345</v>
      </c>
      <c r="D48" s="80">
        <v>0.10344827586206891</v>
      </c>
      <c r="E48" s="75">
        <v>97.038095238095252</v>
      </c>
      <c r="F48" s="84">
        <v>0</v>
      </c>
    </row>
    <row r="49" spans="2:6" x14ac:dyDescent="0.3">
      <c r="B49" s="73" t="s">
        <v>229</v>
      </c>
      <c r="C49" s="75">
        <v>0.39862068965517244</v>
      </c>
      <c r="D49" s="80">
        <v>0.17241379310344829</v>
      </c>
      <c r="E49" s="75">
        <v>97.038095238095252</v>
      </c>
      <c r="F49" s="84">
        <v>0</v>
      </c>
    </row>
    <row r="50" spans="2:6" x14ac:dyDescent="0.3">
      <c r="B50" s="73" t="s">
        <v>230</v>
      </c>
      <c r="C50" s="75">
        <v>0.42206896551724143</v>
      </c>
      <c r="D50" s="80">
        <v>0.24137931034482765</v>
      </c>
      <c r="E50" s="75">
        <v>97.038095238095252</v>
      </c>
      <c r="F50" s="84">
        <v>0</v>
      </c>
    </row>
    <row r="51" spans="2:6" x14ac:dyDescent="0.3">
      <c r="B51" s="73" t="s">
        <v>231</v>
      </c>
      <c r="C51" s="75">
        <v>0.44551724137931037</v>
      </c>
      <c r="D51" s="80">
        <v>0.31034482758620685</v>
      </c>
      <c r="E51" s="75">
        <v>97.038095238095252</v>
      </c>
      <c r="F51" s="84">
        <v>0</v>
      </c>
    </row>
    <row r="52" spans="2:6" x14ac:dyDescent="0.3">
      <c r="B52" s="73" t="s">
        <v>232</v>
      </c>
      <c r="C52" s="75">
        <v>0.46896551724137936</v>
      </c>
      <c r="D52" s="80">
        <v>0.37931034482758624</v>
      </c>
      <c r="E52" s="75">
        <v>97.038095238095252</v>
      </c>
      <c r="F52" s="84">
        <v>0</v>
      </c>
    </row>
    <row r="53" spans="2:6" x14ac:dyDescent="0.3">
      <c r="B53" s="73" t="s">
        <v>233</v>
      </c>
      <c r="C53" s="75">
        <v>0.49241379310344829</v>
      </c>
      <c r="D53" s="80">
        <v>0.44827586206896547</v>
      </c>
      <c r="E53" s="75">
        <v>97.038095238095252</v>
      </c>
      <c r="F53" s="84">
        <v>0</v>
      </c>
    </row>
    <row r="54" spans="2:6" x14ac:dyDescent="0.3">
      <c r="B54" s="73" t="s">
        <v>234</v>
      </c>
      <c r="C54" s="75">
        <v>0.51586206896551723</v>
      </c>
      <c r="D54" s="80">
        <v>0.51724137931034464</v>
      </c>
      <c r="E54" s="75">
        <v>97.038095238095252</v>
      </c>
      <c r="F54" s="84">
        <v>0</v>
      </c>
    </row>
    <row r="55" spans="2:6" x14ac:dyDescent="0.3">
      <c r="B55" s="73" t="s">
        <v>235</v>
      </c>
      <c r="C55" s="75">
        <v>0.53931034482758622</v>
      </c>
      <c r="D55" s="80">
        <v>0.58620689655172409</v>
      </c>
      <c r="E55" s="75">
        <v>97.038095238095252</v>
      </c>
      <c r="F55" s="84">
        <v>0</v>
      </c>
    </row>
    <row r="56" spans="2:6" x14ac:dyDescent="0.3">
      <c r="B56" s="73" t="s">
        <v>236</v>
      </c>
      <c r="C56" s="75">
        <v>0.56275862068965521</v>
      </c>
      <c r="D56" s="80">
        <v>0.65517241379310343</v>
      </c>
      <c r="E56" s="75">
        <v>97.038095238095252</v>
      </c>
      <c r="F56" s="84">
        <v>0</v>
      </c>
    </row>
    <row r="57" spans="2:6" x14ac:dyDescent="0.3">
      <c r="B57" s="73" t="s">
        <v>237</v>
      </c>
      <c r="C57" s="75">
        <v>0.5862068965517242</v>
      </c>
      <c r="D57" s="80">
        <v>0.72413793103448276</v>
      </c>
      <c r="E57" s="75">
        <v>97.038095238095252</v>
      </c>
      <c r="F57" s="84">
        <v>0</v>
      </c>
    </row>
    <row r="58" spans="2:6" x14ac:dyDescent="0.3">
      <c r="B58" s="73" t="s">
        <v>238</v>
      </c>
      <c r="C58" s="75">
        <v>0.60965517241379319</v>
      </c>
      <c r="D58" s="80">
        <v>0.79310344827586221</v>
      </c>
      <c r="E58" s="75">
        <v>97.038095238095252</v>
      </c>
      <c r="F58" s="84">
        <v>0</v>
      </c>
    </row>
    <row r="59" spans="2:6" x14ac:dyDescent="0.3">
      <c r="B59" s="73" t="s">
        <v>239</v>
      </c>
      <c r="C59" s="75">
        <v>0.63310344827586207</v>
      </c>
      <c r="D59" s="80">
        <v>0.86206896551724121</v>
      </c>
      <c r="E59" s="75">
        <v>97.038095238095252</v>
      </c>
      <c r="F59" s="84">
        <v>0</v>
      </c>
    </row>
    <row r="60" spans="2:6" x14ac:dyDescent="0.3">
      <c r="B60" s="73" t="s">
        <v>240</v>
      </c>
      <c r="C60" s="75">
        <v>0.65655172413793106</v>
      </c>
      <c r="D60" s="80">
        <v>0.93103448275862066</v>
      </c>
      <c r="E60" s="75">
        <v>97.038095238095252</v>
      </c>
      <c r="F60" s="84">
        <v>0</v>
      </c>
    </row>
    <row r="61" spans="2:6" ht="15" thickBot="1" x14ac:dyDescent="0.35">
      <c r="B61" s="74" t="s">
        <v>241</v>
      </c>
      <c r="C61" s="76">
        <v>0.68</v>
      </c>
      <c r="D61" s="81">
        <v>1</v>
      </c>
      <c r="E61" s="76">
        <v>97.038095238095252</v>
      </c>
      <c r="F61" s="85">
        <v>0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Decison Tree</vt:lpstr>
      <vt:lpstr>Data</vt:lpstr>
      <vt:lpstr>Utilities</vt:lpstr>
      <vt:lpstr>Calculations</vt:lpstr>
      <vt:lpstr>Sheet3</vt:lpstr>
      <vt:lpstr>treeCalc_3</vt:lpstr>
      <vt:lpstr>_PalUtilTempWorksheet</vt:lpstr>
      <vt:lpstr>treeCalc_2</vt:lpstr>
      <vt:lpstr>Sensitivity L11</vt:lpstr>
      <vt:lpstr>Sensitivity L12</vt:lpstr>
      <vt:lpstr>Sensitivity L13</vt:lpstr>
      <vt:lpstr>Strategy L11</vt:lpstr>
      <vt:lpstr>Strategy L12</vt:lpstr>
      <vt:lpstr>Strategy 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Jose</dc:creator>
  <cp:lastModifiedBy>Vineel M</cp:lastModifiedBy>
  <dcterms:created xsi:type="dcterms:W3CDTF">2024-04-22T19:02:35Z</dcterms:created>
  <dcterms:modified xsi:type="dcterms:W3CDTF">2024-04-25T22:48:21Z</dcterms:modified>
</cp:coreProperties>
</file>