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9 неделя 04-10.05\"/>
    </mc:Choice>
  </mc:AlternateContent>
  <xr:revisionPtr revIDLastSave="0" documentId="13_ncr:1_{FCDB40FC-B410-4EB9-B292-D66F34BE04C9}" xr6:coauthVersionLast="45" xr6:coauthVersionMax="45" xr10:uidLastSave="{00000000-0000-0000-0000-000000000000}"/>
  <bookViews>
    <workbookView xWindow="-110" yWindow="-110" windowWidth="19420" windowHeight="10420" activeTab="23" xr2:uid="{00000000-000D-0000-FFFF-FFFF00000000}"/>
  </bookViews>
  <sheets>
    <sheet name="Реклама" sheetId="1" r:id="rId1"/>
    <sheet name="Сводная_план" sheetId="57" state="hidden" r:id="rId2"/>
    <sheet name="Сводная" sheetId="3" r:id="rId3"/>
    <sheet name="АВС 20" sheetId="69" state="hidden" r:id="rId4"/>
    <sheet name="АВС 19" sheetId="67" r:id="rId5"/>
    <sheet name="АВС АПРЕЛЬ" sheetId="66" state="hidden" r:id="rId6"/>
    <sheet name="АВС 18" sheetId="63" state="hidden" r:id="rId7"/>
    <sheet name="АВС 17" sheetId="61" state="hidden" r:id="rId8"/>
    <sheet name="АВС 16" sheetId="55" state="hidden" r:id="rId9"/>
    <sheet name="АВС 15" sheetId="53" state="hidden" r:id="rId10"/>
    <sheet name="АВС 14" sheetId="48" state="hidden" r:id="rId11"/>
    <sheet name="АВС МАРТ" sheetId="50" state="hidden" r:id="rId12"/>
    <sheet name="АВС 13" sheetId="47" state="hidden" r:id="rId13"/>
    <sheet name="АВС 12" sheetId="46" state="hidden" r:id="rId14"/>
    <sheet name="АВС 11" sheetId="45" state="hidden" r:id="rId15"/>
    <sheet name="АВС 10" sheetId="44" state="hidden" r:id="rId16"/>
    <sheet name="АВС ФЕВРАЛЬ" sheetId="37" state="hidden" r:id="rId17"/>
    <sheet name="АВС 9" sheetId="36" state="hidden" r:id="rId18"/>
    <sheet name="АВС 8" sheetId="32" state="hidden" r:id="rId19"/>
    <sheet name="АВС ЯНВАРЬ" sheetId="16" state="hidden" r:id="rId20"/>
    <sheet name="2026" sheetId="38" r:id="rId21"/>
    <sheet name="Остаток на 01.04" sheetId="51" state="hidden" r:id="rId22"/>
    <sheet name="Юнит 20" sheetId="68" state="hidden" r:id="rId23"/>
    <sheet name="Юнит 19" sheetId="65" r:id="rId24"/>
    <sheet name="АПРЕЛЬ" sheetId="64" state="hidden" r:id="rId25"/>
    <sheet name="Юнит 18" sheetId="62" state="hidden" r:id="rId26"/>
    <sheet name="Юнит 17" sheetId="60" state="hidden" r:id="rId27"/>
    <sheet name="Юнит 16" sheetId="56" state="hidden" r:id="rId28"/>
    <sheet name="Юнит 15" sheetId="52" state="hidden" r:id="rId29"/>
    <sheet name="Остатки на 08.04" sheetId="54" state="hidden" r:id="rId30"/>
    <sheet name="Юнит 14" sheetId="49" state="hidden" r:id="rId31"/>
    <sheet name="МАРТ" sheetId="43" state="hidden" r:id="rId32"/>
    <sheet name="Юнит 13" sheetId="42" state="hidden" r:id="rId33"/>
    <sheet name="Юнит 12" sheetId="41" state="hidden" r:id="rId34"/>
    <sheet name="Юнит 11" sheetId="40" state="hidden" r:id="rId35"/>
    <sheet name="Юнит 10" sheetId="39" state="hidden" r:id="rId36"/>
    <sheet name="ФЕВРАЛЬ" sheetId="35" state="hidden" r:id="rId37"/>
    <sheet name="Юнит 9" sheetId="31" state="hidden" r:id="rId38"/>
    <sheet name="Юнит 8" sheetId="29" state="hidden" r:id="rId39"/>
    <sheet name="Юнит 7" sheetId="34" state="hidden" r:id="rId40"/>
    <sheet name="Юнит 6" sheetId="33" state="hidden" r:id="rId41"/>
    <sheet name="ЯНВАРЬ" sheetId="30" state="hidden" r:id="rId42"/>
    <sheet name="ДЕКАБРЬ" sheetId="28" state="hidden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5" i="65" l="1"/>
  <c r="L105" i="65" s="1"/>
  <c r="Q105" i="65"/>
  <c r="U105" i="65"/>
  <c r="AD105" i="65" s="1"/>
  <c r="X105" i="65"/>
  <c r="AA105" i="65"/>
  <c r="AB105" i="65"/>
  <c r="AF105" i="65"/>
  <c r="AN105" i="65"/>
  <c r="AR105" i="65"/>
  <c r="AS105" i="65"/>
  <c r="AT105" i="65"/>
  <c r="AU105" i="65"/>
  <c r="AQ105" i="65" l="1"/>
  <c r="AW105" i="65" s="1"/>
  <c r="R105" i="65"/>
  <c r="J106" i="67"/>
  <c r="AB4" i="65"/>
  <c r="AB5" i="65"/>
  <c r="AB6" i="65"/>
  <c r="AB7" i="65"/>
  <c r="AB8" i="65"/>
  <c r="AB9" i="65"/>
  <c r="AB10" i="65"/>
  <c r="AB11" i="65"/>
  <c r="AB12" i="65"/>
  <c r="AB13" i="65"/>
  <c r="AB14" i="65"/>
  <c r="AB15" i="65"/>
  <c r="AB16" i="65"/>
  <c r="AB17" i="65"/>
  <c r="AB18" i="65"/>
  <c r="AB19" i="65"/>
  <c r="AB20" i="65"/>
  <c r="AB21" i="65"/>
  <c r="AB22" i="65"/>
  <c r="AB23" i="65"/>
  <c r="AB24" i="65"/>
  <c r="AB25" i="65"/>
  <c r="AB26" i="65"/>
  <c r="AB27" i="65"/>
  <c r="AB28" i="65"/>
  <c r="AB29" i="65"/>
  <c r="AB30" i="65"/>
  <c r="AB31" i="65"/>
  <c r="AB32" i="65"/>
  <c r="AB33" i="65"/>
  <c r="AB34" i="65"/>
  <c r="AB35" i="65"/>
  <c r="AB36" i="65"/>
  <c r="AB37" i="65"/>
  <c r="AB38" i="65"/>
  <c r="AB39" i="65"/>
  <c r="AB40" i="65"/>
  <c r="AB41" i="65"/>
  <c r="AB42" i="65"/>
  <c r="AB43" i="65"/>
  <c r="AB44" i="65"/>
  <c r="AB45" i="65"/>
  <c r="AB46" i="65"/>
  <c r="AB47" i="65"/>
  <c r="AB48" i="65"/>
  <c r="AB49" i="65"/>
  <c r="AB50" i="65"/>
  <c r="AB51" i="65"/>
  <c r="AB52" i="65"/>
  <c r="AB53" i="65"/>
  <c r="AB54" i="65"/>
  <c r="AB55" i="65"/>
  <c r="AB56" i="65"/>
  <c r="AB57" i="65"/>
  <c r="AB58" i="65"/>
  <c r="AB59" i="65"/>
  <c r="AB60" i="65"/>
  <c r="AB61" i="65"/>
  <c r="AB62" i="65"/>
  <c r="AB63" i="65"/>
  <c r="AB64" i="65"/>
  <c r="AB65" i="65"/>
  <c r="AB66" i="65"/>
  <c r="AB67" i="65"/>
  <c r="AB68" i="65"/>
  <c r="AB69" i="65"/>
  <c r="AB70" i="65"/>
  <c r="AB71" i="65"/>
  <c r="AB72" i="65"/>
  <c r="AB73" i="65"/>
  <c r="AB74" i="65"/>
  <c r="AB75" i="65"/>
  <c r="AB76" i="65"/>
  <c r="AB77" i="65"/>
  <c r="AB78" i="65"/>
  <c r="AB79" i="65"/>
  <c r="AB80" i="65"/>
  <c r="AB81" i="65"/>
  <c r="AB82" i="65"/>
  <c r="AB83" i="65"/>
  <c r="AB84" i="65"/>
  <c r="AB85" i="65"/>
  <c r="AB86" i="65"/>
  <c r="AB87" i="65"/>
  <c r="AB88" i="65"/>
  <c r="AB89" i="65"/>
  <c r="AB90" i="65"/>
  <c r="AB91" i="65"/>
  <c r="AB92" i="65"/>
  <c r="AB93" i="65"/>
  <c r="AB94" i="65"/>
  <c r="AB95" i="65"/>
  <c r="AB96" i="65"/>
  <c r="AB97" i="65"/>
  <c r="AB98" i="65"/>
  <c r="AB99" i="65"/>
  <c r="AB100" i="65"/>
  <c r="AB101" i="65"/>
  <c r="AB102" i="65"/>
  <c r="AB103" i="65"/>
  <c r="AB104" i="65"/>
  <c r="AB106" i="65"/>
  <c r="AB107" i="65"/>
  <c r="AB108" i="65"/>
  <c r="U107" i="65"/>
  <c r="AD107" i="65" s="1"/>
  <c r="X107" i="65"/>
  <c r="X108" i="65"/>
  <c r="J108" i="67" l="1"/>
  <c r="U108" i="65"/>
  <c r="AA108" i="65"/>
  <c r="AF108" i="65" s="1"/>
  <c r="AA107" i="65"/>
  <c r="AF107" i="65" s="1"/>
  <c r="U106" i="65"/>
  <c r="AA106" i="65"/>
  <c r="AF106" i="65" s="1"/>
  <c r="X106" i="65"/>
  <c r="AD106" i="65" l="1"/>
  <c r="J107" i="67"/>
  <c r="AD108" i="65"/>
  <c r="J109" i="67"/>
  <c r="U104" i="65"/>
  <c r="X104" i="65"/>
  <c r="AA104" i="65"/>
  <c r="AD104" i="65" l="1"/>
  <c r="J21" i="67"/>
  <c r="AF104" i="65"/>
  <c r="U99" i="65" l="1"/>
  <c r="X99" i="65"/>
  <c r="AA99" i="65"/>
  <c r="AF99" i="65" s="1"/>
  <c r="X100" i="65"/>
  <c r="AA100" i="65"/>
  <c r="AF100" i="65" s="1"/>
  <c r="U101" i="65"/>
  <c r="AA103" i="65"/>
  <c r="AF103" i="65" s="1"/>
  <c r="AD99" i="65" l="1"/>
  <c r="J102" i="67"/>
  <c r="AD101" i="65"/>
  <c r="J104" i="67"/>
  <c r="U102" i="65"/>
  <c r="X101" i="65"/>
  <c r="U100" i="65"/>
  <c r="X103" i="65"/>
  <c r="AA102" i="65"/>
  <c r="AF102" i="65" s="1"/>
  <c r="U103" i="65"/>
  <c r="X102" i="65"/>
  <c r="AA101" i="65"/>
  <c r="AF101" i="65" s="1"/>
  <c r="AD102" i="65" l="1"/>
  <c r="J54" i="67"/>
  <c r="AD103" i="65"/>
  <c r="J105" i="67"/>
  <c r="AD100" i="65"/>
  <c r="J103" i="67"/>
  <c r="U49" i="65"/>
  <c r="X49" i="65"/>
  <c r="AA49" i="65"/>
  <c r="U50" i="65"/>
  <c r="X50" i="65"/>
  <c r="U51" i="65"/>
  <c r="U53" i="65"/>
  <c r="X53" i="65"/>
  <c r="AA53" i="65"/>
  <c r="U54" i="65"/>
  <c r="X54" i="65"/>
  <c r="U55" i="65"/>
  <c r="AA57" i="65"/>
  <c r="AF57" i="65" s="1"/>
  <c r="U59" i="65"/>
  <c r="U62" i="65"/>
  <c r="X62" i="65"/>
  <c r="U63" i="65"/>
  <c r="AA64" i="65"/>
  <c r="AF64" i="65" s="1"/>
  <c r="X65" i="65"/>
  <c r="U66" i="65"/>
  <c r="U67" i="65"/>
  <c r="AA68" i="65"/>
  <c r="AF68" i="65" s="1"/>
  <c r="X69" i="65"/>
  <c r="U70" i="65"/>
  <c r="X70" i="65"/>
  <c r="U71" i="65"/>
  <c r="X72" i="65"/>
  <c r="AA72" i="65"/>
  <c r="AF72" i="65" s="1"/>
  <c r="X73" i="65"/>
  <c r="U74" i="65"/>
  <c r="AD67" i="65" l="1"/>
  <c r="J83" i="67"/>
  <c r="AD71" i="65"/>
  <c r="J48" i="67"/>
  <c r="AD54" i="65"/>
  <c r="J40" i="67"/>
  <c r="AD49" i="65"/>
  <c r="J17" i="67"/>
  <c r="AD70" i="65"/>
  <c r="J86" i="67"/>
  <c r="AD63" i="65"/>
  <c r="J80" i="67"/>
  <c r="AD62" i="65"/>
  <c r="J79" i="67"/>
  <c r="AD53" i="65"/>
  <c r="J46" i="67"/>
  <c r="AD74" i="65"/>
  <c r="J89" i="67"/>
  <c r="AD59" i="65"/>
  <c r="J76" i="67"/>
  <c r="AD51" i="65"/>
  <c r="J71" i="67"/>
  <c r="AD66" i="65"/>
  <c r="J82" i="67"/>
  <c r="AD55" i="65"/>
  <c r="J72" i="67"/>
  <c r="AD50" i="65"/>
  <c r="J22" i="67"/>
  <c r="AA74" i="65"/>
  <c r="AF74" i="65" s="1"/>
  <c r="U72" i="65"/>
  <c r="X71" i="65"/>
  <c r="AA70" i="65"/>
  <c r="AF70" i="65" s="1"/>
  <c r="U68" i="65"/>
  <c r="X67" i="65"/>
  <c r="AA66" i="65"/>
  <c r="AF66" i="65" s="1"/>
  <c r="U64" i="65"/>
  <c r="X63" i="65"/>
  <c r="AA62" i="65"/>
  <c r="AF62" i="65" s="1"/>
  <c r="U60" i="65"/>
  <c r="X59" i="65"/>
  <c r="AA58" i="65"/>
  <c r="AF58" i="65" s="1"/>
  <c r="U56" i="65"/>
  <c r="X55" i="65"/>
  <c r="AA54" i="65"/>
  <c r="AF54" i="65" s="1"/>
  <c r="U52" i="65"/>
  <c r="X51" i="65"/>
  <c r="AA50" i="65"/>
  <c r="AF50" i="65" s="1"/>
  <c r="X66" i="65"/>
  <c r="X58" i="65"/>
  <c r="AA69" i="65"/>
  <c r="AF69" i="65" s="1"/>
  <c r="AA65" i="65"/>
  <c r="AF65" i="65" s="1"/>
  <c r="AA61" i="65"/>
  <c r="AF61" i="65" s="1"/>
  <c r="AF53" i="65"/>
  <c r="AF49" i="65"/>
  <c r="X74" i="65"/>
  <c r="AA73" i="65"/>
  <c r="AF73" i="65" s="1"/>
  <c r="X61" i="65"/>
  <c r="AA60" i="65"/>
  <c r="AF60" i="65" s="1"/>
  <c r="U58" i="65"/>
  <c r="X57" i="65"/>
  <c r="AA56" i="65"/>
  <c r="AF56" i="65" s="1"/>
  <c r="AA52" i="65"/>
  <c r="AF52" i="65" s="1"/>
  <c r="U73" i="65"/>
  <c r="AA71" i="65"/>
  <c r="AF71" i="65" s="1"/>
  <c r="U69" i="65"/>
  <c r="X68" i="65"/>
  <c r="AA67" i="65"/>
  <c r="AF67" i="65" s="1"/>
  <c r="U65" i="65"/>
  <c r="X64" i="65"/>
  <c r="AA63" i="65"/>
  <c r="AF63" i="65" s="1"/>
  <c r="U61" i="65"/>
  <c r="X60" i="65"/>
  <c r="AA59" i="65"/>
  <c r="AF59" i="65" s="1"/>
  <c r="U57" i="65"/>
  <c r="X56" i="65"/>
  <c r="AA55" i="65"/>
  <c r="AF55" i="65" s="1"/>
  <c r="X52" i="65"/>
  <c r="AA51" i="65"/>
  <c r="AF51" i="65" s="1"/>
  <c r="U89" i="65"/>
  <c r="X89" i="65"/>
  <c r="X92" i="65"/>
  <c r="U93" i="65"/>
  <c r="X93" i="65"/>
  <c r="U35" i="65"/>
  <c r="AA36" i="65"/>
  <c r="AF36" i="65" s="1"/>
  <c r="U38" i="65"/>
  <c r="X38" i="65"/>
  <c r="U39" i="65"/>
  <c r="AA39" i="65"/>
  <c r="U40" i="65"/>
  <c r="AD93" i="65" l="1"/>
  <c r="J96" i="67"/>
  <c r="AD57" i="65"/>
  <c r="J74" i="67"/>
  <c r="AD56" i="65"/>
  <c r="J73" i="67"/>
  <c r="AD39" i="65"/>
  <c r="J44" i="67"/>
  <c r="AD89" i="65"/>
  <c r="J34" i="67"/>
  <c r="AD73" i="65"/>
  <c r="J88" i="67"/>
  <c r="AD52" i="65"/>
  <c r="J35" i="67"/>
  <c r="AD61" i="65"/>
  <c r="J78" i="67"/>
  <c r="AD60" i="65"/>
  <c r="J77" i="67"/>
  <c r="AD38" i="65"/>
  <c r="J67" i="67"/>
  <c r="AD72" i="65"/>
  <c r="J87" i="67"/>
  <c r="AD35" i="65"/>
  <c r="J64" i="67"/>
  <c r="AD65" i="65"/>
  <c r="J47" i="67"/>
  <c r="AD64" i="65"/>
  <c r="J81" i="67"/>
  <c r="AD58" i="65"/>
  <c r="J75" i="67"/>
  <c r="AD40" i="65"/>
  <c r="J45" i="67"/>
  <c r="AD69" i="65"/>
  <c r="J85" i="67"/>
  <c r="AD68" i="65"/>
  <c r="J84" i="67"/>
  <c r="AA40" i="65"/>
  <c r="AF40" i="65" s="1"/>
  <c r="U37" i="65"/>
  <c r="X36" i="65"/>
  <c r="AA35" i="65"/>
  <c r="AF35" i="65" s="1"/>
  <c r="U92" i="65"/>
  <c r="X91" i="65"/>
  <c r="AA90" i="65"/>
  <c r="AF90" i="65" s="1"/>
  <c r="AF39" i="65"/>
  <c r="X40" i="65"/>
  <c r="X39" i="65"/>
  <c r="AA38" i="65"/>
  <c r="AF38" i="65" s="1"/>
  <c r="U36" i="65"/>
  <c r="X35" i="65"/>
  <c r="AA93" i="65"/>
  <c r="AF93" i="65" s="1"/>
  <c r="U91" i="65"/>
  <c r="X90" i="65"/>
  <c r="AA89" i="65"/>
  <c r="AF89" i="65" s="1"/>
  <c r="U90" i="65"/>
  <c r="AA37" i="65"/>
  <c r="AF37" i="65" s="1"/>
  <c r="AA92" i="65"/>
  <c r="AF92" i="65" s="1"/>
  <c r="X37" i="65"/>
  <c r="AA91" i="65"/>
  <c r="AF91" i="65" s="1"/>
  <c r="AD91" i="65" l="1"/>
  <c r="J95" i="67"/>
  <c r="AD92" i="65"/>
  <c r="J53" i="67"/>
  <c r="AD36" i="65"/>
  <c r="J65" i="67"/>
  <c r="AD90" i="65"/>
  <c r="J94" i="67"/>
  <c r="AD37" i="65"/>
  <c r="J66" i="67"/>
  <c r="U4" i="65"/>
  <c r="X4" i="65"/>
  <c r="AA4" i="65"/>
  <c r="AF4" i="65" s="1"/>
  <c r="U5" i="65"/>
  <c r="X5" i="65"/>
  <c r="AA5" i="65"/>
  <c r="AF5" i="65" s="1"/>
  <c r="U6" i="65"/>
  <c r="X6" i="65"/>
  <c r="AA6" i="65"/>
  <c r="U7" i="65"/>
  <c r="X7" i="65"/>
  <c r="AA7" i="65"/>
  <c r="U8" i="65"/>
  <c r="X8" i="65"/>
  <c r="AA8" i="65"/>
  <c r="U9" i="65"/>
  <c r="X9" i="65"/>
  <c r="AA9" i="65"/>
  <c r="AF9" i="65" s="1"/>
  <c r="U10" i="65"/>
  <c r="X10" i="65"/>
  <c r="AA10" i="65"/>
  <c r="AF10" i="65" s="1"/>
  <c r="U11" i="65"/>
  <c r="X11" i="65"/>
  <c r="AA11" i="65"/>
  <c r="AF11" i="65" s="1"/>
  <c r="U12" i="65"/>
  <c r="X12" i="65"/>
  <c r="AA12" i="65"/>
  <c r="AF12" i="65" s="1"/>
  <c r="U13" i="65"/>
  <c r="X13" i="65"/>
  <c r="AA13" i="65"/>
  <c r="AF13" i="65" s="1"/>
  <c r="U14" i="65"/>
  <c r="X14" i="65"/>
  <c r="AA14" i="65"/>
  <c r="AF14" i="65" s="1"/>
  <c r="U15" i="65"/>
  <c r="X15" i="65"/>
  <c r="AA15" i="65"/>
  <c r="U16" i="65"/>
  <c r="X16" i="65"/>
  <c r="AA16" i="65"/>
  <c r="U17" i="65"/>
  <c r="X17" i="65"/>
  <c r="AA17" i="65"/>
  <c r="AF17" i="65" s="1"/>
  <c r="U18" i="65"/>
  <c r="X18" i="65"/>
  <c r="AA18" i="65"/>
  <c r="AF18" i="65" s="1"/>
  <c r="U19" i="65"/>
  <c r="X19" i="65"/>
  <c r="AA19" i="65"/>
  <c r="AF19" i="65" s="1"/>
  <c r="U20" i="65"/>
  <c r="X20" i="65"/>
  <c r="AA20" i="65"/>
  <c r="AF20" i="65" s="1"/>
  <c r="U21" i="65"/>
  <c r="X21" i="65"/>
  <c r="AA21" i="65"/>
  <c r="AF21" i="65" s="1"/>
  <c r="U22" i="65"/>
  <c r="X22" i="65"/>
  <c r="AA22" i="65"/>
  <c r="U23" i="65"/>
  <c r="X23" i="65"/>
  <c r="AA23" i="65"/>
  <c r="AF23" i="65" s="1"/>
  <c r="U24" i="65"/>
  <c r="X24" i="65"/>
  <c r="AA24" i="65"/>
  <c r="U25" i="65"/>
  <c r="X25" i="65"/>
  <c r="AA25" i="65"/>
  <c r="AF25" i="65" s="1"/>
  <c r="U26" i="65"/>
  <c r="X26" i="65"/>
  <c r="AA26" i="65"/>
  <c r="AF26" i="65" s="1"/>
  <c r="U27" i="65"/>
  <c r="X27" i="65"/>
  <c r="AA27" i="65"/>
  <c r="AF27" i="65" s="1"/>
  <c r="U28" i="65"/>
  <c r="X28" i="65"/>
  <c r="AA28" i="65"/>
  <c r="AF28" i="65" s="1"/>
  <c r="U29" i="65"/>
  <c r="X29" i="65"/>
  <c r="AA29" i="65"/>
  <c r="AF29" i="65" s="1"/>
  <c r="U30" i="65"/>
  <c r="X30" i="65"/>
  <c r="AA30" i="65"/>
  <c r="AF30" i="65" s="1"/>
  <c r="U31" i="65"/>
  <c r="X31" i="65"/>
  <c r="AA31" i="65"/>
  <c r="AF31" i="65" s="1"/>
  <c r="U32" i="65"/>
  <c r="X32" i="65"/>
  <c r="AA32" i="65"/>
  <c r="AF32" i="65" s="1"/>
  <c r="U33" i="65"/>
  <c r="X33" i="65"/>
  <c r="AA33" i="65"/>
  <c r="AF33" i="65" s="1"/>
  <c r="U34" i="65"/>
  <c r="X34" i="65"/>
  <c r="AA34" i="65"/>
  <c r="AF34" i="65" s="1"/>
  <c r="U41" i="65"/>
  <c r="X41" i="65"/>
  <c r="AA41" i="65"/>
  <c r="AF41" i="65" s="1"/>
  <c r="U42" i="65"/>
  <c r="X42" i="65"/>
  <c r="AA42" i="65"/>
  <c r="AF42" i="65" s="1"/>
  <c r="U43" i="65"/>
  <c r="X43" i="65"/>
  <c r="AA43" i="65"/>
  <c r="AF43" i="65" s="1"/>
  <c r="U44" i="65"/>
  <c r="X44" i="65"/>
  <c r="AA44" i="65"/>
  <c r="AF44" i="65" s="1"/>
  <c r="U45" i="65"/>
  <c r="X45" i="65"/>
  <c r="AA45" i="65"/>
  <c r="AF45" i="65" s="1"/>
  <c r="U46" i="65"/>
  <c r="X46" i="65"/>
  <c r="AA46" i="65"/>
  <c r="AF46" i="65" s="1"/>
  <c r="U47" i="65"/>
  <c r="X47" i="65"/>
  <c r="AA47" i="65"/>
  <c r="AF47" i="65" s="1"/>
  <c r="U48" i="65"/>
  <c r="X48" i="65"/>
  <c r="AA48" i="65"/>
  <c r="U75" i="65"/>
  <c r="X75" i="65"/>
  <c r="AA75" i="65"/>
  <c r="U76" i="65"/>
  <c r="X76" i="65"/>
  <c r="AA76" i="65"/>
  <c r="U77" i="65"/>
  <c r="X77" i="65"/>
  <c r="AA77" i="65"/>
  <c r="AF77" i="65" s="1"/>
  <c r="U78" i="65"/>
  <c r="X78" i="65"/>
  <c r="AA78" i="65"/>
  <c r="AF78" i="65" s="1"/>
  <c r="U79" i="65"/>
  <c r="X79" i="65"/>
  <c r="AA79" i="65"/>
  <c r="AF79" i="65" s="1"/>
  <c r="U80" i="65"/>
  <c r="X80" i="65"/>
  <c r="AA80" i="65"/>
  <c r="AF80" i="65" s="1"/>
  <c r="U81" i="65"/>
  <c r="X81" i="65"/>
  <c r="AA81" i="65"/>
  <c r="AF81" i="65" s="1"/>
  <c r="U82" i="65"/>
  <c r="X82" i="65"/>
  <c r="AA82" i="65"/>
  <c r="AF82" i="65" s="1"/>
  <c r="U83" i="65"/>
  <c r="X83" i="65"/>
  <c r="AA83" i="65"/>
  <c r="AF83" i="65" s="1"/>
  <c r="U84" i="65"/>
  <c r="X84" i="65"/>
  <c r="AA84" i="65"/>
  <c r="AF84" i="65" s="1"/>
  <c r="U85" i="65"/>
  <c r="X85" i="65"/>
  <c r="AA85" i="65"/>
  <c r="AF85" i="65" s="1"/>
  <c r="U86" i="65"/>
  <c r="X86" i="65"/>
  <c r="AA86" i="65"/>
  <c r="AF86" i="65" s="1"/>
  <c r="U87" i="65"/>
  <c r="X87" i="65"/>
  <c r="AA87" i="65"/>
  <c r="AF87" i="65" s="1"/>
  <c r="U88" i="65"/>
  <c r="X88" i="65"/>
  <c r="AA88" i="65"/>
  <c r="AF88" i="65" s="1"/>
  <c r="U94" i="65"/>
  <c r="X94" i="65"/>
  <c r="AA94" i="65"/>
  <c r="AF94" i="65" s="1"/>
  <c r="U95" i="65"/>
  <c r="X95" i="65"/>
  <c r="AA95" i="65"/>
  <c r="AF95" i="65" s="1"/>
  <c r="U96" i="65"/>
  <c r="X96" i="65"/>
  <c r="AA96" i="65"/>
  <c r="AF96" i="65" s="1"/>
  <c r="U97" i="65"/>
  <c r="X97" i="65"/>
  <c r="AA97" i="65"/>
  <c r="AF97" i="65" s="1"/>
  <c r="U98" i="65"/>
  <c r="X98" i="65"/>
  <c r="AA98" i="65"/>
  <c r="AF98" i="65" s="1"/>
  <c r="AD84" i="65" l="1"/>
  <c r="J50" i="67"/>
  <c r="AD76" i="65"/>
  <c r="J36" i="67"/>
  <c r="AD42" i="65"/>
  <c r="J69" i="67"/>
  <c r="AD20" i="65"/>
  <c r="J29" i="67"/>
  <c r="AD12" i="65"/>
  <c r="J12" i="67"/>
  <c r="AD4" i="65"/>
  <c r="J4" i="67"/>
  <c r="AD47" i="65"/>
  <c r="J28" i="67"/>
  <c r="AD33" i="65"/>
  <c r="J32" i="67"/>
  <c r="AD25" i="65"/>
  <c r="J57" i="67"/>
  <c r="AD96" i="65"/>
  <c r="J99" i="67"/>
  <c r="AD83" i="65"/>
  <c r="J92" i="67"/>
  <c r="AD75" i="65"/>
  <c r="J41" i="67"/>
  <c r="AD41" i="65"/>
  <c r="J68" i="67"/>
  <c r="AD27" i="65"/>
  <c r="J58" i="67"/>
  <c r="AD19" i="65"/>
  <c r="J55" i="67"/>
  <c r="AD11" i="65"/>
  <c r="J13" i="67"/>
  <c r="AD97" i="65"/>
  <c r="J100" i="67"/>
  <c r="AD88" i="65"/>
  <c r="J93" i="67"/>
  <c r="AD80" i="65"/>
  <c r="J43" i="67"/>
  <c r="AD32" i="65"/>
  <c r="J62" i="67"/>
  <c r="AD24" i="65"/>
  <c r="J38" i="67"/>
  <c r="AD98" i="65"/>
  <c r="J101" i="67"/>
  <c r="AD29" i="65"/>
  <c r="J59" i="67"/>
  <c r="AD95" i="65"/>
  <c r="J98" i="67"/>
  <c r="AD82" i="65"/>
  <c r="J91" i="67"/>
  <c r="AD48" i="65"/>
  <c r="J16" i="67"/>
  <c r="AD34" i="65"/>
  <c r="J63" i="67"/>
  <c r="AD26" i="65"/>
  <c r="J33" i="67"/>
  <c r="AD18" i="65"/>
  <c r="J23" i="67"/>
  <c r="AD10" i="65"/>
  <c r="J11" i="67"/>
  <c r="AD46" i="65"/>
  <c r="J70" i="67"/>
  <c r="AD16" i="65"/>
  <c r="J9" i="67"/>
  <c r="AD8" i="65"/>
  <c r="J20" i="67"/>
  <c r="AD85" i="65"/>
  <c r="J51" i="67"/>
  <c r="AD77" i="65"/>
  <c r="J42" i="67"/>
  <c r="AD43" i="65"/>
  <c r="J39" i="67"/>
  <c r="AD21" i="65"/>
  <c r="J30" i="67"/>
  <c r="AD13" i="65"/>
  <c r="J5" i="67"/>
  <c r="AD5" i="65"/>
  <c r="J7" i="67"/>
  <c r="AD87" i="65"/>
  <c r="J52" i="67"/>
  <c r="AD79" i="65"/>
  <c r="J31" i="67"/>
  <c r="AD45" i="65"/>
  <c r="J18" i="67"/>
  <c r="AD31" i="65"/>
  <c r="J61" i="67"/>
  <c r="AD23" i="65"/>
  <c r="J56" i="67"/>
  <c r="AD15" i="65"/>
  <c r="J19" i="67"/>
  <c r="AD7" i="65"/>
  <c r="J10" i="67"/>
  <c r="AD28" i="65"/>
  <c r="J24" i="67"/>
  <c r="AD94" i="65"/>
  <c r="J97" i="67"/>
  <c r="AD81" i="65"/>
  <c r="J90" i="67"/>
  <c r="AD17" i="65"/>
  <c r="J26" i="67"/>
  <c r="AD9" i="65"/>
  <c r="J6" i="67"/>
  <c r="AD86" i="65"/>
  <c r="J37" i="67"/>
  <c r="AD78" i="65"/>
  <c r="J49" i="67"/>
  <c r="AD44" i="65"/>
  <c r="J25" i="67"/>
  <c r="AD30" i="65"/>
  <c r="J60" i="67"/>
  <c r="AD22" i="65"/>
  <c r="J27" i="67"/>
  <c r="AD14" i="65"/>
  <c r="J15" i="67"/>
  <c r="AD6" i="65"/>
  <c r="J14" i="67"/>
  <c r="AF22" i="65"/>
  <c r="AF6" i="65"/>
  <c r="AF48" i="65"/>
  <c r="AF15" i="65"/>
  <c r="AF7" i="65"/>
  <c r="AF75" i="65"/>
  <c r="AF24" i="65"/>
  <c r="AF16" i="65"/>
  <c r="AF8" i="65"/>
  <c r="AF76" i="65"/>
  <c r="J110" i="69" l="1"/>
  <c r="K103" i="69" s="1"/>
  <c r="C110" i="69"/>
  <c r="D107" i="69" s="1"/>
  <c r="G109" i="69"/>
  <c r="G108" i="69"/>
  <c r="D108" i="69"/>
  <c r="G107" i="69"/>
  <c r="G106" i="69"/>
  <c r="D106" i="69"/>
  <c r="G105" i="69"/>
  <c r="D105" i="69"/>
  <c r="K104" i="69"/>
  <c r="D104" i="69"/>
  <c r="D103" i="69"/>
  <c r="K102" i="69"/>
  <c r="D102" i="69"/>
  <c r="D101" i="69"/>
  <c r="D100" i="69"/>
  <c r="K99" i="69"/>
  <c r="D99" i="69"/>
  <c r="D98" i="69"/>
  <c r="D97" i="69"/>
  <c r="K96" i="69"/>
  <c r="D96" i="69"/>
  <c r="D95" i="69"/>
  <c r="K94" i="69"/>
  <c r="D94" i="69"/>
  <c r="D93" i="69"/>
  <c r="D92" i="69"/>
  <c r="K91" i="69"/>
  <c r="D91" i="69"/>
  <c r="D90" i="69"/>
  <c r="D89" i="69"/>
  <c r="K88" i="69"/>
  <c r="D88" i="69"/>
  <c r="D87" i="69"/>
  <c r="K86" i="69"/>
  <c r="D86" i="69"/>
  <c r="D85" i="69"/>
  <c r="D84" i="69"/>
  <c r="K83" i="69"/>
  <c r="D83" i="69"/>
  <c r="D82" i="69"/>
  <c r="D81" i="69"/>
  <c r="K80" i="69"/>
  <c r="D80" i="69"/>
  <c r="D79" i="69"/>
  <c r="K78" i="69"/>
  <c r="D78" i="69"/>
  <c r="D77" i="69"/>
  <c r="D76" i="69"/>
  <c r="K75" i="69"/>
  <c r="D75" i="69"/>
  <c r="D74" i="69"/>
  <c r="D73" i="69"/>
  <c r="K72" i="69"/>
  <c r="D72" i="69"/>
  <c r="D71" i="69"/>
  <c r="K70" i="69"/>
  <c r="D70" i="69"/>
  <c r="D69" i="69"/>
  <c r="D68" i="69"/>
  <c r="K67" i="69"/>
  <c r="D67" i="69"/>
  <c r="D66" i="69"/>
  <c r="D65" i="69"/>
  <c r="K64" i="69"/>
  <c r="D64" i="69"/>
  <c r="D63" i="69"/>
  <c r="K62" i="69"/>
  <c r="D62" i="69"/>
  <c r="D61" i="69"/>
  <c r="D60" i="69"/>
  <c r="K59" i="69"/>
  <c r="D59" i="69"/>
  <c r="D58" i="69"/>
  <c r="D57" i="69"/>
  <c r="K56" i="69"/>
  <c r="D56" i="69"/>
  <c r="D55" i="69"/>
  <c r="K54" i="69"/>
  <c r="D54" i="69"/>
  <c r="D53" i="69"/>
  <c r="D52" i="69"/>
  <c r="K51" i="69"/>
  <c r="D51" i="69"/>
  <c r="D50" i="69"/>
  <c r="D49" i="69"/>
  <c r="K48" i="69"/>
  <c r="D48" i="69"/>
  <c r="D47" i="69"/>
  <c r="K46" i="69"/>
  <c r="D46" i="69"/>
  <c r="D45" i="69"/>
  <c r="D44" i="69"/>
  <c r="K43" i="69"/>
  <c r="D43" i="69"/>
  <c r="D42" i="69"/>
  <c r="D41" i="69"/>
  <c r="K40" i="69"/>
  <c r="D40" i="69"/>
  <c r="D39" i="69"/>
  <c r="K38" i="69"/>
  <c r="D38" i="69"/>
  <c r="D37" i="69"/>
  <c r="D36" i="69"/>
  <c r="K35" i="69"/>
  <c r="D35" i="69"/>
  <c r="D34" i="69"/>
  <c r="D33" i="69"/>
  <c r="K32" i="69"/>
  <c r="D32" i="69"/>
  <c r="D31" i="69"/>
  <c r="K30" i="69"/>
  <c r="D30" i="69"/>
  <c r="K29" i="69"/>
  <c r="D29" i="69"/>
  <c r="D28" i="69"/>
  <c r="K27" i="69"/>
  <c r="D27" i="69"/>
  <c r="D26" i="69"/>
  <c r="D25" i="69"/>
  <c r="K24" i="69"/>
  <c r="D24" i="69"/>
  <c r="D23" i="69"/>
  <c r="K22" i="69"/>
  <c r="D22" i="69"/>
  <c r="K21" i="69"/>
  <c r="D21" i="69"/>
  <c r="D20" i="69"/>
  <c r="K19" i="69"/>
  <c r="D19" i="69"/>
  <c r="D18" i="69"/>
  <c r="D17" i="69"/>
  <c r="K16" i="69"/>
  <c r="D16" i="69"/>
  <c r="D15" i="69"/>
  <c r="K14" i="69"/>
  <c r="D14" i="69"/>
  <c r="K13" i="69"/>
  <c r="D13" i="69"/>
  <c r="D12" i="69"/>
  <c r="K11" i="69"/>
  <c r="D11" i="69"/>
  <c r="D10" i="69"/>
  <c r="K9" i="69"/>
  <c r="D9" i="69"/>
  <c r="K8" i="69"/>
  <c r="D8" i="69"/>
  <c r="K7" i="69"/>
  <c r="D7" i="69"/>
  <c r="K6" i="69"/>
  <c r="D6" i="69"/>
  <c r="K5" i="69"/>
  <c r="D5" i="69"/>
  <c r="F4" i="69"/>
  <c r="D4" i="69"/>
  <c r="E4" i="69" s="1"/>
  <c r="E5" i="69" s="1"/>
  <c r="G106" i="67"/>
  <c r="G107" i="67"/>
  <c r="G108" i="67"/>
  <c r="G109" i="67"/>
  <c r="AI131" i="68"/>
  <c r="S131" i="68"/>
  <c r="R131" i="68"/>
  <c r="P131" i="68"/>
  <c r="O131" i="68"/>
  <c r="M131" i="68"/>
  <c r="K131" i="68"/>
  <c r="AM130" i="68"/>
  <c r="AK130" i="68"/>
  <c r="AJ130" i="68"/>
  <c r="AI130" i="68"/>
  <c r="AH130" i="68"/>
  <c r="AG130" i="68"/>
  <c r="AE130" i="68"/>
  <c r="Z130" i="68"/>
  <c r="Y130" i="68"/>
  <c r="W130" i="68"/>
  <c r="V130" i="68"/>
  <c r="T130" i="68"/>
  <c r="S130" i="68"/>
  <c r="AZ129" i="68"/>
  <c r="AO129" i="68"/>
  <c r="AN129" i="68"/>
  <c r="AM129" i="68"/>
  <c r="AL129" i="68"/>
  <c r="AK129" i="68"/>
  <c r="AJ129" i="68"/>
  <c r="AI129" i="68"/>
  <c r="AH129" i="68"/>
  <c r="AU129" i="68" s="1"/>
  <c r="AG129" i="68"/>
  <c r="AF129" i="68"/>
  <c r="AE129" i="68"/>
  <c r="AD129" i="68"/>
  <c r="AC129" i="68"/>
  <c r="AB129" i="68"/>
  <c r="AA129" i="68"/>
  <c r="Z129" i="68"/>
  <c r="Y129" i="68"/>
  <c r="X129" i="68"/>
  <c r="W129" i="68"/>
  <c r="V129" i="68"/>
  <c r="U129" i="68"/>
  <c r="T129" i="68"/>
  <c r="S129" i="68"/>
  <c r="N129" i="68"/>
  <c r="L129" i="68"/>
  <c r="J129" i="68"/>
  <c r="I129" i="68"/>
  <c r="H129" i="68"/>
  <c r="G129" i="68"/>
  <c r="F129" i="68"/>
  <c r="E129" i="68"/>
  <c r="AX128" i="68"/>
  <c r="AW128" i="68"/>
  <c r="AV128" i="68"/>
  <c r="AU128" i="68"/>
  <c r="AT128" i="68"/>
  <c r="AS128" i="68"/>
  <c r="AR128" i="68"/>
  <c r="AQ128" i="68"/>
  <c r="AZ118" i="68"/>
  <c r="AO118" i="68"/>
  <c r="AN118" i="68"/>
  <c r="AM118" i="68"/>
  <c r="AL118" i="68"/>
  <c r="AK118" i="68"/>
  <c r="AJ118" i="68"/>
  <c r="AI118" i="68"/>
  <c r="AH118" i="68"/>
  <c r="AU118" i="68" s="1"/>
  <c r="AG118" i="68"/>
  <c r="AE118" i="68"/>
  <c r="AF118" i="68" s="1"/>
  <c r="AD118" i="68"/>
  <c r="AC118" i="68"/>
  <c r="AB118" i="68"/>
  <c r="AA118" i="68"/>
  <c r="Z118" i="68"/>
  <c r="Y118" i="68"/>
  <c r="X118" i="68"/>
  <c r="W118" i="68"/>
  <c r="V118" i="68"/>
  <c r="U118" i="68"/>
  <c r="T118" i="68"/>
  <c r="S118" i="68"/>
  <c r="N118" i="68"/>
  <c r="L118" i="68"/>
  <c r="J118" i="68"/>
  <c r="I118" i="68"/>
  <c r="H118" i="68"/>
  <c r="G118" i="68"/>
  <c r="F118" i="68"/>
  <c r="E118" i="68"/>
  <c r="AX117" i="68"/>
  <c r="AW117" i="68"/>
  <c r="AV117" i="68"/>
  <c r="AU117" i="68"/>
  <c r="AT117" i="68"/>
  <c r="AS117" i="68"/>
  <c r="AR117" i="68"/>
  <c r="AQ117" i="68"/>
  <c r="AM110" i="68"/>
  <c r="AM131" i="68" s="1"/>
  <c r="AK110" i="68"/>
  <c r="AK131" i="68" s="1"/>
  <c r="AJ110" i="68"/>
  <c r="AJ131" i="68" s="1"/>
  <c r="AI110" i="68"/>
  <c r="AH110" i="68"/>
  <c r="AH131" i="68" s="1"/>
  <c r="AU131" i="68" s="1"/>
  <c r="AG110" i="68"/>
  <c r="AG131" i="68" s="1"/>
  <c r="AE110" i="68"/>
  <c r="AE131" i="68" s="1"/>
  <c r="Z110" i="68"/>
  <c r="Z131" i="68" s="1"/>
  <c r="Y110" i="68"/>
  <c r="Y131" i="68" s="1"/>
  <c r="W110" i="68"/>
  <c r="W131" i="68" s="1"/>
  <c r="V110" i="68"/>
  <c r="V131" i="68" s="1"/>
  <c r="T110" i="68"/>
  <c r="T131" i="68" s="1"/>
  <c r="S110" i="68"/>
  <c r="AU108" i="68"/>
  <c r="AT108" i="68"/>
  <c r="AR108" i="68"/>
  <c r="AN108" i="68"/>
  <c r="AF108" i="68"/>
  <c r="AA108" i="68"/>
  <c r="X108" i="68"/>
  <c r="U108" i="68"/>
  <c r="Q108" i="68"/>
  <c r="E108" i="68"/>
  <c r="L108" i="68" s="1"/>
  <c r="AU107" i="68"/>
  <c r="AT107" i="68"/>
  <c r="AR107" i="68"/>
  <c r="AN107" i="68"/>
  <c r="AF107" i="68"/>
  <c r="AA107" i="68"/>
  <c r="X107" i="68"/>
  <c r="U107" i="68"/>
  <c r="Q107" i="68"/>
  <c r="E107" i="68"/>
  <c r="L107" i="68" s="1"/>
  <c r="AU106" i="68"/>
  <c r="AT106" i="68"/>
  <c r="AR106" i="68"/>
  <c r="AF106" i="68"/>
  <c r="AD106" i="68"/>
  <c r="AA106" i="68"/>
  <c r="X106" i="68"/>
  <c r="AN106" i="68" s="1"/>
  <c r="U106" i="68"/>
  <c r="AS106" i="68" s="1"/>
  <c r="R106" i="68"/>
  <c r="Q106" i="68"/>
  <c r="AB106" i="68"/>
  <c r="E106" i="68"/>
  <c r="L106" i="68" s="1"/>
  <c r="AU105" i="68"/>
  <c r="AT105" i="68"/>
  <c r="AR105" i="68"/>
  <c r="AN105" i="68"/>
  <c r="AF105" i="68"/>
  <c r="AA105" i="68"/>
  <c r="X105" i="68"/>
  <c r="U105" i="68"/>
  <c r="AQ105" i="68" s="1"/>
  <c r="AW105" i="68" s="1"/>
  <c r="R105" i="68"/>
  <c r="Q105" i="68"/>
  <c r="AB105" i="68"/>
  <c r="E105" i="68"/>
  <c r="L105" i="68" s="1"/>
  <c r="AU104" i="68"/>
  <c r="AT104" i="68"/>
  <c r="AR104" i="68"/>
  <c r="AN104" i="68"/>
  <c r="AF104" i="68"/>
  <c r="AA104" i="68"/>
  <c r="X104" i="68"/>
  <c r="U104" i="68"/>
  <c r="AQ104" i="68" s="1"/>
  <c r="AW104" i="68" s="1"/>
  <c r="R104" i="68"/>
  <c r="Q104" i="68"/>
  <c r="AB104" i="68"/>
  <c r="AU103" i="68"/>
  <c r="AT103" i="68"/>
  <c r="AR103" i="68"/>
  <c r="AN103" i="68"/>
  <c r="AA103" i="68"/>
  <c r="X103" i="68"/>
  <c r="U103" i="68"/>
  <c r="AB103" i="68"/>
  <c r="E103" i="68"/>
  <c r="L103" i="68" s="1"/>
  <c r="AW102" i="68"/>
  <c r="AU102" i="68"/>
  <c r="AT102" i="68"/>
  <c r="AS102" i="68"/>
  <c r="AR102" i="68"/>
  <c r="AQ102" i="68"/>
  <c r="AD102" i="68"/>
  <c r="AA102" i="68"/>
  <c r="AF102" i="68" s="1"/>
  <c r="X102" i="68"/>
  <c r="AN102" i="68" s="1"/>
  <c r="U102" i="68"/>
  <c r="R102" i="68"/>
  <c r="Q102" i="68"/>
  <c r="AB102" i="68"/>
  <c r="L102" i="68"/>
  <c r="E102" i="68"/>
  <c r="AU101" i="68"/>
  <c r="AT101" i="68"/>
  <c r="AR101" i="68"/>
  <c r="AQ101" i="68"/>
  <c r="AW101" i="68" s="1"/>
  <c r="AN101" i="68"/>
  <c r="AD101" i="68"/>
  <c r="AA101" i="68"/>
  <c r="X101" i="68"/>
  <c r="U101" i="68"/>
  <c r="AS101" i="68" s="1"/>
  <c r="Q101" i="68"/>
  <c r="E101" i="68"/>
  <c r="L101" i="68" s="1"/>
  <c r="AU100" i="68"/>
  <c r="AT100" i="68"/>
  <c r="AS100" i="68"/>
  <c r="AR100" i="68"/>
  <c r="AF100" i="68"/>
  <c r="AD100" i="68"/>
  <c r="AA100" i="68"/>
  <c r="X100" i="68"/>
  <c r="AN100" i="68" s="1"/>
  <c r="U100" i="68"/>
  <c r="AQ100" i="68" s="1"/>
  <c r="AW100" i="68" s="1"/>
  <c r="R100" i="68"/>
  <c r="Q100" i="68"/>
  <c r="AU99" i="68"/>
  <c r="AT99" i="68"/>
  <c r="AS99" i="68"/>
  <c r="AR99" i="68"/>
  <c r="AN99" i="68"/>
  <c r="AF99" i="68"/>
  <c r="AD99" i="68"/>
  <c r="AA99" i="68"/>
  <c r="X99" i="68"/>
  <c r="U99" i="68"/>
  <c r="AQ99" i="68" s="1"/>
  <c r="AW99" i="68" s="1"/>
  <c r="R99" i="68"/>
  <c r="Q99" i="68"/>
  <c r="AB99" i="68"/>
  <c r="AU98" i="68"/>
  <c r="AT98" i="68"/>
  <c r="AR98" i="68"/>
  <c r="AF98" i="68"/>
  <c r="AD98" i="68"/>
  <c r="AA98" i="68"/>
  <c r="X98" i="68"/>
  <c r="AN98" i="68" s="1"/>
  <c r="U98" i="68"/>
  <c r="R98" i="68" s="1"/>
  <c r="Q98" i="68"/>
  <c r="AB98" i="68"/>
  <c r="E98" i="68"/>
  <c r="L98" i="68" s="1"/>
  <c r="AU97" i="68"/>
  <c r="AT97" i="68"/>
  <c r="AS97" i="68"/>
  <c r="AR97" i="68"/>
  <c r="AN97" i="68"/>
  <c r="AF97" i="68"/>
  <c r="AA97" i="68"/>
  <c r="X97" i="68"/>
  <c r="U97" i="68"/>
  <c r="AD97" i="68" s="1"/>
  <c r="R97" i="68"/>
  <c r="Q97" i="68"/>
  <c r="AU96" i="68"/>
  <c r="AT96" i="68"/>
  <c r="AR96" i="68"/>
  <c r="AD96" i="68"/>
  <c r="AA96" i="68"/>
  <c r="X96" i="68"/>
  <c r="AN96" i="68" s="1"/>
  <c r="U96" i="68"/>
  <c r="AS96" i="68" s="1"/>
  <c r="R96" i="68"/>
  <c r="Q96" i="68"/>
  <c r="E96" i="68"/>
  <c r="L96" i="68" s="1"/>
  <c r="AW95" i="68"/>
  <c r="AU95" i="68"/>
  <c r="AT95" i="68"/>
  <c r="AS95" i="68"/>
  <c r="AR95" i="68"/>
  <c r="AQ95" i="68"/>
  <c r="AN95" i="68"/>
  <c r="AD95" i="68"/>
  <c r="AA95" i="68"/>
  <c r="AF95" i="68" s="1"/>
  <c r="X95" i="68"/>
  <c r="U95" i="68"/>
  <c r="Q95" i="68"/>
  <c r="AB95" i="68"/>
  <c r="E95" i="68"/>
  <c r="L95" i="68" s="1"/>
  <c r="AW94" i="68"/>
  <c r="AU94" i="68"/>
  <c r="AT94" i="68"/>
  <c r="AS94" i="68"/>
  <c r="AR94" i="68"/>
  <c r="AQ94" i="68"/>
  <c r="AD94" i="68"/>
  <c r="AA94" i="68"/>
  <c r="AF94" i="68" s="1"/>
  <c r="X94" i="68"/>
  <c r="AN94" i="68" s="1"/>
  <c r="U94" i="68"/>
  <c r="R94" i="68"/>
  <c r="AB94" i="68"/>
  <c r="E94" i="68"/>
  <c r="L94" i="68" s="1"/>
  <c r="AU93" i="68"/>
  <c r="AT93" i="68"/>
  <c r="AS93" i="68"/>
  <c r="AR93" i="68"/>
  <c r="AQ93" i="68"/>
  <c r="AW93" i="68" s="1"/>
  <c r="AN93" i="68"/>
  <c r="AD93" i="68"/>
  <c r="AA93" i="68"/>
  <c r="AF93" i="68" s="1"/>
  <c r="X93" i="68"/>
  <c r="U93" i="68"/>
  <c r="R93" i="68"/>
  <c r="AB93" i="68"/>
  <c r="E93" i="68"/>
  <c r="L93" i="68" s="1"/>
  <c r="AU92" i="68"/>
  <c r="AT92" i="68"/>
  <c r="AR92" i="68"/>
  <c r="AF92" i="68"/>
  <c r="AA92" i="68"/>
  <c r="X92" i="68"/>
  <c r="AN92" i="68" s="1"/>
  <c r="U92" i="68"/>
  <c r="AQ92" i="68" s="1"/>
  <c r="AW92" i="68" s="1"/>
  <c r="Q92" i="68"/>
  <c r="E92" i="68"/>
  <c r="L92" i="68" s="1"/>
  <c r="AU91" i="68"/>
  <c r="AT91" i="68"/>
  <c r="AR91" i="68"/>
  <c r="AQ91" i="68"/>
  <c r="AW91" i="68" s="1"/>
  <c r="AA91" i="68"/>
  <c r="AF91" i="68" s="1"/>
  <c r="X91" i="68"/>
  <c r="AN91" i="68" s="1"/>
  <c r="U91" i="68"/>
  <c r="R91" i="68" s="1"/>
  <c r="Q91" i="68"/>
  <c r="AB91" i="68"/>
  <c r="AW90" i="68"/>
  <c r="AU90" i="68"/>
  <c r="AT90" i="68"/>
  <c r="AR90" i="68"/>
  <c r="AQ90" i="68"/>
  <c r="AN90" i="68"/>
  <c r="AF90" i="68"/>
  <c r="AD90" i="68"/>
  <c r="AA90" i="68"/>
  <c r="X90" i="68"/>
  <c r="U90" i="68"/>
  <c r="AS90" i="68" s="1"/>
  <c r="R90" i="68"/>
  <c r="Q90" i="68"/>
  <c r="AB90" i="68"/>
  <c r="E90" i="68"/>
  <c r="L90" i="68" s="1"/>
  <c r="AU89" i="68"/>
  <c r="AT89" i="68"/>
  <c r="AR89" i="68"/>
  <c r="AQ89" i="68"/>
  <c r="AW89" i="68" s="1"/>
  <c r="AN89" i="68"/>
  <c r="AF89" i="68"/>
  <c r="AA89" i="68"/>
  <c r="X89" i="68"/>
  <c r="U89" i="68"/>
  <c r="AD89" i="68" s="1"/>
  <c r="R89" i="68"/>
  <c r="Q89" i="68"/>
  <c r="AB89" i="68"/>
  <c r="E89" i="68"/>
  <c r="L89" i="68" s="1"/>
  <c r="AU88" i="68"/>
  <c r="AT88" i="68"/>
  <c r="AR88" i="68"/>
  <c r="AQ88" i="68"/>
  <c r="AW88" i="68" s="1"/>
  <c r="AN88" i="68"/>
  <c r="AD88" i="68"/>
  <c r="AA88" i="68"/>
  <c r="AF88" i="68" s="1"/>
  <c r="X88" i="68"/>
  <c r="U88" i="68"/>
  <c r="AS88" i="68" s="1"/>
  <c r="R88" i="68"/>
  <c r="Q88" i="68"/>
  <c r="E88" i="68"/>
  <c r="L88" i="68" s="1"/>
  <c r="AU87" i="68"/>
  <c r="AT87" i="68"/>
  <c r="AS87" i="68"/>
  <c r="AR87" i="68"/>
  <c r="AN87" i="68"/>
  <c r="AD87" i="68"/>
  <c r="AA87" i="68"/>
  <c r="AF87" i="68" s="1"/>
  <c r="X87" i="68"/>
  <c r="U87" i="68"/>
  <c r="AB87" i="68"/>
  <c r="E87" i="68"/>
  <c r="L87" i="68" s="1"/>
  <c r="AU86" i="68"/>
  <c r="AT86" i="68"/>
  <c r="AS86" i="68"/>
  <c r="AR86" i="68"/>
  <c r="AQ86" i="68"/>
  <c r="AW86" i="68" s="1"/>
  <c r="AD86" i="68"/>
  <c r="AA86" i="68"/>
  <c r="X86" i="68"/>
  <c r="AN86" i="68" s="1"/>
  <c r="U86" i="68"/>
  <c r="R86" i="68"/>
  <c r="Q86" i="68"/>
  <c r="E86" i="68"/>
  <c r="L86" i="68" s="1"/>
  <c r="AU85" i="68"/>
  <c r="AT85" i="68"/>
  <c r="AR85" i="68"/>
  <c r="AQ85" i="68"/>
  <c r="AW85" i="68" s="1"/>
  <c r="AN85" i="68"/>
  <c r="AA85" i="68"/>
  <c r="X85" i="68"/>
  <c r="U85" i="68"/>
  <c r="R85" i="68" s="1"/>
  <c r="Q85" i="68"/>
  <c r="E85" i="68"/>
  <c r="L85" i="68" s="1"/>
  <c r="AU84" i="68"/>
  <c r="AT84" i="68"/>
  <c r="AR84" i="68"/>
  <c r="AN84" i="68"/>
  <c r="AF84" i="68"/>
  <c r="AA84" i="68"/>
  <c r="X84" i="68"/>
  <c r="U84" i="68"/>
  <c r="AQ84" i="68" s="1"/>
  <c r="AW84" i="68" s="1"/>
  <c r="Q84" i="68"/>
  <c r="AB84" i="68"/>
  <c r="E84" i="68"/>
  <c r="L84" i="68" s="1"/>
  <c r="AU83" i="68"/>
  <c r="AT83" i="68"/>
  <c r="AR83" i="68"/>
  <c r="AQ83" i="68"/>
  <c r="AW83" i="68" s="1"/>
  <c r="AN83" i="68"/>
  <c r="AF83" i="68"/>
  <c r="AD83" i="68"/>
  <c r="AA83" i="68"/>
  <c r="X83" i="68"/>
  <c r="U83" i="68"/>
  <c r="AS83" i="68" s="1"/>
  <c r="R83" i="68"/>
  <c r="Q83" i="68"/>
  <c r="AU82" i="68"/>
  <c r="AT82" i="68"/>
  <c r="AR82" i="68"/>
  <c r="AN82" i="68"/>
  <c r="AF82" i="68"/>
  <c r="AD82" i="68"/>
  <c r="AA82" i="68"/>
  <c r="X82" i="68"/>
  <c r="U82" i="68"/>
  <c r="AS82" i="68" s="1"/>
  <c r="R82" i="68"/>
  <c r="AB82" i="68"/>
  <c r="E82" i="68"/>
  <c r="L82" i="68" s="1"/>
  <c r="AU81" i="68"/>
  <c r="AT81" i="68"/>
  <c r="AS81" i="68"/>
  <c r="AR81" i="68"/>
  <c r="AN81" i="68"/>
  <c r="AF81" i="68"/>
  <c r="AA81" i="68"/>
  <c r="X81" i="68"/>
  <c r="U81" i="68"/>
  <c r="AD81" i="68" s="1"/>
  <c r="R81" i="68"/>
  <c r="AB81" i="68"/>
  <c r="E81" i="68"/>
  <c r="L81" i="68" s="1"/>
  <c r="AU80" i="68"/>
  <c r="AT80" i="68"/>
  <c r="AS80" i="68"/>
  <c r="AR80" i="68"/>
  <c r="AN80" i="68"/>
  <c r="AD80" i="68"/>
  <c r="AA80" i="68"/>
  <c r="AF80" i="68" s="1"/>
  <c r="X80" i="68"/>
  <c r="U80" i="68"/>
  <c r="AQ80" i="68" s="1"/>
  <c r="AW80" i="68" s="1"/>
  <c r="R80" i="68"/>
  <c r="Q80" i="68"/>
  <c r="E80" i="68"/>
  <c r="L80" i="68" s="1"/>
  <c r="AU79" i="68"/>
  <c r="AT79" i="68"/>
  <c r="AS79" i="68"/>
  <c r="AR79" i="68"/>
  <c r="AQ79" i="68"/>
  <c r="AW79" i="68" s="1"/>
  <c r="AD79" i="68"/>
  <c r="AB79" i="68"/>
  <c r="AA79" i="68"/>
  <c r="X79" i="68"/>
  <c r="AN79" i="68" s="1"/>
  <c r="U79" i="68"/>
  <c r="Q79" i="68"/>
  <c r="E79" i="68"/>
  <c r="L79" i="68" s="1"/>
  <c r="AU78" i="68"/>
  <c r="AT78" i="68"/>
  <c r="AS78" i="68"/>
  <c r="AR78" i="68"/>
  <c r="AQ78" i="68"/>
  <c r="AW78" i="68" s="1"/>
  <c r="AF78" i="68"/>
  <c r="AD78" i="68"/>
  <c r="AA78" i="68"/>
  <c r="X78" i="68"/>
  <c r="AN78" i="68" s="1"/>
  <c r="U78" i="68"/>
  <c r="R78" i="68"/>
  <c r="Q78" i="68"/>
  <c r="L78" i="68"/>
  <c r="E78" i="68"/>
  <c r="AU77" i="68"/>
  <c r="AT77" i="68"/>
  <c r="AR77" i="68"/>
  <c r="AN77" i="68"/>
  <c r="AA77" i="68"/>
  <c r="X77" i="68"/>
  <c r="U77" i="68"/>
  <c r="R77" i="68" s="1"/>
  <c r="Q77" i="68"/>
  <c r="AB77" i="68"/>
  <c r="E77" i="68"/>
  <c r="L77" i="68" s="1"/>
  <c r="AU76" i="68"/>
  <c r="AT76" i="68"/>
  <c r="AR76" i="68"/>
  <c r="AN76" i="68"/>
  <c r="AF76" i="68"/>
  <c r="AD76" i="68"/>
  <c r="AA76" i="68"/>
  <c r="X76" i="68"/>
  <c r="U76" i="68"/>
  <c r="AQ76" i="68" s="1"/>
  <c r="AW76" i="68" s="1"/>
  <c r="Q76" i="68"/>
  <c r="AB76" i="68"/>
  <c r="E76" i="68"/>
  <c r="L76" i="68" s="1"/>
  <c r="AU75" i="68"/>
  <c r="AT75" i="68"/>
  <c r="AS75" i="68"/>
  <c r="AR75" i="68"/>
  <c r="AN75" i="68"/>
  <c r="AF75" i="68"/>
  <c r="AD75" i="68"/>
  <c r="AA75" i="68"/>
  <c r="X75" i="68"/>
  <c r="U75" i="68"/>
  <c r="AQ75" i="68" s="1"/>
  <c r="AW75" i="68" s="1"/>
  <c r="R75" i="68"/>
  <c r="Q75" i="68"/>
  <c r="E75" i="68"/>
  <c r="L75" i="68" s="1"/>
  <c r="AU74" i="68"/>
  <c r="AT74" i="68"/>
  <c r="AR74" i="68"/>
  <c r="AN74" i="68"/>
  <c r="AF74" i="68"/>
  <c r="AD74" i="68"/>
  <c r="AA74" i="68"/>
  <c r="X74" i="68"/>
  <c r="U74" i="68"/>
  <c r="AS74" i="68" s="1"/>
  <c r="Q74" i="68"/>
  <c r="AB74" i="68"/>
  <c r="E74" i="68"/>
  <c r="L74" i="68" s="1"/>
  <c r="AW73" i="68"/>
  <c r="AU73" i="68"/>
  <c r="AT73" i="68"/>
  <c r="AR73" i="68"/>
  <c r="AQ73" i="68"/>
  <c r="AF73" i="68"/>
  <c r="AD73" i="68"/>
  <c r="AA73" i="68"/>
  <c r="X73" i="68"/>
  <c r="AN73" i="68" s="1"/>
  <c r="U73" i="68"/>
  <c r="AS73" i="68" s="1"/>
  <c r="R73" i="68"/>
  <c r="Q73" i="68"/>
  <c r="AB73" i="68"/>
  <c r="AU72" i="68"/>
  <c r="AT72" i="68"/>
  <c r="AR72" i="68"/>
  <c r="AN72" i="68"/>
  <c r="AF72" i="68"/>
  <c r="AA72" i="68"/>
  <c r="X72" i="68"/>
  <c r="U72" i="68"/>
  <c r="R72" i="68"/>
  <c r="Q72" i="68"/>
  <c r="AB72" i="68"/>
  <c r="AU71" i="68"/>
  <c r="AT71" i="68"/>
  <c r="AR71" i="68"/>
  <c r="AN71" i="68"/>
  <c r="AF71" i="68"/>
  <c r="AA71" i="68"/>
  <c r="X71" i="68"/>
  <c r="U71" i="68"/>
  <c r="Q71" i="68"/>
  <c r="E71" i="68"/>
  <c r="L71" i="68" s="1"/>
  <c r="AU70" i="68"/>
  <c r="AT70" i="68"/>
  <c r="AR70" i="68"/>
  <c r="AN70" i="68"/>
  <c r="AA70" i="68"/>
  <c r="X70" i="68"/>
  <c r="U70" i="68"/>
  <c r="Q70" i="68"/>
  <c r="AB70" i="68"/>
  <c r="E70" i="68"/>
  <c r="L70" i="68" s="1"/>
  <c r="AW69" i="68"/>
  <c r="AU69" i="68"/>
  <c r="AT69" i="68"/>
  <c r="AR69" i="68"/>
  <c r="AQ69" i="68"/>
  <c r="AD69" i="68"/>
  <c r="AA69" i="68"/>
  <c r="X69" i="68"/>
  <c r="AN69" i="68" s="1"/>
  <c r="U69" i="68"/>
  <c r="AS69" i="68" s="1"/>
  <c r="R69" i="68"/>
  <c r="Q69" i="68"/>
  <c r="E69" i="68"/>
  <c r="L69" i="68" s="1"/>
  <c r="AU68" i="68"/>
  <c r="AT68" i="68"/>
  <c r="AS68" i="68"/>
  <c r="AR68" i="68"/>
  <c r="AQ68" i="68"/>
  <c r="AW68" i="68" s="1"/>
  <c r="AN68" i="68"/>
  <c r="AA68" i="68"/>
  <c r="X68" i="68"/>
  <c r="U68" i="68"/>
  <c r="AD68" i="68" s="1"/>
  <c r="R68" i="68"/>
  <c r="AB68" i="68"/>
  <c r="Q68" i="68"/>
  <c r="E68" i="68"/>
  <c r="L68" i="68" s="1"/>
  <c r="AU67" i="68"/>
  <c r="AT67" i="68"/>
  <c r="AS67" i="68"/>
  <c r="AR67" i="68"/>
  <c r="AN67" i="68"/>
  <c r="AF67" i="68"/>
  <c r="AD67" i="68"/>
  <c r="AA67" i="68"/>
  <c r="X67" i="68"/>
  <c r="U67" i="68"/>
  <c r="AQ67" i="68" s="1"/>
  <c r="AW67" i="68" s="1"/>
  <c r="E67" i="68"/>
  <c r="L67" i="68" s="1"/>
  <c r="AU66" i="68"/>
  <c r="AT66" i="68"/>
  <c r="AS66" i="68"/>
  <c r="AR66" i="68"/>
  <c r="AF66" i="68"/>
  <c r="AD66" i="68"/>
  <c r="AA66" i="68"/>
  <c r="X66" i="68"/>
  <c r="AN66" i="68" s="1"/>
  <c r="U66" i="68"/>
  <c r="AQ66" i="68" s="1"/>
  <c r="AW66" i="68" s="1"/>
  <c r="R66" i="68"/>
  <c r="Q66" i="68"/>
  <c r="AB66" i="68"/>
  <c r="AU65" i="68"/>
  <c r="AT65" i="68"/>
  <c r="AS65" i="68"/>
  <c r="AR65" i="68"/>
  <c r="AN65" i="68"/>
  <c r="AF65" i="68"/>
  <c r="AD65" i="68"/>
  <c r="AA65" i="68"/>
  <c r="X65" i="68"/>
  <c r="U65" i="68"/>
  <c r="AQ65" i="68" s="1"/>
  <c r="AW65" i="68" s="1"/>
  <c r="R65" i="68"/>
  <c r="Q65" i="68"/>
  <c r="AB65" i="68"/>
  <c r="AU64" i="68"/>
  <c r="AT64" i="68"/>
  <c r="AR64" i="68"/>
  <c r="AN64" i="68"/>
  <c r="AF64" i="68"/>
  <c r="AD64" i="68"/>
  <c r="AA64" i="68"/>
  <c r="X64" i="68"/>
  <c r="U64" i="68"/>
  <c r="R64" i="68"/>
  <c r="Q64" i="68"/>
  <c r="AW63" i="68"/>
  <c r="AU63" i="68"/>
  <c r="AT63" i="68"/>
  <c r="AS63" i="68"/>
  <c r="AR63" i="68"/>
  <c r="AF63" i="68"/>
  <c r="AD63" i="68"/>
  <c r="AA63" i="68"/>
  <c r="X63" i="68"/>
  <c r="AN63" i="68" s="1"/>
  <c r="U63" i="68"/>
  <c r="AQ63" i="68" s="1"/>
  <c r="R63" i="68"/>
  <c r="Q63" i="68"/>
  <c r="AB63" i="68"/>
  <c r="AU62" i="68"/>
  <c r="AT62" i="68"/>
  <c r="AR62" i="68"/>
  <c r="AA62" i="68"/>
  <c r="AF62" i="68" s="1"/>
  <c r="X62" i="68"/>
  <c r="AN62" i="68" s="1"/>
  <c r="U62" i="68"/>
  <c r="AS62" i="68" s="1"/>
  <c r="R62" i="68"/>
  <c r="Q62" i="68"/>
  <c r="AU61" i="68"/>
  <c r="AT61" i="68"/>
  <c r="AR61" i="68"/>
  <c r="AN61" i="68"/>
  <c r="AA61" i="68"/>
  <c r="X61" i="68"/>
  <c r="U61" i="68"/>
  <c r="R61" i="68"/>
  <c r="Q61" i="68"/>
  <c r="AB61" i="68"/>
  <c r="E61" i="68"/>
  <c r="L61" i="68" s="1"/>
  <c r="AU60" i="68"/>
  <c r="AT60" i="68"/>
  <c r="AS60" i="68"/>
  <c r="AR60" i="68"/>
  <c r="AN60" i="68"/>
  <c r="AD60" i="68"/>
  <c r="AB60" i="68"/>
  <c r="AA60" i="68"/>
  <c r="X60" i="68"/>
  <c r="U60" i="68"/>
  <c r="AQ60" i="68" s="1"/>
  <c r="AW60" i="68" s="1"/>
  <c r="R60" i="68"/>
  <c r="Q60" i="68"/>
  <c r="E60" i="68"/>
  <c r="L60" i="68" s="1"/>
  <c r="AU59" i="68"/>
  <c r="AT59" i="68"/>
  <c r="AR59" i="68"/>
  <c r="AQ59" i="68"/>
  <c r="AW59" i="68" s="1"/>
  <c r="AA59" i="68"/>
  <c r="X59" i="68"/>
  <c r="AN59" i="68" s="1"/>
  <c r="U59" i="68"/>
  <c r="AW58" i="68"/>
  <c r="AU58" i="68"/>
  <c r="AT58" i="68"/>
  <c r="AS58" i="68"/>
  <c r="AR58" i="68"/>
  <c r="AQ58" i="68"/>
  <c r="AF58" i="68"/>
  <c r="AD58" i="68"/>
  <c r="AA58" i="68"/>
  <c r="X58" i="68"/>
  <c r="AN58" i="68" s="1"/>
  <c r="U58" i="68"/>
  <c r="R58" i="68"/>
  <c r="Q58" i="68"/>
  <c r="AB58" i="68"/>
  <c r="E58" i="68"/>
  <c r="L58" i="68" s="1"/>
  <c r="AU57" i="68"/>
  <c r="AT57" i="68"/>
  <c r="AS57" i="68"/>
  <c r="AR57" i="68"/>
  <c r="AQ57" i="68"/>
  <c r="AW57" i="68" s="1"/>
  <c r="AN57" i="68"/>
  <c r="AD57" i="68"/>
  <c r="AA57" i="68"/>
  <c r="X57" i="68"/>
  <c r="U57" i="68"/>
  <c r="R57" i="68"/>
  <c r="Q57" i="68"/>
  <c r="AB57" i="68"/>
  <c r="AU56" i="68"/>
  <c r="AT56" i="68"/>
  <c r="AS56" i="68"/>
  <c r="AR56" i="68"/>
  <c r="AN56" i="68"/>
  <c r="AF56" i="68"/>
  <c r="AA56" i="68"/>
  <c r="X56" i="68"/>
  <c r="U56" i="68"/>
  <c r="R56" i="68" s="1"/>
  <c r="E56" i="68"/>
  <c r="L56" i="68" s="1"/>
  <c r="AW55" i="68"/>
  <c r="AU55" i="68"/>
  <c r="AT55" i="68"/>
  <c r="AS55" i="68"/>
  <c r="AR55" i="68"/>
  <c r="AN55" i="68"/>
  <c r="AA55" i="68"/>
  <c r="AF55" i="68" s="1"/>
  <c r="X55" i="68"/>
  <c r="U55" i="68"/>
  <c r="AQ55" i="68" s="1"/>
  <c r="R55" i="68"/>
  <c r="Q55" i="68"/>
  <c r="AB55" i="68"/>
  <c r="AU54" i="68"/>
  <c r="AT54" i="68"/>
  <c r="AR54" i="68"/>
  <c r="AQ54" i="68"/>
  <c r="AW54" i="68" s="1"/>
  <c r="AD54" i="68"/>
  <c r="AA54" i="68"/>
  <c r="X54" i="68"/>
  <c r="AN54" i="68" s="1"/>
  <c r="U54" i="68"/>
  <c r="Q54" i="68"/>
  <c r="AB54" i="68"/>
  <c r="AU53" i="68"/>
  <c r="AT53" i="68"/>
  <c r="AR53" i="68"/>
  <c r="AQ53" i="68"/>
  <c r="AW53" i="68" s="1"/>
  <c r="AA53" i="68"/>
  <c r="X53" i="68"/>
  <c r="AN53" i="68" s="1"/>
  <c r="U53" i="68"/>
  <c r="Q53" i="68"/>
  <c r="AU52" i="68"/>
  <c r="AT52" i="68"/>
  <c r="AR52" i="68"/>
  <c r="AQ52" i="68"/>
  <c r="AW52" i="68" s="1"/>
  <c r="AD52" i="68"/>
  <c r="AA52" i="68"/>
  <c r="AF52" i="68" s="1"/>
  <c r="X52" i="68"/>
  <c r="AN52" i="68" s="1"/>
  <c r="U52" i="68"/>
  <c r="E52" i="68"/>
  <c r="L52" i="68" s="1"/>
  <c r="AU51" i="68"/>
  <c r="AT51" i="68"/>
  <c r="AS51" i="68"/>
  <c r="AR51" i="68"/>
  <c r="AN51" i="68"/>
  <c r="AF51" i="68"/>
  <c r="AB51" i="68"/>
  <c r="AA51" i="68"/>
  <c r="X51" i="68"/>
  <c r="U51" i="68"/>
  <c r="Q51" i="68"/>
  <c r="AU50" i="68"/>
  <c r="AT50" i="68"/>
  <c r="AS50" i="68"/>
  <c r="AR50" i="68"/>
  <c r="AQ50" i="68"/>
  <c r="AW50" i="68" s="1"/>
  <c r="AD50" i="68"/>
  <c r="AA50" i="68"/>
  <c r="X50" i="68"/>
  <c r="AN50" i="68" s="1"/>
  <c r="U50" i="68"/>
  <c r="R50" i="68"/>
  <c r="Q50" i="68"/>
  <c r="AU49" i="68"/>
  <c r="AT49" i="68"/>
  <c r="AS49" i="68"/>
  <c r="AR49" i="68"/>
  <c r="AQ49" i="68"/>
  <c r="AW49" i="68" s="1"/>
  <c r="AN49" i="68"/>
  <c r="AF49" i="68"/>
  <c r="AD49" i="68"/>
  <c r="AB49" i="68"/>
  <c r="AA49" i="68"/>
  <c r="X49" i="68"/>
  <c r="U49" i="68"/>
  <c r="R49" i="68"/>
  <c r="Q49" i="68"/>
  <c r="E49" i="68"/>
  <c r="L49" i="68" s="1"/>
  <c r="AU48" i="68"/>
  <c r="AT48" i="68"/>
  <c r="AS48" i="68"/>
  <c r="AR48" i="68"/>
  <c r="AF48" i="68"/>
  <c r="AD48" i="68"/>
  <c r="AA48" i="68"/>
  <c r="X48" i="68"/>
  <c r="AN48" i="68" s="1"/>
  <c r="U48" i="68"/>
  <c r="AQ48" i="68" s="1"/>
  <c r="AW48" i="68" s="1"/>
  <c r="R48" i="68"/>
  <c r="AB48" i="68"/>
  <c r="Q48" i="68"/>
  <c r="E48" i="68"/>
  <c r="L48" i="68" s="1"/>
  <c r="AU47" i="68"/>
  <c r="AT47" i="68"/>
  <c r="AR47" i="68"/>
  <c r="AF47" i="68"/>
  <c r="AA47" i="68"/>
  <c r="X47" i="68"/>
  <c r="AN47" i="68" s="1"/>
  <c r="U47" i="68"/>
  <c r="Q47" i="68"/>
  <c r="AU46" i="68"/>
  <c r="AT46" i="68"/>
  <c r="AR46" i="68"/>
  <c r="AN46" i="68"/>
  <c r="AD46" i="68"/>
  <c r="AB46" i="68"/>
  <c r="AA46" i="68"/>
  <c r="X46" i="68"/>
  <c r="U46" i="68"/>
  <c r="R46" i="68"/>
  <c r="Q46" i="68"/>
  <c r="AU45" i="68"/>
  <c r="AT45" i="68"/>
  <c r="AS45" i="68"/>
  <c r="AR45" i="68"/>
  <c r="AN45" i="68"/>
  <c r="AA45" i="68"/>
  <c r="AF45" i="68" s="1"/>
  <c r="X45" i="68"/>
  <c r="U45" i="68"/>
  <c r="R45" i="68"/>
  <c r="AB45" i="68"/>
  <c r="E45" i="68"/>
  <c r="L45" i="68" s="1"/>
  <c r="AU44" i="68"/>
  <c r="AT44" i="68"/>
  <c r="AS44" i="68"/>
  <c r="AR44" i="68"/>
  <c r="AN44" i="68"/>
  <c r="AB44" i="68"/>
  <c r="AA44" i="68"/>
  <c r="X44" i="68"/>
  <c r="U44" i="68"/>
  <c r="R44" i="68"/>
  <c r="Q44" i="68"/>
  <c r="E44" i="68"/>
  <c r="L44" i="68" s="1"/>
  <c r="AU43" i="68"/>
  <c r="AT43" i="68"/>
  <c r="AR43" i="68"/>
  <c r="AQ43" i="68"/>
  <c r="AW43" i="68" s="1"/>
  <c r="AF43" i="68"/>
  <c r="AD43" i="68"/>
  <c r="AA43" i="68"/>
  <c r="X43" i="68"/>
  <c r="AN43" i="68" s="1"/>
  <c r="U43" i="68"/>
  <c r="E43" i="68"/>
  <c r="L43" i="68" s="1"/>
  <c r="AW42" i="68"/>
  <c r="AU42" i="68"/>
  <c r="AT42" i="68"/>
  <c r="AS42" i="68"/>
  <c r="AR42" i="68"/>
  <c r="AQ42" i="68"/>
  <c r="AD42" i="68"/>
  <c r="AA42" i="68"/>
  <c r="AF42" i="68" s="1"/>
  <c r="X42" i="68"/>
  <c r="AN42" i="68" s="1"/>
  <c r="U42" i="68"/>
  <c r="R42" i="68"/>
  <c r="Q42" i="68"/>
  <c r="AU41" i="68"/>
  <c r="AT41" i="68"/>
  <c r="AS41" i="68"/>
  <c r="AR41" i="68"/>
  <c r="AQ41" i="68"/>
  <c r="AW41" i="68" s="1"/>
  <c r="AN41" i="68"/>
  <c r="AF41" i="68"/>
  <c r="AD41" i="68"/>
  <c r="AA41" i="68"/>
  <c r="X41" i="68"/>
  <c r="U41" i="68"/>
  <c r="R41" i="68"/>
  <c r="Q41" i="68"/>
  <c r="E41" i="68"/>
  <c r="L41" i="68" s="1"/>
  <c r="AU40" i="68"/>
  <c r="AT40" i="68"/>
  <c r="AR40" i="68"/>
  <c r="AN40" i="68"/>
  <c r="AF40" i="68"/>
  <c r="AA40" i="68"/>
  <c r="X40" i="68"/>
  <c r="U40" i="68"/>
  <c r="R40" i="68"/>
  <c r="AB40" i="68"/>
  <c r="Q40" i="68"/>
  <c r="AU39" i="68"/>
  <c r="AT39" i="68"/>
  <c r="AR39" i="68"/>
  <c r="AN39" i="68"/>
  <c r="AD39" i="68"/>
  <c r="AA39" i="68"/>
  <c r="X39" i="68"/>
  <c r="U39" i="68"/>
  <c r="Q39" i="68"/>
  <c r="AB39" i="68"/>
  <c r="AU38" i="68"/>
  <c r="AT38" i="68"/>
  <c r="AR38" i="68"/>
  <c r="AA38" i="68"/>
  <c r="X38" i="68"/>
  <c r="AN38" i="68" s="1"/>
  <c r="U38" i="68"/>
  <c r="Q38" i="68"/>
  <c r="AB38" i="68"/>
  <c r="E38" i="68"/>
  <c r="L38" i="68" s="1"/>
  <c r="AU37" i="68"/>
  <c r="AT37" i="68"/>
  <c r="AR37" i="68"/>
  <c r="AA37" i="68"/>
  <c r="X37" i="68"/>
  <c r="AN37" i="68" s="1"/>
  <c r="U37" i="68"/>
  <c r="Q37" i="68"/>
  <c r="AU36" i="68"/>
  <c r="AT36" i="68"/>
  <c r="AR36" i="68"/>
  <c r="AD36" i="68"/>
  <c r="AA36" i="68"/>
  <c r="AF36" i="68" s="1"/>
  <c r="X36" i="68"/>
  <c r="AN36" i="68" s="1"/>
  <c r="U36" i="68"/>
  <c r="AS36" i="68" s="1"/>
  <c r="R36" i="68"/>
  <c r="AU35" i="68"/>
  <c r="AT35" i="68"/>
  <c r="AS35" i="68"/>
  <c r="AR35" i="68"/>
  <c r="AN35" i="68"/>
  <c r="AD35" i="68"/>
  <c r="AA35" i="68"/>
  <c r="X35" i="68"/>
  <c r="U35" i="68"/>
  <c r="Q35" i="68"/>
  <c r="AB35" i="68"/>
  <c r="E35" i="68"/>
  <c r="L35" i="68" s="1"/>
  <c r="AU34" i="68"/>
  <c r="AT34" i="68"/>
  <c r="AS34" i="68"/>
  <c r="AR34" i="68"/>
  <c r="AQ34" i="68"/>
  <c r="AW34" i="68" s="1"/>
  <c r="AF34" i="68"/>
  <c r="AD34" i="68"/>
  <c r="AA34" i="68"/>
  <c r="X34" i="68"/>
  <c r="AN34" i="68" s="1"/>
  <c r="U34" i="68"/>
  <c r="R34" i="68"/>
  <c r="Q34" i="68"/>
  <c r="L34" i="68"/>
  <c r="E34" i="68"/>
  <c r="AU33" i="68"/>
  <c r="AT33" i="68"/>
  <c r="AS33" i="68"/>
  <c r="AR33" i="68"/>
  <c r="AQ33" i="68"/>
  <c r="AW33" i="68" s="1"/>
  <c r="AN33" i="68"/>
  <c r="AB33" i="68"/>
  <c r="AA33" i="68"/>
  <c r="X33" i="68"/>
  <c r="U33" i="68"/>
  <c r="Q33" i="68"/>
  <c r="AU32" i="68"/>
  <c r="AT32" i="68"/>
  <c r="AS32" i="68"/>
  <c r="AR32" i="68"/>
  <c r="AN32" i="68"/>
  <c r="AF32" i="68"/>
  <c r="AD32" i="68"/>
  <c r="AA32" i="68"/>
  <c r="X32" i="68"/>
  <c r="U32" i="68"/>
  <c r="R32" i="68"/>
  <c r="Q32" i="68"/>
  <c r="AB32" i="68"/>
  <c r="AU31" i="68"/>
  <c r="AT31" i="68"/>
  <c r="AR31" i="68"/>
  <c r="AF31" i="68"/>
  <c r="AD31" i="68"/>
  <c r="AA31" i="68"/>
  <c r="X31" i="68"/>
  <c r="AN31" i="68" s="1"/>
  <c r="U31" i="68"/>
  <c r="AS31" i="68" s="1"/>
  <c r="R31" i="68"/>
  <c r="Q31" i="68"/>
  <c r="E31" i="68"/>
  <c r="L31" i="68" s="1"/>
  <c r="AU30" i="68"/>
  <c r="AT30" i="68"/>
  <c r="AR30" i="68"/>
  <c r="AN30" i="68"/>
  <c r="AF30" i="68"/>
  <c r="AB30" i="68"/>
  <c r="AA30" i="68"/>
  <c r="X30" i="68"/>
  <c r="U30" i="68"/>
  <c r="R30" i="68"/>
  <c r="Q30" i="68"/>
  <c r="E30" i="68"/>
  <c r="L30" i="68" s="1"/>
  <c r="AU29" i="68"/>
  <c r="AT29" i="68"/>
  <c r="AR29" i="68"/>
  <c r="AN29" i="68"/>
  <c r="AA29" i="68"/>
  <c r="AF29" i="68" s="1"/>
  <c r="X29" i="68"/>
  <c r="U29" i="68"/>
  <c r="Q29" i="68"/>
  <c r="E29" i="68"/>
  <c r="L29" i="68" s="1"/>
  <c r="AW28" i="68"/>
  <c r="AU28" i="68"/>
  <c r="AT28" i="68"/>
  <c r="AS28" i="68"/>
  <c r="AR28" i="68"/>
  <c r="AQ28" i="68"/>
  <c r="AA28" i="68"/>
  <c r="X28" i="68"/>
  <c r="U28" i="68"/>
  <c r="R28" i="68"/>
  <c r="Q28" i="68"/>
  <c r="AU27" i="68"/>
  <c r="AT27" i="68"/>
  <c r="AS27" i="68"/>
  <c r="AR27" i="68"/>
  <c r="AN27" i="68"/>
  <c r="AD27" i="68"/>
  <c r="AA27" i="68"/>
  <c r="X27" i="68"/>
  <c r="U27" i="68"/>
  <c r="AQ27" i="68" s="1"/>
  <c r="AW27" i="68" s="1"/>
  <c r="R27" i="68"/>
  <c r="Q27" i="68"/>
  <c r="E27" i="68"/>
  <c r="L27" i="68" s="1"/>
  <c r="AU26" i="68"/>
  <c r="AT26" i="68"/>
  <c r="AR26" i="68"/>
  <c r="AF26" i="68"/>
  <c r="AA26" i="68"/>
  <c r="X26" i="68"/>
  <c r="AN26" i="68" s="1"/>
  <c r="U26" i="68"/>
  <c r="AB26" i="68"/>
  <c r="Q26" i="68"/>
  <c r="E26" i="68"/>
  <c r="L26" i="68" s="1"/>
  <c r="AW25" i="68"/>
  <c r="AU25" i="68"/>
  <c r="AT25" i="68"/>
  <c r="AS25" i="68"/>
  <c r="AR25" i="68"/>
  <c r="AQ25" i="68"/>
  <c r="AF25" i="68"/>
  <c r="AD25" i="68"/>
  <c r="AB25" i="68"/>
  <c r="AA25" i="68"/>
  <c r="X25" i="68"/>
  <c r="AN25" i="68" s="1"/>
  <c r="U25" i="68"/>
  <c r="R25" i="68"/>
  <c r="Q25" i="68"/>
  <c r="E25" i="68"/>
  <c r="L25" i="68" s="1"/>
  <c r="AU24" i="68"/>
  <c r="AT24" i="68"/>
  <c r="AS24" i="68"/>
  <c r="AR24" i="68"/>
  <c r="AN24" i="68"/>
  <c r="AF24" i="68"/>
  <c r="AD24" i="68"/>
  <c r="AA24" i="68"/>
  <c r="X24" i="68"/>
  <c r="U24" i="68"/>
  <c r="AQ24" i="68" s="1"/>
  <c r="AW24" i="68" s="1"/>
  <c r="R24" i="68"/>
  <c r="Q24" i="68"/>
  <c r="AU23" i="68"/>
  <c r="AT23" i="68"/>
  <c r="AR23" i="68"/>
  <c r="AN23" i="68"/>
  <c r="AF23" i="68"/>
  <c r="AA23" i="68"/>
  <c r="X23" i="68"/>
  <c r="U23" i="68"/>
  <c r="AQ23" i="68" s="1"/>
  <c r="AW23" i="68" s="1"/>
  <c r="Q23" i="68"/>
  <c r="AB23" i="68"/>
  <c r="AW22" i="68"/>
  <c r="AU22" i="68"/>
  <c r="AT22" i="68"/>
  <c r="AR22" i="68"/>
  <c r="AN22" i="68"/>
  <c r="AF22" i="68"/>
  <c r="AA22" i="68"/>
  <c r="X22" i="68"/>
  <c r="U22" i="68"/>
  <c r="AQ22" i="68" s="1"/>
  <c r="R22" i="68"/>
  <c r="Q22" i="68"/>
  <c r="AB22" i="68"/>
  <c r="E22" i="68"/>
  <c r="L22" i="68" s="1"/>
  <c r="AU21" i="68"/>
  <c r="AT21" i="68"/>
  <c r="AR21" i="68"/>
  <c r="AA21" i="68"/>
  <c r="X21" i="68"/>
  <c r="AN21" i="68" s="1"/>
  <c r="U21" i="68"/>
  <c r="AB21" i="68"/>
  <c r="Q21" i="68"/>
  <c r="E21" i="68"/>
  <c r="L21" i="68" s="1"/>
  <c r="AU20" i="68"/>
  <c r="AT20" i="68"/>
  <c r="AR20" i="68"/>
  <c r="AF20" i="68"/>
  <c r="AB20" i="68"/>
  <c r="AA20" i="68"/>
  <c r="X20" i="68"/>
  <c r="AN20" i="68" s="1"/>
  <c r="U20" i="68"/>
  <c r="Q20" i="68"/>
  <c r="E20" i="68"/>
  <c r="L20" i="68" s="1"/>
  <c r="AU19" i="68"/>
  <c r="AT19" i="68"/>
  <c r="AR19" i="68"/>
  <c r="AQ19" i="68"/>
  <c r="AW19" i="68" s="1"/>
  <c r="AB19" i="68"/>
  <c r="AA19" i="68"/>
  <c r="AF19" i="68" s="1"/>
  <c r="X19" i="68"/>
  <c r="AN19" i="68" s="1"/>
  <c r="U19" i="68"/>
  <c r="Q19" i="68"/>
  <c r="E19" i="68"/>
  <c r="L19" i="68" s="1"/>
  <c r="AU18" i="68"/>
  <c r="AT18" i="68"/>
  <c r="AR18" i="68"/>
  <c r="AN18" i="68"/>
  <c r="AA18" i="68"/>
  <c r="AF18" i="68" s="1"/>
  <c r="X18" i="68"/>
  <c r="U18" i="68"/>
  <c r="E18" i="68"/>
  <c r="L18" i="68" s="1"/>
  <c r="AW17" i="68"/>
  <c r="AU17" i="68"/>
  <c r="AT17" i="68"/>
  <c r="AS17" i="68"/>
  <c r="AR17" i="68"/>
  <c r="AQ17" i="68"/>
  <c r="AF17" i="68"/>
  <c r="AD17" i="68"/>
  <c r="AA17" i="68"/>
  <c r="X17" i="68"/>
  <c r="AN17" i="68" s="1"/>
  <c r="U17" i="68"/>
  <c r="R17" i="68"/>
  <c r="Q17" i="68"/>
  <c r="AB17" i="68"/>
  <c r="E17" i="68"/>
  <c r="L17" i="68" s="1"/>
  <c r="AU16" i="68"/>
  <c r="AT16" i="68"/>
  <c r="AS16" i="68"/>
  <c r="AR16" i="68"/>
  <c r="AQ16" i="68"/>
  <c r="AW16" i="68" s="1"/>
  <c r="AN16" i="68"/>
  <c r="AF16" i="68"/>
  <c r="AD16" i="68"/>
  <c r="AA16" i="68"/>
  <c r="X16" i="68"/>
  <c r="U16" i="68"/>
  <c r="R16" i="68"/>
  <c r="Q16" i="68"/>
  <c r="E16" i="68"/>
  <c r="L16" i="68" s="1"/>
  <c r="AU15" i="68"/>
  <c r="AT15" i="68"/>
  <c r="AS15" i="68"/>
  <c r="AR15" i="68"/>
  <c r="AF15" i="68"/>
  <c r="AD15" i="68"/>
  <c r="AA15" i="68"/>
  <c r="X15" i="68"/>
  <c r="AN15" i="68" s="1"/>
  <c r="U15" i="68"/>
  <c r="AQ15" i="68" s="1"/>
  <c r="AW15" i="68" s="1"/>
  <c r="R15" i="68"/>
  <c r="Q15" i="68"/>
  <c r="E15" i="68"/>
  <c r="L15" i="68" s="1"/>
  <c r="AU14" i="68"/>
  <c r="AT14" i="68"/>
  <c r="AR14" i="68"/>
  <c r="AN14" i="68"/>
  <c r="AD14" i="68"/>
  <c r="AA14" i="68"/>
  <c r="X14" i="68"/>
  <c r="U14" i="68"/>
  <c r="AS14" i="68" s="1"/>
  <c r="R14" i="68"/>
  <c r="Q14" i="68"/>
  <c r="AB14" i="68"/>
  <c r="E14" i="68"/>
  <c r="L14" i="68" s="1"/>
  <c r="AU13" i="68"/>
  <c r="AT13" i="68"/>
  <c r="AR13" i="68"/>
  <c r="AN13" i="68"/>
  <c r="AF13" i="68"/>
  <c r="AA13" i="68"/>
  <c r="X13" i="68"/>
  <c r="U13" i="68"/>
  <c r="Q13" i="68"/>
  <c r="E13" i="68"/>
  <c r="L13" i="68" s="1"/>
  <c r="AU12" i="68"/>
  <c r="AT12" i="68"/>
  <c r="AS12" i="68"/>
  <c r="AR12" i="68"/>
  <c r="AQ12" i="68"/>
  <c r="AW12" i="68" s="1"/>
  <c r="AN12" i="68"/>
  <c r="AD12" i="68"/>
  <c r="AA12" i="68"/>
  <c r="X12" i="68"/>
  <c r="U12" i="68"/>
  <c r="R12" i="68"/>
  <c r="Q12" i="68"/>
  <c r="AB12" i="68"/>
  <c r="AU11" i="68"/>
  <c r="AT11" i="68"/>
  <c r="AR11" i="68"/>
  <c r="AN11" i="68"/>
  <c r="AF11" i="68"/>
  <c r="AA11" i="68"/>
  <c r="X11" i="68"/>
  <c r="U11" i="68"/>
  <c r="AS11" i="68" s="1"/>
  <c r="R11" i="68"/>
  <c r="Q11" i="68"/>
  <c r="AU10" i="68"/>
  <c r="AT10" i="68"/>
  <c r="AR10" i="68"/>
  <c r="AN10" i="68"/>
  <c r="AF10" i="68"/>
  <c r="AA10" i="68"/>
  <c r="X10" i="68"/>
  <c r="U10" i="68"/>
  <c r="AD10" i="68" s="1"/>
  <c r="R10" i="68"/>
  <c r="Q10" i="68"/>
  <c r="E10" i="68"/>
  <c r="L10" i="68" s="1"/>
  <c r="AU9" i="68"/>
  <c r="AT9" i="68"/>
  <c r="AR9" i="68"/>
  <c r="AN9" i="68"/>
  <c r="AD9" i="68"/>
  <c r="AA9" i="68"/>
  <c r="AF9" i="68" s="1"/>
  <c r="X9" i="68"/>
  <c r="U9" i="68"/>
  <c r="R9" i="68"/>
  <c r="AB9" i="68"/>
  <c r="Q9" i="68"/>
  <c r="E9" i="68"/>
  <c r="L9" i="68" s="1"/>
  <c r="AU8" i="68"/>
  <c r="AT8" i="68"/>
  <c r="AS8" i="68"/>
  <c r="AR8" i="68"/>
  <c r="AN8" i="68"/>
  <c r="AF8" i="68"/>
  <c r="AA8" i="68"/>
  <c r="X8" i="68"/>
  <c r="U8" i="68"/>
  <c r="R8" i="68"/>
  <c r="Q8" i="68"/>
  <c r="AB8" i="68"/>
  <c r="AU7" i="68"/>
  <c r="AT7" i="68"/>
  <c r="AR7" i="68"/>
  <c r="AN7" i="68"/>
  <c r="AD7" i="68"/>
  <c r="AA7" i="68"/>
  <c r="AF7" i="68" s="1"/>
  <c r="X7" i="68"/>
  <c r="U7" i="68"/>
  <c r="AS7" i="68" s="1"/>
  <c r="R7" i="68"/>
  <c r="Q7" i="68"/>
  <c r="AU6" i="68"/>
  <c r="AT6" i="68"/>
  <c r="AR6" i="68"/>
  <c r="AN6" i="68"/>
  <c r="AF6" i="68"/>
  <c r="AA6" i="68"/>
  <c r="X6" i="68"/>
  <c r="U6" i="68"/>
  <c r="Q6" i="68"/>
  <c r="AB6" i="68"/>
  <c r="AU5" i="68"/>
  <c r="AT5" i="68"/>
  <c r="AR5" i="68"/>
  <c r="AA5" i="68"/>
  <c r="AF5" i="68" s="1"/>
  <c r="X5" i="68"/>
  <c r="AN5" i="68" s="1"/>
  <c r="U5" i="68"/>
  <c r="R5" i="68"/>
  <c r="Q5" i="68"/>
  <c r="E5" i="68"/>
  <c r="L5" i="68" s="1"/>
  <c r="AU4" i="68"/>
  <c r="AT4" i="68"/>
  <c r="AR4" i="68"/>
  <c r="AA4" i="68"/>
  <c r="X4" i="68"/>
  <c r="AN4" i="68" s="1"/>
  <c r="U4" i="68"/>
  <c r="Q4" i="68"/>
  <c r="E4" i="68"/>
  <c r="L4" i="68" s="1"/>
  <c r="AU3" i="68"/>
  <c r="AT3" i="68"/>
  <c r="AR3" i="68"/>
  <c r="AQ3" i="68"/>
  <c r="AW3" i="68" s="1"/>
  <c r="AN3" i="68"/>
  <c r="AA3" i="68"/>
  <c r="X3" i="68"/>
  <c r="U3" i="68"/>
  <c r="F110" i="65"/>
  <c r="J110" i="65"/>
  <c r="J130" i="65"/>
  <c r="I110" i="65"/>
  <c r="E106" i="65"/>
  <c r="L106" i="65" s="1"/>
  <c r="I118" i="65"/>
  <c r="J118" i="65"/>
  <c r="I129" i="65"/>
  <c r="J129" i="65"/>
  <c r="I130" i="65"/>
  <c r="N110" i="65"/>
  <c r="G26" i="3" s="1"/>
  <c r="AM110" i="65"/>
  <c r="U26" i="3" s="1"/>
  <c r="AK110" i="65"/>
  <c r="Z26" i="3" s="1"/>
  <c r="AJ110" i="65"/>
  <c r="Y26" i="3" s="1"/>
  <c r="AI110" i="65"/>
  <c r="X26" i="3" s="1"/>
  <c r="AH110" i="65"/>
  <c r="W26" i="3" s="1"/>
  <c r="AG110" i="65"/>
  <c r="Q26" i="3" s="1"/>
  <c r="AE110" i="65"/>
  <c r="R26" i="3" s="1"/>
  <c r="Z110" i="65"/>
  <c r="N26" i="3" s="1"/>
  <c r="Y110" i="65"/>
  <c r="M26" i="3" s="1"/>
  <c r="W110" i="65"/>
  <c r="K26" i="3" s="1"/>
  <c r="V110" i="65"/>
  <c r="J26" i="3" s="1"/>
  <c r="T110" i="65"/>
  <c r="I26" i="3" s="1"/>
  <c r="S110" i="65"/>
  <c r="H26" i="3" s="1"/>
  <c r="H110" i="65"/>
  <c r="G110" i="65"/>
  <c r="Q108" i="65"/>
  <c r="AN108" i="65"/>
  <c r="AR108" i="65"/>
  <c r="AT108" i="65"/>
  <c r="AU108" i="65"/>
  <c r="Q106" i="65"/>
  <c r="R106" i="65"/>
  <c r="AQ106" i="65"/>
  <c r="AW106" i="65" s="1"/>
  <c r="AN106" i="65"/>
  <c r="AR106" i="65"/>
  <c r="AS106" i="65"/>
  <c r="AT106" i="65"/>
  <c r="AU106" i="65"/>
  <c r="AQ107" i="65"/>
  <c r="AW107" i="65" s="1"/>
  <c r="AN107" i="65"/>
  <c r="AR107" i="65"/>
  <c r="AT107" i="65"/>
  <c r="AU107" i="65"/>
  <c r="J131" i="65" l="1"/>
  <c r="L26" i="3"/>
  <c r="O26" i="3"/>
  <c r="I131" i="65"/>
  <c r="F5" i="69"/>
  <c r="E6" i="69"/>
  <c r="K37" i="69"/>
  <c r="K45" i="69"/>
  <c r="K53" i="69"/>
  <c r="K61" i="69"/>
  <c r="K69" i="69"/>
  <c r="K77" i="69"/>
  <c r="K85" i="69"/>
  <c r="K93" i="69"/>
  <c r="K101" i="69"/>
  <c r="K109" i="69"/>
  <c r="K4" i="69"/>
  <c r="K12" i="69"/>
  <c r="K20" i="69"/>
  <c r="K28" i="69"/>
  <c r="K36" i="69"/>
  <c r="K44" i="69"/>
  <c r="K52" i="69"/>
  <c r="K60" i="69"/>
  <c r="K68" i="69"/>
  <c r="K76" i="69"/>
  <c r="K84" i="69"/>
  <c r="K92" i="69"/>
  <c r="K100" i="69"/>
  <c r="K108" i="69"/>
  <c r="K107" i="69"/>
  <c r="K10" i="69"/>
  <c r="K18" i="69"/>
  <c r="K26" i="69"/>
  <c r="K34" i="69"/>
  <c r="K42" i="69"/>
  <c r="K50" i="69"/>
  <c r="K58" i="69"/>
  <c r="K66" i="69"/>
  <c r="K74" i="69"/>
  <c r="K82" i="69"/>
  <c r="K90" i="69"/>
  <c r="K98" i="69"/>
  <c r="K106" i="69"/>
  <c r="K17" i="69"/>
  <c r="K25" i="69"/>
  <c r="K33" i="69"/>
  <c r="K41" i="69"/>
  <c r="K49" i="69"/>
  <c r="K57" i="69"/>
  <c r="K65" i="69"/>
  <c r="K73" i="69"/>
  <c r="K81" i="69"/>
  <c r="K89" i="69"/>
  <c r="K97" i="69"/>
  <c r="K105" i="69"/>
  <c r="D109" i="69"/>
  <c r="D110" i="69"/>
  <c r="K15" i="69"/>
  <c r="K23" i="69"/>
  <c r="K31" i="69"/>
  <c r="K39" i="69"/>
  <c r="K47" i="69"/>
  <c r="K55" i="69"/>
  <c r="K63" i="69"/>
  <c r="K71" i="69"/>
  <c r="K79" i="69"/>
  <c r="K87" i="69"/>
  <c r="K95" i="69"/>
  <c r="X110" i="68"/>
  <c r="X131" i="68" s="1"/>
  <c r="AB15" i="68"/>
  <c r="R19" i="68"/>
  <c r="AD19" i="68"/>
  <c r="AS19" i="68"/>
  <c r="R4" i="68"/>
  <c r="AD4" i="68"/>
  <c r="AS4" i="68"/>
  <c r="J110" i="68"/>
  <c r="J131" i="68" s="1"/>
  <c r="E3" i="68"/>
  <c r="AA110" i="68"/>
  <c r="AA131" i="68" s="1"/>
  <c r="AC3" i="68" s="1"/>
  <c r="AC110" i="68" s="1"/>
  <c r="AC131" i="68" s="1"/>
  <c r="AF3" i="68"/>
  <c r="E11" i="68"/>
  <c r="L11" i="68" s="1"/>
  <c r="E23" i="68"/>
  <c r="L23" i="68" s="1"/>
  <c r="AQ4" i="68"/>
  <c r="AW4" i="68" s="1"/>
  <c r="E6" i="68"/>
  <c r="L6" i="68" s="1"/>
  <c r="R6" i="68"/>
  <c r="R130" i="68" s="1"/>
  <c r="AD6" i="68"/>
  <c r="AS6" i="68"/>
  <c r="AQ6" i="68"/>
  <c r="AW6" i="68" s="1"/>
  <c r="AD5" i="68"/>
  <c r="AS5" i="68"/>
  <c r="AQ5" i="68"/>
  <c r="AW5" i="68" s="1"/>
  <c r="E7" i="68"/>
  <c r="L7" i="68" s="1"/>
  <c r="AT109" i="68"/>
  <c r="AF14" i="68"/>
  <c r="AC14" i="68"/>
  <c r="AB18" i="68"/>
  <c r="Q18" i="68"/>
  <c r="AQ13" i="68"/>
  <c r="AW13" i="68" s="1"/>
  <c r="R13" i="68"/>
  <c r="AD13" i="68"/>
  <c r="AS13" i="68"/>
  <c r="AC10" i="68"/>
  <c r="AF27" i="68"/>
  <c r="AC27" i="68"/>
  <c r="U110" i="68"/>
  <c r="U131" i="68" s="1"/>
  <c r="R3" i="68"/>
  <c r="AD3" i="68"/>
  <c r="AS3" i="68"/>
  <c r="AF4" i="68"/>
  <c r="AC4" i="68"/>
  <c r="E8" i="68"/>
  <c r="L8" i="68" s="1"/>
  <c r="Q45" i="68"/>
  <c r="E53" i="68"/>
  <c r="L53" i="68" s="1"/>
  <c r="E55" i="68"/>
  <c r="L55" i="68" s="1"/>
  <c r="AF50" i="68"/>
  <c r="AC50" i="68"/>
  <c r="Q52" i="68"/>
  <c r="AB52" i="68"/>
  <c r="AS21" i="68"/>
  <c r="R21" i="68"/>
  <c r="AQ21" i="68"/>
  <c r="AW21" i="68" s="1"/>
  <c r="AB24" i="68"/>
  <c r="R26" i="68"/>
  <c r="AQ26" i="68"/>
  <c r="AW26" i="68" s="1"/>
  <c r="I130" i="68"/>
  <c r="AD37" i="68"/>
  <c r="AS37" i="68"/>
  <c r="R37" i="68"/>
  <c r="E40" i="68"/>
  <c r="L40" i="68" s="1"/>
  <c r="N110" i="68"/>
  <c r="N131" i="68" s="1"/>
  <c r="AB3" i="68"/>
  <c r="AB4" i="68"/>
  <c r="AB13" i="68"/>
  <c r="AD29" i="68"/>
  <c r="AQ29" i="68"/>
  <c r="AW29" i="68" s="1"/>
  <c r="R29" i="68"/>
  <c r="AC38" i="68"/>
  <c r="E42" i="68"/>
  <c r="L42" i="68" s="1"/>
  <c r="Q43" i="68"/>
  <c r="AB43" i="68"/>
  <c r="F110" i="68"/>
  <c r="F131" i="68" s="1"/>
  <c r="AB5" i="68"/>
  <c r="AQ9" i="68"/>
  <c r="AW9" i="68" s="1"/>
  <c r="AQ10" i="68"/>
  <c r="AW10" i="68" s="1"/>
  <c r="AQ11" i="68"/>
  <c r="AW11" i="68" s="1"/>
  <c r="AC12" i="68"/>
  <c r="AB16" i="68"/>
  <c r="R18" i="68"/>
  <c r="AD18" i="68"/>
  <c r="AQ18" i="68"/>
  <c r="AW18" i="68" s="1"/>
  <c r="AC19" i="68"/>
  <c r="AC21" i="68"/>
  <c r="E24" i="68"/>
  <c r="L24" i="68" s="1"/>
  <c r="AS26" i="68"/>
  <c r="X130" i="68"/>
  <c r="AN28" i="68"/>
  <c r="AN130" i="68" s="1"/>
  <c r="AS29" i="68"/>
  <c r="AB34" i="68"/>
  <c r="AC37" i="68"/>
  <c r="AF38" i="68"/>
  <c r="AQ40" i="68"/>
  <c r="AW40" i="68" s="1"/>
  <c r="G110" i="68"/>
  <c r="G131" i="68" s="1"/>
  <c r="AC5" i="68"/>
  <c r="AQ7" i="68"/>
  <c r="AC11" i="68"/>
  <c r="E12" i="68"/>
  <c r="L12" i="68" s="1"/>
  <c r="AD20" i="68"/>
  <c r="R20" i="68"/>
  <c r="AQ20" i="68"/>
  <c r="AW20" i="68" s="1"/>
  <c r="AS23" i="68"/>
  <c r="M130" i="68"/>
  <c r="AA130" i="68"/>
  <c r="AF130" i="68" s="1"/>
  <c r="AS30" i="68"/>
  <c r="AQ30" i="68"/>
  <c r="AW30" i="68" s="1"/>
  <c r="E32" i="68"/>
  <c r="L32" i="68" s="1"/>
  <c r="AC35" i="68"/>
  <c r="AF35" i="68"/>
  <c r="AF37" i="68"/>
  <c r="H110" i="68"/>
  <c r="H131" i="68" s="1"/>
  <c r="AL14" i="68" s="1"/>
  <c r="AO14" i="68" s="1"/>
  <c r="AV14" i="68" s="1" a="1"/>
  <c r="AV14" i="68" s="1"/>
  <c r="Q3" i="68"/>
  <c r="Q130" i="68" s="1"/>
  <c r="AB7" i="68"/>
  <c r="AR109" i="68"/>
  <c r="AQ8" i="68"/>
  <c r="AW8" i="68" s="1"/>
  <c r="AS9" i="68"/>
  <c r="AS109" i="68" s="1"/>
  <c r="AB10" i="68"/>
  <c r="AS10" i="68"/>
  <c r="AB11" i="68"/>
  <c r="AF12" i="68"/>
  <c r="AS18" i="68"/>
  <c r="AD21" i="68"/>
  <c r="AC26" i="68"/>
  <c r="AC28" i="68"/>
  <c r="AC29" i="68"/>
  <c r="E33" i="68"/>
  <c r="L33" i="68" s="1"/>
  <c r="AS40" i="68"/>
  <c r="I110" i="68"/>
  <c r="I131" i="68" s="1"/>
  <c r="AC7" i="68"/>
  <c r="AC9" i="68"/>
  <c r="AD11" i="68"/>
  <c r="AQ14" i="68"/>
  <c r="AW14" i="68" s="1"/>
  <c r="AS20" i="68"/>
  <c r="AF21" i="68"/>
  <c r="AS22" i="68"/>
  <c r="AD23" i="68"/>
  <c r="AD26" i="68"/>
  <c r="F130" i="68"/>
  <c r="E28" i="68"/>
  <c r="AF28" i="68"/>
  <c r="AB29" i="68"/>
  <c r="AQ32" i="68"/>
  <c r="AW32" i="68" s="1"/>
  <c r="AD33" i="68"/>
  <c r="R33" i="68"/>
  <c r="E36" i="68"/>
  <c r="L36" i="68" s="1"/>
  <c r="E37" i="68"/>
  <c r="L37" i="68" s="1"/>
  <c r="AQ37" i="68"/>
  <c r="AW37" i="68" s="1"/>
  <c r="AQ39" i="68"/>
  <c r="AW39" i="68" s="1"/>
  <c r="AS39" i="68"/>
  <c r="R39" i="68"/>
  <c r="E46" i="68"/>
  <c r="L46" i="68" s="1"/>
  <c r="AS47" i="68"/>
  <c r="R47" i="68"/>
  <c r="AD47" i="68"/>
  <c r="AQ47" i="68"/>
  <c r="AW47" i="68" s="1"/>
  <c r="AC57" i="68"/>
  <c r="AF57" i="68"/>
  <c r="AC58" i="68"/>
  <c r="AD40" i="68"/>
  <c r="AB41" i="68"/>
  <c r="AB42" i="68"/>
  <c r="AU109" i="68"/>
  <c r="AD8" i="68"/>
  <c r="AD22" i="68"/>
  <c r="R23" i="68"/>
  <c r="AC24" i="68"/>
  <c r="AB27" i="68"/>
  <c r="H130" i="68"/>
  <c r="AD30" i="68"/>
  <c r="AF33" i="68"/>
  <c r="AS38" i="68"/>
  <c r="R38" i="68"/>
  <c r="AQ38" i="68"/>
  <c r="AW38" i="68" s="1"/>
  <c r="AD38" i="68"/>
  <c r="AF39" i="68"/>
  <c r="AF44" i="68"/>
  <c r="AC44" i="68"/>
  <c r="AC47" i="68"/>
  <c r="E50" i="68"/>
  <c r="L50" i="68" s="1"/>
  <c r="E51" i="68"/>
  <c r="L51" i="68" s="1"/>
  <c r="E59" i="68"/>
  <c r="L59" i="68" s="1"/>
  <c r="AL54" i="68"/>
  <c r="AO54" i="68" s="1"/>
  <c r="AV54" i="68" s="1" a="1"/>
  <c r="AV54" i="68" s="1"/>
  <c r="Q56" i="68"/>
  <c r="AB56" i="68"/>
  <c r="AF59" i="68"/>
  <c r="AC59" i="68"/>
  <c r="AL62" i="68"/>
  <c r="R59" i="68"/>
  <c r="AD59" i="68"/>
  <c r="AO59" i="68" s="1"/>
  <c r="AV59" i="68" s="1" a="1"/>
  <c r="AV59" i="68" s="1"/>
  <c r="AS59" i="68"/>
  <c r="AL61" i="68"/>
  <c r="AQ31" i="68"/>
  <c r="AW31" i="68" s="1"/>
  <c r="AC42" i="68"/>
  <c r="R43" i="68"/>
  <c r="AS43" i="68"/>
  <c r="E47" i="68"/>
  <c r="L47" i="68" s="1"/>
  <c r="AB50" i="68"/>
  <c r="R51" i="68"/>
  <c r="AQ51" i="68"/>
  <c r="AW51" i="68" s="1"/>
  <c r="AD51" i="68"/>
  <c r="AB53" i="68"/>
  <c r="AF53" i="68"/>
  <c r="AC54" i="68"/>
  <c r="AD56" i="68"/>
  <c r="AF60" i="68"/>
  <c r="AL65" i="68"/>
  <c r="AC31" i="68"/>
  <c r="R35" i="68"/>
  <c r="AQ35" i="68"/>
  <c r="AW35" i="68" s="1"/>
  <c r="Q36" i="68"/>
  <c r="AB36" i="68"/>
  <c r="AC41" i="68"/>
  <c r="AQ44" i="68"/>
  <c r="AW44" i="68" s="1"/>
  <c r="AD44" i="68"/>
  <c r="AC45" i="68"/>
  <c r="AS46" i="68"/>
  <c r="AQ46" i="68"/>
  <c r="AW46" i="68" s="1"/>
  <c r="AS52" i="68"/>
  <c r="R52" i="68"/>
  <c r="AF54" i="68"/>
  <c r="AC60" i="68"/>
  <c r="AC61" i="68"/>
  <c r="AQ56" i="68"/>
  <c r="AW56" i="68" s="1"/>
  <c r="E64" i="68"/>
  <c r="L64" i="68" s="1"/>
  <c r="AC46" i="68"/>
  <c r="AF46" i="68"/>
  <c r="AD53" i="68"/>
  <c r="AS53" i="68"/>
  <c r="R53" i="68"/>
  <c r="E54" i="68"/>
  <c r="L54" i="68" s="1"/>
  <c r="AD55" i="68"/>
  <c r="E57" i="68"/>
  <c r="L57" i="68" s="1"/>
  <c r="AB59" i="68"/>
  <c r="Q59" i="68"/>
  <c r="AF61" i="68"/>
  <c r="E62" i="68"/>
  <c r="L62" i="68" s="1"/>
  <c r="AL64" i="68"/>
  <c r="AO64" i="68" s="1"/>
  <c r="AV64" i="68" s="1" a="1"/>
  <c r="AV64" i="68" s="1"/>
  <c r="AZ64" i="68" s="1"/>
  <c r="Q67" i="68"/>
  <c r="AB67" i="68"/>
  <c r="AL26" i="68"/>
  <c r="N130" i="68"/>
  <c r="AB28" i="68"/>
  <c r="AC30" i="68"/>
  <c r="AQ36" i="68"/>
  <c r="AW36" i="68" s="1"/>
  <c r="AB37" i="68"/>
  <c r="E39" i="68"/>
  <c r="L39" i="68" s="1"/>
  <c r="AD45" i="68"/>
  <c r="AQ45" i="68"/>
  <c r="AW45" i="68" s="1"/>
  <c r="AS54" i="68"/>
  <c r="R54" i="68"/>
  <c r="AD61" i="68"/>
  <c r="AO61" i="68" s="1"/>
  <c r="AV61" i="68" s="1" a="1"/>
  <c r="AV61" i="68" s="1"/>
  <c r="AS61" i="68"/>
  <c r="AQ61" i="68"/>
  <c r="AW61" i="68" s="1"/>
  <c r="AB62" i="68"/>
  <c r="AD62" i="68"/>
  <c r="AO62" i="68" s="1"/>
  <c r="AB64" i="68"/>
  <c r="E66" i="68"/>
  <c r="L66" i="68" s="1"/>
  <c r="AL67" i="68"/>
  <c r="AO67" i="68" s="1"/>
  <c r="AV67" i="68" s="1" a="1"/>
  <c r="AV67" i="68" s="1"/>
  <c r="R70" i="68"/>
  <c r="AD70" i="68"/>
  <c r="AO70" i="68" s="1"/>
  <c r="AV70" i="68" s="1" a="1"/>
  <c r="AV70" i="68" s="1"/>
  <c r="AS70" i="68"/>
  <c r="AL74" i="68"/>
  <c r="AO74" i="68" s="1"/>
  <c r="AV74" i="68" s="1" a="1"/>
  <c r="AV74" i="68" s="1"/>
  <c r="AZ74" i="68" s="1"/>
  <c r="AC83" i="68"/>
  <c r="AL91" i="68"/>
  <c r="J130" i="68"/>
  <c r="U130" i="68"/>
  <c r="AD28" i="68"/>
  <c r="AB31" i="68"/>
  <c r="AL59" i="68"/>
  <c r="AV62" i="68" a="1"/>
  <c r="AV62" i="68" s="1"/>
  <c r="E65" i="68"/>
  <c r="L65" i="68" s="1"/>
  <c r="AF68" i="68"/>
  <c r="AC89" i="68"/>
  <c r="AL97" i="68"/>
  <c r="AO97" i="68" s="1"/>
  <c r="AL66" i="68"/>
  <c r="AO66" i="68" s="1"/>
  <c r="AV66" i="68" s="1" a="1"/>
  <c r="AV66" i="68" s="1"/>
  <c r="AF69" i="68"/>
  <c r="AC69" i="68"/>
  <c r="AF70" i="68"/>
  <c r="AC70" i="68"/>
  <c r="AL77" i="68"/>
  <c r="AO79" i="68"/>
  <c r="AL82" i="68"/>
  <c r="AO82" i="68" s="1"/>
  <c r="AV82" i="68" s="1" a="1"/>
  <c r="AV82" i="68" s="1"/>
  <c r="AL90" i="68"/>
  <c r="AO90" i="68" s="1"/>
  <c r="AV90" i="68" s="1" a="1"/>
  <c r="AV90" i="68" s="1"/>
  <c r="AL93" i="68"/>
  <c r="AB69" i="68"/>
  <c r="E72" i="68"/>
  <c r="L72" i="68" s="1"/>
  <c r="AL75" i="68"/>
  <c r="AD72" i="68"/>
  <c r="AS72" i="68"/>
  <c r="AQ72" i="68"/>
  <c r="AW72" i="68" s="1"/>
  <c r="AC73" i="68"/>
  <c r="AL85" i="68"/>
  <c r="AC97" i="68"/>
  <c r="AL100" i="68"/>
  <c r="AL43" i="68"/>
  <c r="AO43" i="68" s="1"/>
  <c r="AV43" i="68" s="1" a="1"/>
  <c r="AV43" i="68" s="1"/>
  <c r="AB47" i="68"/>
  <c r="AQ62" i="68"/>
  <c r="AW62" i="68" s="1"/>
  <c r="E63" i="68"/>
  <c r="L63" i="68" s="1"/>
  <c r="AS64" i="68"/>
  <c r="AQ64" i="68"/>
  <c r="AW64" i="68" s="1"/>
  <c r="AQ70" i="68"/>
  <c r="AW70" i="68" s="1"/>
  <c r="AL83" i="68"/>
  <c r="AO83" i="68" s="1"/>
  <c r="AV83" i="68" s="1" a="1"/>
  <c r="AV83" i="68" s="1"/>
  <c r="AL98" i="68"/>
  <c r="AO98" i="68" s="1"/>
  <c r="AV98" i="68" s="1" a="1"/>
  <c r="AV98" i="68" s="1"/>
  <c r="AO65" i="68"/>
  <c r="AV65" i="68" s="1" a="1"/>
  <c r="AV65" i="68" s="1"/>
  <c r="R71" i="68"/>
  <c r="AD71" i="68"/>
  <c r="AS71" i="68"/>
  <c r="AQ71" i="68"/>
  <c r="AW71" i="68" s="1"/>
  <c r="AC72" i="68"/>
  <c r="AO75" i="68"/>
  <c r="AV75" i="68" s="1" a="1"/>
  <c r="AV75" i="68" s="1"/>
  <c r="AL86" i="68"/>
  <c r="AO86" i="68" s="1"/>
  <c r="AV86" i="68" s="1" a="1"/>
  <c r="AV86" i="68" s="1"/>
  <c r="AL89" i="68"/>
  <c r="AO89" i="68" s="1"/>
  <c r="AV89" i="68" s="1" a="1"/>
  <c r="AV89" i="68" s="1"/>
  <c r="AC62" i="68"/>
  <c r="AC64" i="68"/>
  <c r="AL69" i="68"/>
  <c r="AO69" i="68" s="1"/>
  <c r="AV69" i="68" s="1" a="1"/>
  <c r="AV69" i="68" s="1"/>
  <c r="AL70" i="68"/>
  <c r="E73" i="68"/>
  <c r="L73" i="68" s="1"/>
  <c r="AL76" i="68"/>
  <c r="AO76" i="68" s="1"/>
  <c r="AV76" i="68" s="1" a="1"/>
  <c r="AV76" i="68" s="1"/>
  <c r="AL81" i="68"/>
  <c r="AO81" i="68" s="1"/>
  <c r="AV81" i="68" s="1" a="1"/>
  <c r="AV81" i="68" s="1"/>
  <c r="AB86" i="68"/>
  <c r="AL95" i="68"/>
  <c r="AO95" i="68" s="1"/>
  <c r="AV95" i="68" s="1" a="1"/>
  <c r="AV95" i="68" s="1"/>
  <c r="E97" i="68"/>
  <c r="L97" i="68" s="1"/>
  <c r="AL101" i="68"/>
  <c r="AO101" i="68" s="1"/>
  <c r="AV101" i="68" s="1" a="1"/>
  <c r="AV101" i="68" s="1"/>
  <c r="AC104" i="68"/>
  <c r="AC106" i="68"/>
  <c r="AL107" i="68"/>
  <c r="R74" i="68"/>
  <c r="R76" i="68"/>
  <c r="AQ77" i="68"/>
  <c r="AW77" i="68" s="1"/>
  <c r="AC79" i="68"/>
  <c r="Q81" i="68"/>
  <c r="Q82" i="68"/>
  <c r="AB85" i="68"/>
  <c r="AS85" i="68"/>
  <c r="AC86" i="68"/>
  <c r="AB92" i="68"/>
  <c r="AS92" i="68"/>
  <c r="Q94" i="68"/>
  <c r="R95" i="68"/>
  <c r="AF96" i="68"/>
  <c r="AC96" i="68"/>
  <c r="AV97" i="68" a="1"/>
  <c r="AV97" i="68" s="1"/>
  <c r="AF101" i="68"/>
  <c r="AC101" i="68"/>
  <c r="AL108" i="68"/>
  <c r="G130" i="68"/>
  <c r="R67" i="68"/>
  <c r="AB71" i="68"/>
  <c r="AB78" i="68"/>
  <c r="AC85" i="68"/>
  <c r="AL87" i="68"/>
  <c r="AO87" i="68" s="1"/>
  <c r="AV87" i="68" s="1" a="1"/>
  <c r="AV87" i="68" s="1"/>
  <c r="Q87" i="68"/>
  <c r="AS91" i="68"/>
  <c r="Q93" i="68"/>
  <c r="AB96" i="68"/>
  <c r="AS98" i="68"/>
  <c r="AQ98" i="68"/>
  <c r="AW98" i="68" s="1"/>
  <c r="E99" i="68"/>
  <c r="L99" i="68" s="1"/>
  <c r="AB100" i="68"/>
  <c r="AL105" i="68"/>
  <c r="AO105" i="68" s="1"/>
  <c r="AV105" i="68" s="1" a="1"/>
  <c r="AV105" i="68" s="1"/>
  <c r="AS77" i="68"/>
  <c r="AF79" i="68"/>
  <c r="AS84" i="68"/>
  <c r="AD85" i="68"/>
  <c r="AO85" i="68" s="1"/>
  <c r="AV85" i="68" s="1" a="1"/>
  <c r="AV85" i="68" s="1"/>
  <c r="AF86" i="68"/>
  <c r="R87" i="68"/>
  <c r="AC90" i="68"/>
  <c r="E91" i="68"/>
  <c r="L91" i="68" s="1"/>
  <c r="AD91" i="68"/>
  <c r="AO91" i="68" s="1"/>
  <c r="AV91" i="68" s="1" a="1"/>
  <c r="AV91" i="68" s="1"/>
  <c r="AD92" i="68"/>
  <c r="E100" i="68"/>
  <c r="L100" i="68" s="1"/>
  <c r="AS103" i="68"/>
  <c r="AQ103" i="68"/>
  <c r="AW103" i="68" s="1"/>
  <c r="R103" i="68"/>
  <c r="AD103" i="68"/>
  <c r="AO103" i="68" s="1"/>
  <c r="AV103" i="68" s="1" a="1"/>
  <c r="AV103" i="68" s="1"/>
  <c r="AQ74" i="68"/>
  <c r="AW74" i="68" s="1"/>
  <c r="AC77" i="68"/>
  <c r="AL79" i="68"/>
  <c r="AQ81" i="68"/>
  <c r="AW81" i="68" s="1"/>
  <c r="AQ82" i="68"/>
  <c r="AW82" i="68" s="1"/>
  <c r="AB83" i="68"/>
  <c r="AF85" i="68"/>
  <c r="AQ87" i="68"/>
  <c r="AW87" i="68" s="1"/>
  <c r="AB88" i="68"/>
  <c r="AS89" i="68"/>
  <c r="AQ97" i="68"/>
  <c r="AW97" i="68" s="1"/>
  <c r="AC98" i="68"/>
  <c r="AO100" i="68"/>
  <c r="AV100" i="68" s="1" a="1"/>
  <c r="AV100" i="68" s="1"/>
  <c r="AZ100" i="68" s="1"/>
  <c r="AL103" i="68"/>
  <c r="E104" i="68"/>
  <c r="L104" i="68" s="1"/>
  <c r="AS76" i="68"/>
  <c r="AD77" i="68"/>
  <c r="AO77" i="68" s="1"/>
  <c r="AV77" i="68" s="1" a="1"/>
  <c r="AV77" i="68" s="1"/>
  <c r="AV79" i="68" a="1"/>
  <c r="AV79" i="68" s="1"/>
  <c r="AZ79" i="68" s="1"/>
  <c r="R79" i="68"/>
  <c r="AC82" i="68"/>
  <c r="E83" i="68"/>
  <c r="L83" i="68" s="1"/>
  <c r="AD84" i="68"/>
  <c r="AC88" i="68"/>
  <c r="R92" i="68"/>
  <c r="AC95" i="68"/>
  <c r="AC103" i="68"/>
  <c r="AL106" i="68"/>
  <c r="AO106" i="68" s="1"/>
  <c r="AV106" i="68" s="1" a="1"/>
  <c r="AV106" i="68" s="1"/>
  <c r="AB75" i="68"/>
  <c r="AF77" i="68"/>
  <c r="AB80" i="68"/>
  <c r="AO93" i="68"/>
  <c r="AV93" i="68" s="1" a="1"/>
  <c r="AV93" i="68" s="1"/>
  <c r="AZ93" i="68" s="1"/>
  <c r="AF131" i="68"/>
  <c r="R84" i="68"/>
  <c r="AQ96" i="68"/>
  <c r="AW96" i="68" s="1"/>
  <c r="AB97" i="68"/>
  <c r="R101" i="68"/>
  <c r="AS104" i="68"/>
  <c r="AQ106" i="68"/>
  <c r="AW106" i="68" s="1"/>
  <c r="Q103" i="68"/>
  <c r="AF103" i="68"/>
  <c r="AD104" i="68"/>
  <c r="AC105" i="68"/>
  <c r="AS105" i="68"/>
  <c r="AQ107" i="68"/>
  <c r="AW107" i="68" s="1"/>
  <c r="AD105" i="68"/>
  <c r="AB107" i="68"/>
  <c r="AQ108" i="68"/>
  <c r="AW108" i="68" s="1"/>
  <c r="AF110" i="68"/>
  <c r="AS107" i="68"/>
  <c r="AB108" i="68"/>
  <c r="AB101" i="68"/>
  <c r="AD107" i="68"/>
  <c r="AO107" i="68" s="1"/>
  <c r="AV107" i="68" s="1" a="1"/>
  <c r="AV107" i="68" s="1"/>
  <c r="AS108" i="68"/>
  <c r="AU110" i="68"/>
  <c r="AD108" i="68"/>
  <c r="AO108" i="68" s="1"/>
  <c r="AV108" i="68" s="1" a="1"/>
  <c r="AV108" i="68" s="1"/>
  <c r="R107" i="68"/>
  <c r="R108" i="68"/>
  <c r="Q107" i="65"/>
  <c r="E107" i="65"/>
  <c r="L107" i="65" s="1"/>
  <c r="E108" i="65"/>
  <c r="L108" i="65" s="1"/>
  <c r="R108" i="65"/>
  <c r="AS108" i="65"/>
  <c r="AQ108" i="65"/>
  <c r="AW108" i="65" s="1"/>
  <c r="R107" i="65"/>
  <c r="AS107" i="65"/>
  <c r="Y40" i="57"/>
  <c r="X40" i="57"/>
  <c r="W40" i="57"/>
  <c r="K110" i="69" l="1"/>
  <c r="L4" i="69"/>
  <c r="F6" i="69"/>
  <c r="E7" i="69"/>
  <c r="AL58" i="68"/>
  <c r="AO58" i="68" s="1"/>
  <c r="AV58" i="68" s="1" a="1"/>
  <c r="AV58" i="68" s="1"/>
  <c r="AZ58" i="68" s="1"/>
  <c r="AL34" i="68"/>
  <c r="AO34" i="68" s="1"/>
  <c r="AV34" i="68" s="1" a="1"/>
  <c r="AV34" i="68" s="1"/>
  <c r="AO26" i="68"/>
  <c r="AV26" i="68" s="1" a="1"/>
  <c r="AV26" i="68" s="1"/>
  <c r="AZ26" i="68" s="1"/>
  <c r="AL3" i="68"/>
  <c r="AL48" i="68"/>
  <c r="AO48" i="68" s="1"/>
  <c r="AV48" i="68" s="1" a="1"/>
  <c r="AV48" i="68" s="1"/>
  <c r="AZ48" i="68" s="1"/>
  <c r="AL15" i="68"/>
  <c r="AO15" i="68" s="1"/>
  <c r="AV15" i="68" s="1" a="1"/>
  <c r="AV15" i="68" s="1"/>
  <c r="AL17" i="68"/>
  <c r="AO17" i="68" s="1"/>
  <c r="AV17" i="68" s="1" a="1"/>
  <c r="AV17" i="68" s="1"/>
  <c r="AZ17" i="68" s="1"/>
  <c r="AL37" i="68"/>
  <c r="AO37" i="68" s="1"/>
  <c r="AV37" i="68" s="1" a="1"/>
  <c r="AV37" i="68" s="1"/>
  <c r="AZ14" i="68"/>
  <c r="AX14" i="68"/>
  <c r="AZ107" i="68"/>
  <c r="AX107" i="68"/>
  <c r="AZ85" i="68"/>
  <c r="AX85" i="68"/>
  <c r="AZ76" i="68"/>
  <c r="AX76" i="68"/>
  <c r="AZ75" i="68"/>
  <c r="AX75" i="68"/>
  <c r="AZ83" i="68"/>
  <c r="AX83" i="68"/>
  <c r="AZ106" i="68"/>
  <c r="AX106" i="68"/>
  <c r="AO44" i="68"/>
  <c r="AV44" i="68" s="1" a="1"/>
  <c r="AV44" i="68" s="1"/>
  <c r="AZ69" i="68"/>
  <c r="AX69" i="68"/>
  <c r="AZ70" i="68"/>
  <c r="AX70" i="68"/>
  <c r="AZ59" i="68"/>
  <c r="AX59" i="68"/>
  <c r="AZ54" i="68"/>
  <c r="AX54" i="68"/>
  <c r="AZ34" i="68"/>
  <c r="AX34" i="68"/>
  <c r="AX26" i="68"/>
  <c r="AZ89" i="68"/>
  <c r="AX89" i="68"/>
  <c r="AZ91" i="68"/>
  <c r="AX91" i="68"/>
  <c r="AZ108" i="68"/>
  <c r="AX108" i="68"/>
  <c r="AZ77" i="68"/>
  <c r="AX77" i="68"/>
  <c r="AZ90" i="68"/>
  <c r="AX90" i="68"/>
  <c r="AZ66" i="68"/>
  <c r="AX66" i="68"/>
  <c r="AZ103" i="68"/>
  <c r="AX103" i="68"/>
  <c r="AZ87" i="68"/>
  <c r="AX87" i="68"/>
  <c r="AZ95" i="68"/>
  <c r="AX95" i="68"/>
  <c r="AZ82" i="68"/>
  <c r="AX82" i="68"/>
  <c r="AZ67" i="68"/>
  <c r="AX67" i="68"/>
  <c r="AX61" i="68"/>
  <c r="AZ61" i="68"/>
  <c r="AZ15" i="68"/>
  <c r="AX15" i="68"/>
  <c r="AX17" i="68"/>
  <c r="AZ81" i="68"/>
  <c r="AX81" i="68"/>
  <c r="AZ86" i="68"/>
  <c r="AX86" i="68"/>
  <c r="AZ98" i="68"/>
  <c r="AX98" i="68"/>
  <c r="AX43" i="68"/>
  <c r="AZ43" i="68"/>
  <c r="AZ37" i="68"/>
  <c r="AX37" i="68"/>
  <c r="AQ109" i="68"/>
  <c r="AW7" i="68"/>
  <c r="AW109" i="68" s="1"/>
  <c r="AD110" i="68"/>
  <c r="AD131" i="68" s="1"/>
  <c r="AO3" i="68"/>
  <c r="AX105" i="68"/>
  <c r="AZ105" i="68"/>
  <c r="AO30" i="68"/>
  <c r="AV30" i="68" s="1" a="1"/>
  <c r="AV30" i="68" s="1"/>
  <c r="AL41" i="68"/>
  <c r="AO41" i="68" s="1"/>
  <c r="AV41" i="68" s="1" a="1"/>
  <c r="AV41" i="68" s="1"/>
  <c r="AL8" i="68"/>
  <c r="AO8" i="68" s="1"/>
  <c r="AV8" i="68" s="1" a="1"/>
  <c r="AV8" i="68" s="1"/>
  <c r="AZ62" i="68"/>
  <c r="AX62" i="68"/>
  <c r="AX64" i="68"/>
  <c r="AB110" i="68"/>
  <c r="AB131" i="68" s="1"/>
  <c r="AL12" i="68"/>
  <c r="AO12" i="68" s="1"/>
  <c r="AV12" i="68" s="1" a="1"/>
  <c r="AV12" i="68" s="1"/>
  <c r="AZ101" i="68"/>
  <c r="AX101" i="68"/>
  <c r="AL35" i="68"/>
  <c r="AO35" i="68" s="1"/>
  <c r="AV35" i="68" s="1" a="1"/>
  <c r="AV35" i="68" s="1"/>
  <c r="AL63" i="68"/>
  <c r="AO63" i="68" s="1"/>
  <c r="AV63" i="68" s="1" a="1"/>
  <c r="AV63" i="68" s="1"/>
  <c r="AL6" i="68"/>
  <c r="AZ97" i="68"/>
  <c r="AX97" i="68"/>
  <c r="AB130" i="68"/>
  <c r="AX79" i="68"/>
  <c r="AX93" i="68"/>
  <c r="AL50" i="68"/>
  <c r="AO50" i="68" s="1"/>
  <c r="AV50" i="68" s="1" a="1"/>
  <c r="AV50" i="68" s="1"/>
  <c r="AL51" i="68"/>
  <c r="AL33" i="68"/>
  <c r="AO33" i="68" s="1"/>
  <c r="AV33" i="68" s="1" a="1"/>
  <c r="AV33" i="68" s="1"/>
  <c r="AL11" i="68"/>
  <c r="AC108" i="68"/>
  <c r="AC107" i="68"/>
  <c r="AC94" i="68"/>
  <c r="AC87" i="68"/>
  <c r="AC81" i="68"/>
  <c r="AC80" i="68"/>
  <c r="AC76" i="68"/>
  <c r="AC75" i="68"/>
  <c r="AC74" i="68"/>
  <c r="AC65" i="68"/>
  <c r="AC84" i="68"/>
  <c r="AC100" i="68"/>
  <c r="AC78" i="68"/>
  <c r="AC71" i="68"/>
  <c r="AC92" i="68"/>
  <c r="AC91" i="68"/>
  <c r="AC102" i="68"/>
  <c r="AC99" i="68"/>
  <c r="AC93" i="68"/>
  <c r="AC66" i="68"/>
  <c r="AC48" i="68"/>
  <c r="AC68" i="68"/>
  <c r="AC67" i="68"/>
  <c r="AC32" i="68"/>
  <c r="AC51" i="68"/>
  <c r="AC49" i="68"/>
  <c r="AC55" i="68"/>
  <c r="AC63" i="68"/>
  <c r="AC34" i="68"/>
  <c r="AC40" i="68"/>
  <c r="AC52" i="68"/>
  <c r="AC56" i="68"/>
  <c r="AC53" i="68"/>
  <c r="AC43" i="68"/>
  <c r="AC25" i="68"/>
  <c r="AC20" i="68"/>
  <c r="AC15" i="68"/>
  <c r="AC23" i="68"/>
  <c r="AC16" i="68"/>
  <c r="AC36" i="68"/>
  <c r="AC13" i="68"/>
  <c r="AC33" i="68"/>
  <c r="AC39" i="68"/>
  <c r="AC17" i="68"/>
  <c r="AC22" i="68"/>
  <c r="AC18" i="68"/>
  <c r="AC8" i="68"/>
  <c r="AN110" i="68"/>
  <c r="AN131" i="68" s="1"/>
  <c r="E110" i="68"/>
  <c r="E131" i="68" s="1"/>
  <c r="L3" i="68"/>
  <c r="AX100" i="68"/>
  <c r="Q110" i="68"/>
  <c r="Q131" i="68" s="1"/>
  <c r="AX74" i="68"/>
  <c r="AO11" i="68"/>
  <c r="AV11" i="68" s="1" a="1"/>
  <c r="AV11" i="68" s="1"/>
  <c r="AL102" i="68"/>
  <c r="AO102" i="68" s="1"/>
  <c r="AV102" i="68" s="1" a="1"/>
  <c r="AV102" i="68" s="1"/>
  <c r="AL88" i="68"/>
  <c r="AO88" i="68" s="1"/>
  <c r="AV88" i="68" s="1" a="1"/>
  <c r="AV88" i="68" s="1"/>
  <c r="AL84" i="68"/>
  <c r="AL78" i="68"/>
  <c r="AO78" i="68" s="1"/>
  <c r="AV78" i="68" s="1" a="1"/>
  <c r="AV78" i="68" s="1"/>
  <c r="AL71" i="68"/>
  <c r="AO71" i="68" s="1"/>
  <c r="AV71" i="68" s="1" a="1"/>
  <c r="AV71" i="68" s="1"/>
  <c r="AL92" i="68"/>
  <c r="AO92" i="68" s="1"/>
  <c r="AV92" i="68" s="1" a="1"/>
  <c r="AV92" i="68" s="1"/>
  <c r="AL96" i="68"/>
  <c r="AO96" i="68" s="1"/>
  <c r="AV96" i="68" s="1" a="1"/>
  <c r="AV96" i="68" s="1"/>
  <c r="AL99" i="68"/>
  <c r="AO99" i="68" s="1"/>
  <c r="AV99" i="68" s="1" a="1"/>
  <c r="AV99" i="68" s="1"/>
  <c r="AL68" i="68"/>
  <c r="AO68" i="68" s="1"/>
  <c r="AV68" i="68" s="1" a="1"/>
  <c r="AV68" i="68" s="1"/>
  <c r="AL104" i="68"/>
  <c r="AO104" i="68" s="1"/>
  <c r="AV104" i="68" s="1" a="1"/>
  <c r="AV104" i="68" s="1"/>
  <c r="AL94" i="68"/>
  <c r="AO94" i="68" s="1"/>
  <c r="AV94" i="68" s="1" a="1"/>
  <c r="AV94" i="68" s="1"/>
  <c r="AL80" i="68"/>
  <c r="AO80" i="68" s="1"/>
  <c r="AV80" i="68" s="1" a="1"/>
  <c r="AV80" i="68" s="1"/>
  <c r="AL73" i="68"/>
  <c r="AO73" i="68" s="1"/>
  <c r="AV73" i="68" s="1" a="1"/>
  <c r="AV73" i="68" s="1"/>
  <c r="AL72" i="68"/>
  <c r="AO72" i="68" s="1"/>
  <c r="AV72" i="68" s="1" a="1"/>
  <c r="AV72" i="68" s="1"/>
  <c r="AL39" i="68"/>
  <c r="AO39" i="68" s="1"/>
  <c r="AV39" i="68" s="1" a="1"/>
  <c r="AV39" i="68" s="1"/>
  <c r="AL60" i="68"/>
  <c r="AO60" i="68" s="1"/>
  <c r="AV60" i="68" s="1" a="1"/>
  <c r="AV60" i="68" s="1"/>
  <c r="AL56" i="68"/>
  <c r="AO56" i="68" s="1"/>
  <c r="AV56" i="68" s="1" a="1"/>
  <c r="AV56" i="68" s="1"/>
  <c r="AL47" i="68"/>
  <c r="AO47" i="68" s="1"/>
  <c r="AV47" i="68" s="1" a="1"/>
  <c r="AV47" i="68" s="1"/>
  <c r="AL57" i="68"/>
  <c r="AO57" i="68" s="1"/>
  <c r="AV57" i="68" s="1" a="1"/>
  <c r="AV57" i="68" s="1"/>
  <c r="AL49" i="68"/>
  <c r="AO49" i="68" s="1"/>
  <c r="AV49" i="68" s="1" a="1"/>
  <c r="AV49" i="68" s="1"/>
  <c r="AL9" i="68"/>
  <c r="AO9" i="68" s="1"/>
  <c r="AV9" i="68" s="1" a="1"/>
  <c r="AV9" i="68" s="1"/>
  <c r="AL36" i="68"/>
  <c r="AO36" i="68" s="1"/>
  <c r="AV36" i="68" s="1" a="1"/>
  <c r="AV36" i="68" s="1"/>
  <c r="AL19" i="68"/>
  <c r="AO19" i="68" s="1"/>
  <c r="AV19" i="68" s="1" a="1"/>
  <c r="AV19" i="68" s="1"/>
  <c r="AL38" i="68"/>
  <c r="AO38" i="68" s="1"/>
  <c r="AV38" i="68" s="1" a="1"/>
  <c r="AV38" i="68" s="1"/>
  <c r="AL24" i="68"/>
  <c r="AO24" i="68" s="1"/>
  <c r="AV24" i="68" s="1" a="1"/>
  <c r="AV24" i="68" s="1"/>
  <c r="AL46" i="68"/>
  <c r="AO46" i="68" s="1"/>
  <c r="AV46" i="68" s="1" a="1"/>
  <c r="AV46" i="68" s="1"/>
  <c r="AL32" i="68"/>
  <c r="AO32" i="68" s="1"/>
  <c r="AV32" i="68" s="1" a="1"/>
  <c r="AV32" i="68" s="1"/>
  <c r="AL31" i="68"/>
  <c r="AO31" i="68" s="1"/>
  <c r="AV31" i="68" s="1" a="1"/>
  <c r="AV31" i="68" s="1"/>
  <c r="AL27" i="68"/>
  <c r="AO27" i="68" s="1"/>
  <c r="AV27" i="68" s="1" a="1"/>
  <c r="AV27" i="68" s="1"/>
  <c r="AL55" i="68"/>
  <c r="AO55" i="68" s="1"/>
  <c r="AV55" i="68" s="1" a="1"/>
  <c r="AV55" i="68" s="1"/>
  <c r="AL53" i="68"/>
  <c r="AO53" i="68" s="1"/>
  <c r="AV53" i="68" s="1" a="1"/>
  <c r="AV53" i="68" s="1"/>
  <c r="AL45" i="68"/>
  <c r="AO45" i="68" s="1"/>
  <c r="AV45" i="68" s="1" a="1"/>
  <c r="AV45" i="68" s="1"/>
  <c r="AL44" i="68"/>
  <c r="AL22" i="68"/>
  <c r="AO22" i="68" s="1"/>
  <c r="AV22" i="68" s="1" a="1"/>
  <c r="AV22" i="68" s="1"/>
  <c r="AL20" i="68"/>
  <c r="AO20" i="68" s="1"/>
  <c r="AV20" i="68" s="1" a="1"/>
  <c r="AV20" i="68" s="1"/>
  <c r="AL42" i="68"/>
  <c r="AO42" i="68" s="1"/>
  <c r="AV42" i="68" s="1" a="1"/>
  <c r="AV42" i="68" s="1"/>
  <c r="AL40" i="68"/>
  <c r="AO40" i="68" s="1"/>
  <c r="AV40" i="68" s="1" a="1"/>
  <c r="AV40" i="68" s="1"/>
  <c r="AL52" i="68"/>
  <c r="AO52" i="68" s="1"/>
  <c r="AV52" i="68" s="1" a="1"/>
  <c r="AV52" i="68" s="1"/>
  <c r="AL21" i="68"/>
  <c r="AO21" i="68" s="1"/>
  <c r="AV21" i="68" s="1" a="1"/>
  <c r="AV21" i="68" s="1"/>
  <c r="AL5" i="68"/>
  <c r="AO5" i="68" s="1"/>
  <c r="AV5" i="68" s="1" a="1"/>
  <c r="AV5" i="68" s="1"/>
  <c r="AL16" i="68"/>
  <c r="AO16" i="68" s="1"/>
  <c r="AV16" i="68" s="1" a="1"/>
  <c r="AV16" i="68" s="1"/>
  <c r="AL7" i="68"/>
  <c r="AO7" i="68" s="1"/>
  <c r="AV7" i="68" s="1" a="1"/>
  <c r="AV7" i="68" s="1"/>
  <c r="AL29" i="68"/>
  <c r="AL28" i="68"/>
  <c r="AL30" i="68"/>
  <c r="AO29" i="68"/>
  <c r="AV29" i="68" s="1" a="1"/>
  <c r="AV29" i="68" s="1"/>
  <c r="AL4" i="68"/>
  <c r="AZ65" i="68"/>
  <c r="AX65" i="68"/>
  <c r="AO51" i="68"/>
  <c r="AV51" i="68" s="1" a="1"/>
  <c r="AV51" i="68" s="1"/>
  <c r="E130" i="68"/>
  <c r="L28" i="68"/>
  <c r="L130" i="68" s="1"/>
  <c r="AO84" i="68"/>
  <c r="AV84" i="68" s="1" a="1"/>
  <c r="AV84" i="68" s="1"/>
  <c r="AD130" i="68"/>
  <c r="AC130" i="68"/>
  <c r="AL18" i="68"/>
  <c r="AO18" i="68" s="1"/>
  <c r="AV18" i="68" s="1" a="1"/>
  <c r="AV18" i="68" s="1"/>
  <c r="AL13" i="68"/>
  <c r="AO13" i="68" s="1"/>
  <c r="AV13" i="68" s="1" a="1"/>
  <c r="AV13" i="68" s="1"/>
  <c r="AC6" i="68"/>
  <c r="AO6" i="68"/>
  <c r="AV6" i="68" s="1" a="1"/>
  <c r="AV6" i="68" s="1"/>
  <c r="AL23" i="68"/>
  <c r="AO23" i="68" s="1"/>
  <c r="AV23" i="68" s="1" a="1"/>
  <c r="AV23" i="68" s="1"/>
  <c r="AL10" i="68"/>
  <c r="AO10" i="68" s="1"/>
  <c r="AV10" i="68" s="1" a="1"/>
  <c r="AV10" i="68" s="1"/>
  <c r="AL25" i="68"/>
  <c r="AO25" i="68" s="1"/>
  <c r="AV25" i="68" s="1" a="1"/>
  <c r="AV25" i="68" s="1"/>
  <c r="Q106" i="62"/>
  <c r="J4" i="66"/>
  <c r="J11" i="66"/>
  <c r="J14" i="66"/>
  <c r="J9" i="66"/>
  <c r="J21" i="66"/>
  <c r="J6" i="66"/>
  <c r="J8" i="66"/>
  <c r="J13" i="66"/>
  <c r="J12" i="66"/>
  <c r="J5" i="66"/>
  <c r="J18" i="66"/>
  <c r="J15" i="66"/>
  <c r="J7" i="66"/>
  <c r="J23" i="66"/>
  <c r="J22" i="66"/>
  <c r="J76" i="66"/>
  <c r="J30" i="66"/>
  <c r="J32" i="66"/>
  <c r="J28" i="66"/>
  <c r="J77" i="66"/>
  <c r="J61" i="66"/>
  <c r="J78" i="66"/>
  <c r="J26" i="66"/>
  <c r="J43" i="66"/>
  <c r="J16" i="66"/>
  <c r="J79" i="66"/>
  <c r="J80" i="66"/>
  <c r="J70" i="66"/>
  <c r="J81" i="66"/>
  <c r="J36" i="66"/>
  <c r="J62" i="66"/>
  <c r="J82" i="66"/>
  <c r="J83" i="66"/>
  <c r="J84" i="66"/>
  <c r="J71" i="66"/>
  <c r="J59" i="66"/>
  <c r="J53" i="66"/>
  <c r="J63" i="66"/>
  <c r="J49" i="66"/>
  <c r="J50" i="66"/>
  <c r="J24" i="66"/>
  <c r="J25" i="66"/>
  <c r="J85" i="66"/>
  <c r="J31" i="66"/>
  <c r="J17" i="66"/>
  <c r="J20" i="66"/>
  <c r="J19" i="66"/>
  <c r="J86" i="66"/>
  <c r="J40" i="66"/>
  <c r="J51" i="66"/>
  <c r="J37" i="66"/>
  <c r="J87" i="66"/>
  <c r="J88" i="66"/>
  <c r="J89" i="66"/>
  <c r="J54" i="66"/>
  <c r="J90" i="66"/>
  <c r="J64" i="66"/>
  <c r="J55" i="66"/>
  <c r="J91" i="66"/>
  <c r="J92" i="66"/>
  <c r="J93" i="66"/>
  <c r="J94" i="66"/>
  <c r="J95" i="66"/>
  <c r="J96" i="66"/>
  <c r="J97" i="66"/>
  <c r="J46" i="66"/>
  <c r="J65" i="66"/>
  <c r="J72" i="66"/>
  <c r="J73" i="66"/>
  <c r="J56" i="66"/>
  <c r="J98" i="66"/>
  <c r="J35" i="66"/>
  <c r="J52" i="66"/>
  <c r="J38" i="66"/>
  <c r="J47" i="66"/>
  <c r="J33" i="66"/>
  <c r="J41" i="66"/>
  <c r="J66" i="66"/>
  <c r="J57" i="66"/>
  <c r="J67" i="66"/>
  <c r="J45" i="66"/>
  <c r="J74" i="66"/>
  <c r="J44" i="66"/>
  <c r="J39" i="66"/>
  <c r="J75" i="66"/>
  <c r="J34" i="66"/>
  <c r="J68" i="66"/>
  <c r="J69" i="66"/>
  <c r="J58" i="66"/>
  <c r="J60" i="66"/>
  <c r="J99" i="66"/>
  <c r="J100" i="66"/>
  <c r="J101" i="66"/>
  <c r="J102" i="66"/>
  <c r="J48" i="66"/>
  <c r="J103" i="66"/>
  <c r="J42" i="66"/>
  <c r="J104" i="66"/>
  <c r="J27" i="66"/>
  <c r="J105" i="66"/>
  <c r="J29" i="66"/>
  <c r="J10" i="66"/>
  <c r="C4" i="66"/>
  <c r="C9" i="66"/>
  <c r="C14" i="66"/>
  <c r="C8" i="66"/>
  <c r="C21" i="66"/>
  <c r="C7" i="66"/>
  <c r="C11" i="66"/>
  <c r="C13" i="66"/>
  <c r="C12" i="66"/>
  <c r="C5" i="66"/>
  <c r="C106" i="66" s="1"/>
  <c r="C18" i="66"/>
  <c r="C15" i="66"/>
  <c r="C6" i="66"/>
  <c r="C22" i="66"/>
  <c r="C23" i="66"/>
  <c r="C58" i="66"/>
  <c r="C31" i="66"/>
  <c r="C43" i="66"/>
  <c r="C28" i="66"/>
  <c r="C59" i="66"/>
  <c r="C48" i="66"/>
  <c r="C60" i="66"/>
  <c r="C30" i="66"/>
  <c r="C91" i="66"/>
  <c r="C19" i="66"/>
  <c r="C61" i="66"/>
  <c r="C62" i="66"/>
  <c r="C52" i="66"/>
  <c r="C63" i="66"/>
  <c r="C34" i="66"/>
  <c r="C51" i="66"/>
  <c r="C64" i="66"/>
  <c r="C65" i="66"/>
  <c r="C90" i="66"/>
  <c r="C89" i="66"/>
  <c r="C57" i="66"/>
  <c r="C39" i="66"/>
  <c r="C49" i="66"/>
  <c r="C45" i="66"/>
  <c r="C41" i="66"/>
  <c r="C24" i="66"/>
  <c r="C25" i="66"/>
  <c r="C66" i="66"/>
  <c r="C27" i="66"/>
  <c r="C17" i="66"/>
  <c r="C20" i="66"/>
  <c r="C16" i="66"/>
  <c r="C88" i="66"/>
  <c r="C96" i="66"/>
  <c r="C104" i="66"/>
  <c r="C33" i="66"/>
  <c r="C85" i="66"/>
  <c r="C67" i="66"/>
  <c r="C68" i="66"/>
  <c r="C98" i="66"/>
  <c r="C69" i="66"/>
  <c r="C54" i="66"/>
  <c r="C87" i="66"/>
  <c r="C70" i="66"/>
  <c r="C71" i="66"/>
  <c r="C72" i="66"/>
  <c r="C81" i="66"/>
  <c r="C82" i="66"/>
  <c r="C73" i="66"/>
  <c r="C74" i="66"/>
  <c r="C37" i="66"/>
  <c r="C42" i="66"/>
  <c r="C84" i="66"/>
  <c r="C53" i="66"/>
  <c r="C44" i="66"/>
  <c r="C83" i="66"/>
  <c r="C38" i="66"/>
  <c r="C105" i="66"/>
  <c r="C97" i="66"/>
  <c r="C100" i="66"/>
  <c r="C93" i="66"/>
  <c r="C86" i="66"/>
  <c r="C50" i="66"/>
  <c r="C95" i="66"/>
  <c r="C55" i="66"/>
  <c r="C99" i="66"/>
  <c r="C103" i="66"/>
  <c r="C94" i="66"/>
  <c r="C35" i="66"/>
  <c r="C56" i="66"/>
  <c r="C29" i="66"/>
  <c r="C46" i="66"/>
  <c r="C101" i="66"/>
  <c r="C102" i="66"/>
  <c r="C40" i="66"/>
  <c r="C75" i="66"/>
  <c r="C76" i="66"/>
  <c r="C77" i="66"/>
  <c r="C92" i="66"/>
  <c r="C47" i="66"/>
  <c r="C78" i="66"/>
  <c r="C32" i="66"/>
  <c r="C79" i="66"/>
  <c r="C36" i="66"/>
  <c r="C80" i="66"/>
  <c r="C26" i="66"/>
  <c r="C10" i="66"/>
  <c r="J4" i="63"/>
  <c r="J8" i="63"/>
  <c r="J13" i="63"/>
  <c r="J11" i="63"/>
  <c r="J23" i="63"/>
  <c r="J6" i="63"/>
  <c r="J9" i="63"/>
  <c r="J14" i="63"/>
  <c r="J12" i="63"/>
  <c r="J5" i="63"/>
  <c r="J17" i="63"/>
  <c r="J15" i="63"/>
  <c r="J7" i="63"/>
  <c r="J22" i="63"/>
  <c r="J24" i="63"/>
  <c r="J51" i="63"/>
  <c r="J31" i="63"/>
  <c r="J32" i="63"/>
  <c r="J28" i="63"/>
  <c r="J52" i="63"/>
  <c r="J53" i="63"/>
  <c r="J54" i="63"/>
  <c r="J29" i="63"/>
  <c r="J55" i="63"/>
  <c r="J16" i="63"/>
  <c r="J56" i="63"/>
  <c r="J57" i="63"/>
  <c r="J40" i="63"/>
  <c r="J58" i="63"/>
  <c r="J41" i="63"/>
  <c r="J59" i="63"/>
  <c r="J60" i="63"/>
  <c r="J61" i="63"/>
  <c r="J62" i="63"/>
  <c r="J63" i="63"/>
  <c r="J64" i="63"/>
  <c r="J65" i="63"/>
  <c r="J66" i="63"/>
  <c r="J42" i="63"/>
  <c r="J67" i="63"/>
  <c r="J26" i="63"/>
  <c r="J20" i="63"/>
  <c r="J68" i="63"/>
  <c r="J27" i="63"/>
  <c r="J18" i="63"/>
  <c r="J21" i="63"/>
  <c r="J19" i="63"/>
  <c r="J69" i="63"/>
  <c r="J34" i="63"/>
  <c r="J70" i="63"/>
  <c r="J35" i="63"/>
  <c r="J71" i="63"/>
  <c r="J72" i="63"/>
  <c r="J73" i="63"/>
  <c r="J36" i="63"/>
  <c r="J74" i="63"/>
  <c r="J75" i="63"/>
  <c r="J76" i="63"/>
  <c r="J77" i="63"/>
  <c r="J78" i="63"/>
  <c r="J79" i="63"/>
  <c r="J80" i="63"/>
  <c r="J81" i="63"/>
  <c r="J82" i="63"/>
  <c r="J83" i="63"/>
  <c r="J84" i="63"/>
  <c r="J85" i="63"/>
  <c r="J86" i="63"/>
  <c r="J87" i="63"/>
  <c r="J88" i="63"/>
  <c r="J89" i="63"/>
  <c r="J43" i="63"/>
  <c r="J44" i="63"/>
  <c r="J90" i="63"/>
  <c r="J91" i="63"/>
  <c r="J33" i="63"/>
  <c r="J37" i="63"/>
  <c r="J92" i="63"/>
  <c r="J45" i="63"/>
  <c r="J93" i="63"/>
  <c r="J94" i="63"/>
  <c r="J46" i="63"/>
  <c r="J30" i="63"/>
  <c r="J38" i="63"/>
  <c r="J95" i="63"/>
  <c r="J96" i="63"/>
  <c r="J97" i="63"/>
  <c r="J47" i="63"/>
  <c r="J48" i="63"/>
  <c r="J98" i="63"/>
  <c r="J99" i="63"/>
  <c r="J100" i="63"/>
  <c r="J101" i="63"/>
  <c r="J102" i="63"/>
  <c r="J49" i="63"/>
  <c r="J103" i="63"/>
  <c r="J50" i="63"/>
  <c r="J104" i="63"/>
  <c r="J39" i="63"/>
  <c r="J105" i="63"/>
  <c r="J25" i="63"/>
  <c r="J10" i="63"/>
  <c r="C18" i="63"/>
  <c r="C4" i="63"/>
  <c r="C106" i="63" s="1"/>
  <c r="C10" i="63"/>
  <c r="C12" i="63"/>
  <c r="C11" i="63"/>
  <c r="C24" i="63"/>
  <c r="C6" i="63"/>
  <c r="C8" i="63"/>
  <c r="C14" i="63"/>
  <c r="C13" i="63"/>
  <c r="C7" i="63"/>
  <c r="C16" i="63"/>
  <c r="C15" i="63"/>
  <c r="C5" i="63"/>
  <c r="C21" i="63"/>
  <c r="C23" i="63"/>
  <c r="C41" i="63"/>
  <c r="C30" i="63"/>
  <c r="C31" i="63"/>
  <c r="C28" i="63"/>
  <c r="C42" i="63"/>
  <c r="C78" i="63"/>
  <c r="C43" i="63"/>
  <c r="C29" i="63"/>
  <c r="C86" i="63"/>
  <c r="C17" i="63"/>
  <c r="C44" i="63"/>
  <c r="C45" i="63"/>
  <c r="C36" i="63"/>
  <c r="C46" i="63"/>
  <c r="C95" i="63"/>
  <c r="C47" i="63"/>
  <c r="C48" i="63"/>
  <c r="C49" i="63"/>
  <c r="C50" i="63"/>
  <c r="C87" i="63"/>
  <c r="C92" i="63"/>
  <c r="C79" i="63"/>
  <c r="C81" i="63"/>
  <c r="C35" i="63"/>
  <c r="C85" i="63"/>
  <c r="C25" i="63"/>
  <c r="C22" i="63"/>
  <c r="C51" i="63"/>
  <c r="C27" i="63"/>
  <c r="C20" i="63"/>
  <c r="C26" i="63"/>
  <c r="C19" i="63"/>
  <c r="C72" i="63"/>
  <c r="C103" i="63"/>
  <c r="C99" i="63"/>
  <c r="C32" i="63"/>
  <c r="C52" i="63"/>
  <c r="C53" i="63"/>
  <c r="C54" i="63"/>
  <c r="C101" i="63"/>
  <c r="C55" i="63"/>
  <c r="C88" i="63"/>
  <c r="C91" i="63"/>
  <c r="C56" i="63"/>
  <c r="C57" i="63"/>
  <c r="C58" i="63"/>
  <c r="C59" i="63"/>
  <c r="C76" i="63"/>
  <c r="C60" i="63"/>
  <c r="C61" i="63"/>
  <c r="C93" i="63"/>
  <c r="C62" i="63"/>
  <c r="C63" i="63"/>
  <c r="C64" i="63"/>
  <c r="C73" i="63"/>
  <c r="C71" i="63"/>
  <c r="C83" i="63"/>
  <c r="C104" i="63"/>
  <c r="C105" i="63"/>
  <c r="C94" i="63"/>
  <c r="C97" i="63"/>
  <c r="C37" i="63"/>
  <c r="C77" i="63"/>
  <c r="C102" i="63"/>
  <c r="C89" i="63"/>
  <c r="C100" i="63"/>
  <c r="C40" i="63"/>
  <c r="C98" i="63"/>
  <c r="C33" i="63"/>
  <c r="C75" i="63"/>
  <c r="C90" i="63"/>
  <c r="C82" i="63"/>
  <c r="C74" i="63"/>
  <c r="C96" i="63"/>
  <c r="C80" i="63"/>
  <c r="C65" i="63"/>
  <c r="C66" i="63"/>
  <c r="C67" i="63"/>
  <c r="C84" i="63"/>
  <c r="C39" i="63"/>
  <c r="C68" i="63"/>
  <c r="C38" i="63"/>
  <c r="C69" i="63"/>
  <c r="C34" i="63"/>
  <c r="C70" i="63"/>
  <c r="C9" i="63"/>
  <c r="AQ104" i="38"/>
  <c r="AW104" i="38" s="1"/>
  <c r="AR104" i="38"/>
  <c r="AS104" i="38"/>
  <c r="AT104" i="38"/>
  <c r="AU104" i="38"/>
  <c r="AV104" i="38" a="1"/>
  <c r="AV104" i="38" s="1"/>
  <c r="L104" i="38"/>
  <c r="U104" i="38"/>
  <c r="AD104" i="38" s="1"/>
  <c r="AO104" i="38" s="1"/>
  <c r="X104" i="38"/>
  <c r="AA104" i="38"/>
  <c r="AB104" i="38"/>
  <c r="AO116" i="38"/>
  <c r="AO108" i="38"/>
  <c r="AO3" i="38"/>
  <c r="AN127" i="38"/>
  <c r="AA28" i="3"/>
  <c r="T28" i="3"/>
  <c r="V28" i="3"/>
  <c r="AG17" i="3"/>
  <c r="AG28" i="3" s="1"/>
  <c r="AG21" i="3"/>
  <c r="AO4" i="38"/>
  <c r="AO5" i="38"/>
  <c r="AO6" i="38"/>
  <c r="AO7" i="38"/>
  <c r="AO8" i="38"/>
  <c r="AO9" i="38"/>
  <c r="AO10" i="38"/>
  <c r="AO11" i="38"/>
  <c r="AO12" i="38"/>
  <c r="AO13" i="38"/>
  <c r="AO14" i="38"/>
  <c r="AO15" i="38"/>
  <c r="AO16" i="38"/>
  <c r="AO17" i="38"/>
  <c r="AO18" i="38"/>
  <c r="AO19" i="38"/>
  <c r="AO20" i="38"/>
  <c r="AO21" i="38"/>
  <c r="AO22" i="38"/>
  <c r="AO23" i="38"/>
  <c r="AO24" i="38"/>
  <c r="AO25" i="38"/>
  <c r="AO26" i="38"/>
  <c r="AO27" i="38"/>
  <c r="AO28" i="38"/>
  <c r="AO29" i="38"/>
  <c r="AO30" i="38"/>
  <c r="AO31" i="38"/>
  <c r="AO32" i="38"/>
  <c r="AO33" i="38"/>
  <c r="AO34" i="38"/>
  <c r="AO35" i="38"/>
  <c r="AO36" i="38"/>
  <c r="AO37" i="38"/>
  <c r="AO38" i="38"/>
  <c r="AO39" i="38"/>
  <c r="AO40" i="38"/>
  <c r="AO41" i="38"/>
  <c r="AO42" i="38"/>
  <c r="AO43" i="38"/>
  <c r="AO44" i="38"/>
  <c r="AO45" i="38"/>
  <c r="AO46" i="38"/>
  <c r="AO47" i="38"/>
  <c r="AO48" i="38"/>
  <c r="AO49" i="38"/>
  <c r="AO50" i="38"/>
  <c r="AO51" i="38"/>
  <c r="AO52" i="38"/>
  <c r="AO53" i="38"/>
  <c r="AO54" i="38"/>
  <c r="AO55" i="38"/>
  <c r="AO56" i="38"/>
  <c r="AO57" i="38"/>
  <c r="AO58" i="38"/>
  <c r="AO59" i="38"/>
  <c r="AO60" i="38"/>
  <c r="AO61" i="38"/>
  <c r="AO62" i="38"/>
  <c r="AO63" i="38"/>
  <c r="AO64" i="38"/>
  <c r="AO65" i="38"/>
  <c r="AO66" i="38"/>
  <c r="AO67" i="38"/>
  <c r="AO68" i="38"/>
  <c r="AO69" i="38"/>
  <c r="AO70" i="38"/>
  <c r="AO71" i="38"/>
  <c r="AO72" i="38"/>
  <c r="AO73" i="38"/>
  <c r="AO74" i="38"/>
  <c r="AO75" i="38"/>
  <c r="AO76" i="38"/>
  <c r="AO77" i="38"/>
  <c r="AO78" i="38"/>
  <c r="AO79" i="38"/>
  <c r="AO80" i="38"/>
  <c r="AO81" i="38"/>
  <c r="AO82" i="38"/>
  <c r="AO83" i="38"/>
  <c r="AO84" i="38"/>
  <c r="AO85" i="38"/>
  <c r="AO86" i="38"/>
  <c r="AO87" i="38"/>
  <c r="AO88" i="38"/>
  <c r="AO89" i="38"/>
  <c r="AO90" i="38"/>
  <c r="AO91" i="38"/>
  <c r="AO92" i="38"/>
  <c r="AO93" i="38"/>
  <c r="AO94" i="38"/>
  <c r="AO95" i="38"/>
  <c r="AO96" i="38"/>
  <c r="AO97" i="38"/>
  <c r="AO98" i="38"/>
  <c r="AO99" i="38"/>
  <c r="AO100" i="38"/>
  <c r="AO101" i="38"/>
  <c r="AO102" i="38"/>
  <c r="AO103" i="38"/>
  <c r="AO112" i="38"/>
  <c r="AO123" i="38"/>
  <c r="Y28" i="3"/>
  <c r="AJ129" i="38" s="1"/>
  <c r="AB28" i="3"/>
  <c r="AO129" i="64"/>
  <c r="G105" i="67"/>
  <c r="G105" i="66"/>
  <c r="Z25" i="57"/>
  <c r="Y25" i="57"/>
  <c r="X25" i="57"/>
  <c r="W25" i="57"/>
  <c r="S25" i="57"/>
  <c r="G25" i="57"/>
  <c r="AA48" i="3"/>
  <c r="AB48" i="3"/>
  <c r="Y48" i="3"/>
  <c r="Y25" i="3"/>
  <c r="AD48" i="3"/>
  <c r="Z48" i="3"/>
  <c r="X48" i="3"/>
  <c r="W48" i="3"/>
  <c r="V48" i="3"/>
  <c r="T48" i="3"/>
  <c r="S48" i="3"/>
  <c r="G48" i="3"/>
  <c r="Z25" i="3"/>
  <c r="X25" i="3"/>
  <c r="W25" i="3"/>
  <c r="S25" i="3"/>
  <c r="G25" i="3"/>
  <c r="AB4" i="62"/>
  <c r="AB5" i="62"/>
  <c r="AB6" i="62"/>
  <c r="AB7" i="62"/>
  <c r="AB8" i="62"/>
  <c r="AB9" i="62"/>
  <c r="AB10" i="62"/>
  <c r="AB11" i="62"/>
  <c r="AB12" i="62"/>
  <c r="AB13" i="62"/>
  <c r="AB14" i="62"/>
  <c r="AB15" i="62"/>
  <c r="AB16" i="62"/>
  <c r="AB17" i="62"/>
  <c r="AB18" i="62"/>
  <c r="AB19" i="62"/>
  <c r="AB20" i="62"/>
  <c r="AB21" i="62"/>
  <c r="AB22" i="62"/>
  <c r="AB23" i="62"/>
  <c r="AB24" i="62"/>
  <c r="AB25" i="62"/>
  <c r="AB26" i="62"/>
  <c r="AB27" i="62"/>
  <c r="AB28" i="62"/>
  <c r="AB29" i="62"/>
  <c r="AB30" i="62"/>
  <c r="AB31" i="62"/>
  <c r="AB32" i="62"/>
  <c r="AB33" i="62"/>
  <c r="AB34" i="62"/>
  <c r="AB35" i="62"/>
  <c r="AB36" i="62"/>
  <c r="AB37" i="62"/>
  <c r="AB38" i="62"/>
  <c r="AB39" i="62"/>
  <c r="AB40" i="62"/>
  <c r="AB41" i="62"/>
  <c r="AB42" i="62"/>
  <c r="AB43" i="62"/>
  <c r="AB44" i="62"/>
  <c r="AB45" i="62"/>
  <c r="AB46" i="62"/>
  <c r="AB47" i="62"/>
  <c r="AB48" i="62"/>
  <c r="AB49" i="62"/>
  <c r="AB50" i="62"/>
  <c r="AB51" i="62"/>
  <c r="AB52" i="62"/>
  <c r="AB53" i="62"/>
  <c r="AB54" i="62"/>
  <c r="AB55" i="62"/>
  <c r="AB56" i="62"/>
  <c r="AB57" i="62"/>
  <c r="AB58" i="62"/>
  <c r="AB59" i="62"/>
  <c r="AB60" i="62"/>
  <c r="AB61" i="62"/>
  <c r="AB62" i="62"/>
  <c r="AB63" i="62"/>
  <c r="AB64" i="62"/>
  <c r="AB65" i="62"/>
  <c r="AB66" i="62"/>
  <c r="AB67" i="62"/>
  <c r="AB68" i="62"/>
  <c r="AB69" i="62"/>
  <c r="AB70" i="62"/>
  <c r="AB71" i="62"/>
  <c r="AB72" i="62"/>
  <c r="AB73" i="62"/>
  <c r="AB74" i="62"/>
  <c r="AB75" i="62"/>
  <c r="AB76" i="62"/>
  <c r="AB77" i="62"/>
  <c r="AB78" i="62"/>
  <c r="AB79" i="62"/>
  <c r="AB80" i="62"/>
  <c r="AB81" i="62"/>
  <c r="AB82" i="62"/>
  <c r="AB83" i="62"/>
  <c r="AB84" i="62"/>
  <c r="AB85" i="62"/>
  <c r="AB86" i="62"/>
  <c r="AB87" i="62"/>
  <c r="AB88" i="62"/>
  <c r="AB89" i="62"/>
  <c r="AB90" i="62"/>
  <c r="AB91" i="62"/>
  <c r="AB92" i="62"/>
  <c r="AB93" i="62"/>
  <c r="AB94" i="62"/>
  <c r="AB95" i="62"/>
  <c r="AB96" i="62"/>
  <c r="AB97" i="62"/>
  <c r="AB98" i="62"/>
  <c r="AB99" i="62"/>
  <c r="AB100" i="62"/>
  <c r="AB101" i="62"/>
  <c r="AB102" i="62"/>
  <c r="AB103" i="62"/>
  <c r="AB104" i="62"/>
  <c r="F7" i="69" l="1"/>
  <c r="E8" i="69"/>
  <c r="M4" i="69"/>
  <c r="G4" i="69" s="1"/>
  <c r="L5" i="69"/>
  <c r="AX48" i="68"/>
  <c r="AX58" i="68"/>
  <c r="AL110" i="68"/>
  <c r="AZ8" i="68"/>
  <c r="AX8" i="68"/>
  <c r="AZ20" i="68"/>
  <c r="AX20" i="68"/>
  <c r="AZ104" i="68"/>
  <c r="AX104" i="68"/>
  <c r="AZ18" i="68"/>
  <c r="AX18" i="68"/>
  <c r="AZ56" i="68"/>
  <c r="AX56" i="68"/>
  <c r="AZ22" i="68"/>
  <c r="AX22" i="68"/>
  <c r="AZ5" i="68"/>
  <c r="AX5" i="68"/>
  <c r="AZ45" i="68"/>
  <c r="AX45" i="68"/>
  <c r="AZ38" i="68"/>
  <c r="AX38" i="68"/>
  <c r="AZ13" i="68"/>
  <c r="AX13" i="68"/>
  <c r="AZ53" i="68"/>
  <c r="AX53" i="68"/>
  <c r="AZ55" i="68"/>
  <c r="AX55" i="68"/>
  <c r="AZ92" i="68"/>
  <c r="AX92" i="68"/>
  <c r="AZ23" i="68"/>
  <c r="AX23" i="68"/>
  <c r="AZ40" i="68"/>
  <c r="AX40" i="68"/>
  <c r="AZ71" i="68"/>
  <c r="AX71" i="68"/>
  <c r="AZ72" i="68"/>
  <c r="AX72" i="68"/>
  <c r="AZ49" i="68"/>
  <c r="AX49" i="68"/>
  <c r="AZ25" i="68"/>
  <c r="AX25" i="68"/>
  <c r="AX16" i="68"/>
  <c r="AZ16" i="68"/>
  <c r="AZ24" i="68"/>
  <c r="AX24" i="68"/>
  <c r="AZ68" i="68"/>
  <c r="AX68" i="68"/>
  <c r="AZ102" i="68"/>
  <c r="AX102" i="68"/>
  <c r="AZ12" i="68"/>
  <c r="AX12" i="68"/>
  <c r="AZ99" i="68"/>
  <c r="AX99" i="68"/>
  <c r="AZ11" i="68"/>
  <c r="AX11" i="68"/>
  <c r="AZ47" i="68"/>
  <c r="AX47" i="68"/>
  <c r="AZ44" i="68"/>
  <c r="AX44" i="68"/>
  <c r="AZ10" i="68"/>
  <c r="AX10" i="68"/>
  <c r="AZ21" i="68"/>
  <c r="AX21" i="68"/>
  <c r="AZ19" i="68"/>
  <c r="AX19" i="68"/>
  <c r="AZ39" i="68"/>
  <c r="AX39" i="68"/>
  <c r="AZ96" i="68"/>
  <c r="AX96" i="68"/>
  <c r="AZ33" i="68"/>
  <c r="AX33" i="68"/>
  <c r="AZ41" i="68"/>
  <c r="AX41" i="68"/>
  <c r="AZ60" i="68"/>
  <c r="AX60" i="68"/>
  <c r="AZ6" i="68"/>
  <c r="AX6" i="68"/>
  <c r="AZ84" i="68"/>
  <c r="AX84" i="68"/>
  <c r="AZ29" i="68"/>
  <c r="AX29" i="68"/>
  <c r="AZ52" i="68"/>
  <c r="AX52" i="68"/>
  <c r="AZ36" i="68"/>
  <c r="AX36" i="68"/>
  <c r="AO4" i="68"/>
  <c r="AV4" i="68" s="1" a="1"/>
  <c r="AV4" i="68" s="1"/>
  <c r="AZ27" i="68"/>
  <c r="AX27" i="68"/>
  <c r="AZ9" i="68"/>
  <c r="AX9" i="68"/>
  <c r="AZ73" i="68"/>
  <c r="AX73" i="68"/>
  <c r="AZ50" i="68"/>
  <c r="AX50" i="68"/>
  <c r="AZ63" i="68"/>
  <c r="AX63" i="68"/>
  <c r="AV3" i="68"/>
  <c r="AL130" i="68"/>
  <c r="AZ80" i="68"/>
  <c r="AX80" i="68"/>
  <c r="AX78" i="68"/>
  <c r="AZ78" i="68"/>
  <c r="AZ35" i="68"/>
  <c r="AX35" i="68"/>
  <c r="AZ30" i="68"/>
  <c r="AX30" i="68"/>
  <c r="AZ42" i="68"/>
  <c r="AX42" i="68"/>
  <c r="AZ51" i="68"/>
  <c r="AX51" i="68"/>
  <c r="AZ32" i="68"/>
  <c r="AX32" i="68"/>
  <c r="AZ57" i="68"/>
  <c r="AX57" i="68"/>
  <c r="AZ94" i="68"/>
  <c r="AX94" i="68"/>
  <c r="AZ31" i="68"/>
  <c r="AX31" i="68"/>
  <c r="AO28" i="68"/>
  <c r="AZ7" i="68"/>
  <c r="AX7" i="68"/>
  <c r="AZ46" i="68"/>
  <c r="AX46" i="68"/>
  <c r="AZ88" i="68"/>
  <c r="AX88" i="68"/>
  <c r="L110" i="68"/>
  <c r="L131" i="68" s="1"/>
  <c r="D92" i="66"/>
  <c r="D32" i="66"/>
  <c r="D28" i="66"/>
  <c r="D24" i="66"/>
  <c r="D20" i="66"/>
  <c r="D16" i="66"/>
  <c r="D4" i="66"/>
  <c r="D12" i="66"/>
  <c r="D8" i="66"/>
  <c r="D98" i="66"/>
  <c r="D90" i="66"/>
  <c r="D82" i="66"/>
  <c r="D74" i="66"/>
  <c r="D66" i="66"/>
  <c r="D58" i="66"/>
  <c r="D50" i="66"/>
  <c r="D42" i="66"/>
  <c r="D34" i="66"/>
  <c r="D26" i="66"/>
  <c r="D18" i="66"/>
  <c r="D10" i="66"/>
  <c r="K66" i="66"/>
  <c r="J106" i="66"/>
  <c r="K84" i="66" s="1"/>
  <c r="K36" i="66"/>
  <c r="K52" i="66"/>
  <c r="K21" i="66"/>
  <c r="K30" i="66"/>
  <c r="K99" i="66"/>
  <c r="K73" i="66"/>
  <c r="K57" i="66"/>
  <c r="K104" i="66"/>
  <c r="K88" i="66"/>
  <c r="K40" i="66"/>
  <c r="K13" i="66"/>
  <c r="K83" i="66"/>
  <c r="K22" i="66"/>
  <c r="K63" i="66"/>
  <c r="K47" i="66"/>
  <c r="K69" i="66"/>
  <c r="K11" i="66"/>
  <c r="K78" i="66"/>
  <c r="K70" i="66"/>
  <c r="K62" i="66"/>
  <c r="K54" i="66"/>
  <c r="K46" i="66"/>
  <c r="K38" i="66"/>
  <c r="K31" i="66"/>
  <c r="K24" i="66"/>
  <c r="K5" i="66"/>
  <c r="K29" i="66"/>
  <c r="K23" i="66"/>
  <c r="K16" i="66"/>
  <c r="K91" i="66"/>
  <c r="K67" i="66"/>
  <c r="K43" i="66"/>
  <c r="K9" i="66"/>
  <c r="K18" i="66"/>
  <c r="K10" i="66"/>
  <c r="D36" i="66"/>
  <c r="D56" i="66"/>
  <c r="D76" i="66"/>
  <c r="D100" i="66"/>
  <c r="D7" i="66"/>
  <c r="D11" i="66"/>
  <c r="D15" i="66"/>
  <c r="D19" i="66"/>
  <c r="D23" i="66"/>
  <c r="D27" i="66"/>
  <c r="D31" i="66"/>
  <c r="D35" i="66"/>
  <c r="D39" i="66"/>
  <c r="D43" i="66"/>
  <c r="D47" i="66"/>
  <c r="D51" i="66"/>
  <c r="D55" i="66"/>
  <c r="D59" i="66"/>
  <c r="D63" i="66"/>
  <c r="D67" i="66"/>
  <c r="D71" i="66"/>
  <c r="D75" i="66"/>
  <c r="D79" i="66"/>
  <c r="D83" i="66"/>
  <c r="D87" i="66"/>
  <c r="D91" i="66"/>
  <c r="D95" i="66"/>
  <c r="D99" i="66"/>
  <c r="D44" i="66"/>
  <c r="D84" i="66"/>
  <c r="D105" i="66"/>
  <c r="D48" i="66"/>
  <c r="D64" i="66"/>
  <c r="D80" i="66"/>
  <c r="D96" i="66"/>
  <c r="D5" i="66"/>
  <c r="D9" i="66"/>
  <c r="D13" i="66"/>
  <c r="D17" i="66"/>
  <c r="D21" i="66"/>
  <c r="D25" i="66"/>
  <c r="D29" i="66"/>
  <c r="D33" i="66"/>
  <c r="D37" i="66"/>
  <c r="D41" i="66"/>
  <c r="D45" i="66"/>
  <c r="D49" i="66"/>
  <c r="D53" i="66"/>
  <c r="D57" i="66"/>
  <c r="D61" i="66"/>
  <c r="D65" i="66"/>
  <c r="D69" i="66"/>
  <c r="D73" i="66"/>
  <c r="D77" i="66"/>
  <c r="D81" i="66"/>
  <c r="D85" i="66"/>
  <c r="D89" i="66"/>
  <c r="D93" i="66"/>
  <c r="D97" i="66"/>
  <c r="D101" i="66"/>
  <c r="D40" i="66"/>
  <c r="D60" i="66"/>
  <c r="D72" i="66"/>
  <c r="D88" i="66"/>
  <c r="D103" i="66"/>
  <c r="D6" i="66"/>
  <c r="D14" i="66"/>
  <c r="D22" i="66"/>
  <c r="D30" i="66"/>
  <c r="D38" i="66"/>
  <c r="D46" i="66"/>
  <c r="D54" i="66"/>
  <c r="D62" i="66"/>
  <c r="D70" i="66"/>
  <c r="D78" i="66"/>
  <c r="D86" i="66"/>
  <c r="D94" i="66"/>
  <c r="D102" i="66"/>
  <c r="D52" i="66"/>
  <c r="D68" i="66"/>
  <c r="J106" i="63"/>
  <c r="E4" i="66"/>
  <c r="F4" i="66" s="1"/>
  <c r="AZ104" i="38"/>
  <c r="AX104" i="38"/>
  <c r="AF104" i="38"/>
  <c r="D104" i="66"/>
  <c r="U104" i="62"/>
  <c r="AD104" i="62" s="1"/>
  <c r="X104" i="62"/>
  <c r="AA104" i="62"/>
  <c r="M5" i="69" l="1"/>
  <c r="G5" i="69" s="1"/>
  <c r="L6" i="69"/>
  <c r="F8" i="69"/>
  <c r="E9" i="69"/>
  <c r="AZ3" i="68"/>
  <c r="AX3" i="68"/>
  <c r="AO110" i="68"/>
  <c r="AO131" i="68" s="1"/>
  <c r="AO130" i="68"/>
  <c r="AV28" i="68"/>
  <c r="AZ4" i="68"/>
  <c r="AX4" i="68"/>
  <c r="K45" i="66"/>
  <c r="K55" i="66"/>
  <c r="K106" i="66" s="1"/>
  <c r="K51" i="66"/>
  <c r="K32" i="66"/>
  <c r="K96" i="66"/>
  <c r="K65" i="66"/>
  <c r="K4" i="66"/>
  <c r="K105" i="66"/>
  <c r="K60" i="66"/>
  <c r="K74" i="66"/>
  <c r="K82" i="66"/>
  <c r="K86" i="66"/>
  <c r="K93" i="66"/>
  <c r="K71" i="66"/>
  <c r="K17" i="66"/>
  <c r="K48" i="66"/>
  <c r="K14" i="66"/>
  <c r="K81" i="66"/>
  <c r="K53" i="66"/>
  <c r="K12" i="66"/>
  <c r="K26" i="66"/>
  <c r="K90" i="66"/>
  <c r="K94" i="66"/>
  <c r="K6" i="66"/>
  <c r="K79" i="66"/>
  <c r="K37" i="66"/>
  <c r="K56" i="66"/>
  <c r="K27" i="66"/>
  <c r="K89" i="66"/>
  <c r="K77" i="66"/>
  <c r="K76" i="66"/>
  <c r="K34" i="66"/>
  <c r="K98" i="66"/>
  <c r="K102" i="66"/>
  <c r="K19" i="66"/>
  <c r="K87" i="66"/>
  <c r="K61" i="66"/>
  <c r="K64" i="66"/>
  <c r="K33" i="66"/>
  <c r="K97" i="66"/>
  <c r="K101" i="66"/>
  <c r="K92" i="66"/>
  <c r="K42" i="66"/>
  <c r="K20" i="66"/>
  <c r="K35" i="66"/>
  <c r="K25" i="66"/>
  <c r="K95" i="66"/>
  <c r="K85" i="66"/>
  <c r="K72" i="66"/>
  <c r="K41" i="66"/>
  <c r="K28" i="66"/>
  <c r="K8" i="66"/>
  <c r="K44" i="66"/>
  <c r="K50" i="66"/>
  <c r="K68" i="66"/>
  <c r="K75" i="66"/>
  <c r="K39" i="66"/>
  <c r="K103" i="66"/>
  <c r="K7" i="66"/>
  <c r="K80" i="66"/>
  <c r="K49" i="66"/>
  <c r="K59" i="66"/>
  <c r="K15" i="66"/>
  <c r="K100" i="66"/>
  <c r="K58" i="66"/>
  <c r="L4" i="66"/>
  <c r="L5" i="66" s="1"/>
  <c r="D106" i="66"/>
  <c r="E5" i="66"/>
  <c r="F5" i="66" s="1"/>
  <c r="U99" i="62"/>
  <c r="AD99" i="62" s="1"/>
  <c r="AA99" i="62"/>
  <c r="U100" i="62"/>
  <c r="AD100" i="62" s="1"/>
  <c r="X100" i="62"/>
  <c r="AA100" i="62"/>
  <c r="U101" i="62"/>
  <c r="AD101" i="62" s="1"/>
  <c r="AA102" i="62"/>
  <c r="X103" i="62"/>
  <c r="AA103" i="62"/>
  <c r="F9" i="69" l="1"/>
  <c r="E10" i="69"/>
  <c r="M6" i="69"/>
  <c r="G6" i="69" s="1"/>
  <c r="L7" i="69"/>
  <c r="AZ28" i="68"/>
  <c r="AZ110" i="68" s="1"/>
  <c r="AZ131" i="68" s="1"/>
  <c r="AX28" i="68"/>
  <c r="AX109" i="68" s="1"/>
  <c r="AV109" i="68"/>
  <c r="M4" i="66"/>
  <c r="E6" i="66"/>
  <c r="F6" i="66"/>
  <c r="E7" i="66"/>
  <c r="M5" i="66"/>
  <c r="G5" i="66" s="1"/>
  <c r="L6" i="66"/>
  <c r="U103" i="62"/>
  <c r="AD103" i="62" s="1"/>
  <c r="U102" i="62"/>
  <c r="AD102" i="62" s="1"/>
  <c r="X101" i="62"/>
  <c r="X99" i="62"/>
  <c r="X102" i="62"/>
  <c r="AA101" i="62"/>
  <c r="L8" i="69" l="1"/>
  <c r="M7" i="69"/>
  <c r="G7" i="69" s="1"/>
  <c r="F10" i="69"/>
  <c r="E11" i="69"/>
  <c r="M6" i="66"/>
  <c r="L7" i="66"/>
  <c r="E8" i="66"/>
  <c r="F7" i="66"/>
  <c r="U49" i="62"/>
  <c r="AD49" i="62" s="1"/>
  <c r="X49" i="62"/>
  <c r="AA49" i="62"/>
  <c r="U50" i="62"/>
  <c r="AD50" i="62" s="1"/>
  <c r="X50" i="62"/>
  <c r="AA50" i="62"/>
  <c r="X51" i="62"/>
  <c r="U52" i="62"/>
  <c r="AD52" i="62" s="1"/>
  <c r="X52" i="62"/>
  <c r="U53" i="62"/>
  <c r="AD53" i="62" s="1"/>
  <c r="X53" i="62"/>
  <c r="U54" i="62"/>
  <c r="AD54" i="62" s="1"/>
  <c r="X54" i="62"/>
  <c r="AA54" i="62"/>
  <c r="U55" i="62"/>
  <c r="AD55" i="62" s="1"/>
  <c r="X55" i="62"/>
  <c r="U56" i="62"/>
  <c r="AD56" i="62" s="1"/>
  <c r="X58" i="62"/>
  <c r="AA58" i="62"/>
  <c r="X59" i="62"/>
  <c r="U60" i="62"/>
  <c r="AD60" i="62" s="1"/>
  <c r="X62" i="62"/>
  <c r="AA62" i="62"/>
  <c r="U63" i="62"/>
  <c r="AD63" i="62" s="1"/>
  <c r="X63" i="62"/>
  <c r="U64" i="62"/>
  <c r="AD64" i="62" s="1"/>
  <c r="X65" i="62"/>
  <c r="AA66" i="62"/>
  <c r="X67" i="62"/>
  <c r="U68" i="62"/>
  <c r="AD68" i="62" s="1"/>
  <c r="X68" i="62"/>
  <c r="AA68" i="62"/>
  <c r="AA69" i="62"/>
  <c r="AA70" i="62"/>
  <c r="U71" i="62"/>
  <c r="AD71" i="62" s="1"/>
  <c r="X71" i="62"/>
  <c r="X74" i="62"/>
  <c r="AA74" i="62"/>
  <c r="E12" i="69" l="1"/>
  <c r="F11" i="69"/>
  <c r="L9" i="69"/>
  <c r="M8" i="69"/>
  <c r="G8" i="69" s="1"/>
  <c r="E9" i="66"/>
  <c r="F8" i="66"/>
  <c r="L8" i="66"/>
  <c r="M7" i="66"/>
  <c r="U72" i="62"/>
  <c r="AD72" i="62" s="1"/>
  <c r="U67" i="62"/>
  <c r="AD67" i="62" s="1"/>
  <c r="U59" i="62"/>
  <c r="AD59" i="62" s="1"/>
  <c r="AA53" i="62"/>
  <c r="U51" i="62"/>
  <c r="AD51" i="62" s="1"/>
  <c r="AA73" i="62"/>
  <c r="X70" i="62"/>
  <c r="X66" i="62"/>
  <c r="AA65" i="62"/>
  <c r="AA61" i="62"/>
  <c r="AA57" i="62"/>
  <c r="U58" i="62"/>
  <c r="AD58" i="62" s="1"/>
  <c r="AA72" i="62"/>
  <c r="U70" i="62"/>
  <c r="AD70" i="62" s="1"/>
  <c r="X69" i="62"/>
  <c r="U66" i="62"/>
  <c r="AD66" i="62" s="1"/>
  <c r="AA64" i="62"/>
  <c r="U62" i="62"/>
  <c r="AD62" i="62" s="1"/>
  <c r="X61" i="62"/>
  <c r="AA60" i="62"/>
  <c r="X57" i="62"/>
  <c r="AA56" i="62"/>
  <c r="AA52" i="62"/>
  <c r="X73" i="62"/>
  <c r="U57" i="62"/>
  <c r="AD57" i="62" s="1"/>
  <c r="U74" i="62"/>
  <c r="AD74" i="62" s="1"/>
  <c r="U73" i="62"/>
  <c r="AD73" i="62" s="1"/>
  <c r="X72" i="62"/>
  <c r="AA71" i="62"/>
  <c r="U69" i="62"/>
  <c r="AD69" i="62" s="1"/>
  <c r="AA67" i="62"/>
  <c r="U65" i="62"/>
  <c r="AD65" i="62" s="1"/>
  <c r="X64" i="62"/>
  <c r="AA63" i="62"/>
  <c r="U61" i="62"/>
  <c r="AD61" i="62" s="1"/>
  <c r="X60" i="62"/>
  <c r="AA59" i="62"/>
  <c r="X56" i="62"/>
  <c r="AA55" i="62"/>
  <c r="AA51" i="62"/>
  <c r="X89" i="62"/>
  <c r="AA89" i="62"/>
  <c r="X90" i="62"/>
  <c r="U91" i="62"/>
  <c r="AD91" i="62" s="1"/>
  <c r="X91" i="62"/>
  <c r="X93" i="62"/>
  <c r="X35" i="62"/>
  <c r="U36" i="62"/>
  <c r="AD36" i="62" s="1"/>
  <c r="X36" i="62"/>
  <c r="AA36" i="62"/>
  <c r="X38" i="62"/>
  <c r="U39" i="62"/>
  <c r="AD39" i="62" s="1"/>
  <c r="AA39" i="62"/>
  <c r="U40" i="62"/>
  <c r="AD40" i="62" s="1"/>
  <c r="M9" i="69" l="1"/>
  <c r="G9" i="69" s="1"/>
  <c r="L10" i="69"/>
  <c r="E13" i="69"/>
  <c r="F12" i="69"/>
  <c r="F9" i="66"/>
  <c r="E10" i="66"/>
  <c r="M8" i="66"/>
  <c r="L9" i="66"/>
  <c r="U38" i="62"/>
  <c r="AD38" i="62" s="1"/>
  <c r="X37" i="62"/>
  <c r="U93" i="62"/>
  <c r="AD93" i="62" s="1"/>
  <c r="X92" i="62"/>
  <c r="AA91" i="62"/>
  <c r="U89" i="62"/>
  <c r="AD89" i="62" s="1"/>
  <c r="AA40" i="62"/>
  <c r="U37" i="62"/>
  <c r="AD37" i="62" s="1"/>
  <c r="AA35" i="62"/>
  <c r="U92" i="62"/>
  <c r="AD92" i="62" s="1"/>
  <c r="AA90" i="62"/>
  <c r="AA93" i="62"/>
  <c r="X40" i="62"/>
  <c r="AA38" i="62"/>
  <c r="X39" i="62"/>
  <c r="AA37" i="62"/>
  <c r="U35" i="62"/>
  <c r="AD35" i="62" s="1"/>
  <c r="AA92" i="62"/>
  <c r="U90" i="62"/>
  <c r="AD90" i="62" s="1"/>
  <c r="F13" i="69" l="1"/>
  <c r="E14" i="69"/>
  <c r="M10" i="69"/>
  <c r="G10" i="69" s="1"/>
  <c r="L11" i="69"/>
  <c r="L10" i="66"/>
  <c r="M9" i="66"/>
  <c r="F10" i="66"/>
  <c r="E11" i="66"/>
  <c r="U4" i="62"/>
  <c r="AD4" i="62" s="1"/>
  <c r="X4" i="62"/>
  <c r="AA4" i="62"/>
  <c r="U5" i="62"/>
  <c r="AD5" i="62" s="1"/>
  <c r="X5" i="62"/>
  <c r="AA5" i="62"/>
  <c r="U6" i="62"/>
  <c r="AD6" i="62" s="1"/>
  <c r="X6" i="62"/>
  <c r="AA6" i="62"/>
  <c r="U7" i="62"/>
  <c r="AD7" i="62" s="1"/>
  <c r="X7" i="62"/>
  <c r="AA7" i="62"/>
  <c r="U8" i="62"/>
  <c r="AD8" i="62" s="1"/>
  <c r="X8" i="62"/>
  <c r="AA8" i="62"/>
  <c r="U9" i="62"/>
  <c r="AD9" i="62" s="1"/>
  <c r="X9" i="62"/>
  <c r="AA9" i="62"/>
  <c r="U10" i="62"/>
  <c r="AD10" i="62" s="1"/>
  <c r="X10" i="62"/>
  <c r="AA10" i="62"/>
  <c r="U11" i="62"/>
  <c r="AD11" i="62" s="1"/>
  <c r="X11" i="62"/>
  <c r="AA11" i="62"/>
  <c r="U12" i="62"/>
  <c r="AD12" i="62" s="1"/>
  <c r="X12" i="62"/>
  <c r="AA12" i="62"/>
  <c r="U13" i="62"/>
  <c r="AD13" i="62" s="1"/>
  <c r="X13" i="62"/>
  <c r="AA13" i="62"/>
  <c r="U14" i="62"/>
  <c r="AD14" i="62" s="1"/>
  <c r="X14" i="62"/>
  <c r="AA14" i="62"/>
  <c r="U15" i="62"/>
  <c r="AD15" i="62" s="1"/>
  <c r="X15" i="62"/>
  <c r="AA15" i="62"/>
  <c r="U16" i="62"/>
  <c r="AD16" i="62" s="1"/>
  <c r="X16" i="62"/>
  <c r="AA16" i="62"/>
  <c r="U17" i="62"/>
  <c r="AD17" i="62" s="1"/>
  <c r="X17" i="62"/>
  <c r="AA17" i="62"/>
  <c r="U18" i="62"/>
  <c r="AD18" i="62" s="1"/>
  <c r="X18" i="62"/>
  <c r="AA18" i="62"/>
  <c r="U19" i="62"/>
  <c r="AD19" i="62" s="1"/>
  <c r="X19" i="62"/>
  <c r="AA19" i="62"/>
  <c r="U20" i="62"/>
  <c r="AD20" i="62" s="1"/>
  <c r="X20" i="62"/>
  <c r="AA20" i="62"/>
  <c r="U21" i="62"/>
  <c r="AD21" i="62" s="1"/>
  <c r="X21" i="62"/>
  <c r="AA21" i="62"/>
  <c r="U22" i="62"/>
  <c r="AD22" i="62" s="1"/>
  <c r="X22" i="62"/>
  <c r="AA22" i="62"/>
  <c r="U23" i="62"/>
  <c r="AD23" i="62" s="1"/>
  <c r="X23" i="62"/>
  <c r="AA23" i="62"/>
  <c r="U24" i="62"/>
  <c r="AD24" i="62" s="1"/>
  <c r="X24" i="62"/>
  <c r="AA24" i="62"/>
  <c r="U25" i="62"/>
  <c r="AD25" i="62" s="1"/>
  <c r="X25" i="62"/>
  <c r="AA25" i="62"/>
  <c r="U26" i="62"/>
  <c r="AD26" i="62" s="1"/>
  <c r="X26" i="62"/>
  <c r="AA26" i="62"/>
  <c r="U27" i="62"/>
  <c r="AD27" i="62" s="1"/>
  <c r="X27" i="62"/>
  <c r="AA27" i="62"/>
  <c r="U28" i="62"/>
  <c r="AD28" i="62" s="1"/>
  <c r="X28" i="62"/>
  <c r="AA28" i="62"/>
  <c r="U29" i="62"/>
  <c r="AD29" i="62" s="1"/>
  <c r="X29" i="62"/>
  <c r="AA29" i="62"/>
  <c r="U30" i="62"/>
  <c r="AD30" i="62" s="1"/>
  <c r="X30" i="62"/>
  <c r="AA30" i="62"/>
  <c r="U31" i="62"/>
  <c r="AD31" i="62" s="1"/>
  <c r="X31" i="62"/>
  <c r="AA31" i="62"/>
  <c r="U32" i="62"/>
  <c r="AD32" i="62" s="1"/>
  <c r="X32" i="62"/>
  <c r="AA32" i="62"/>
  <c r="U33" i="62"/>
  <c r="AD33" i="62" s="1"/>
  <c r="X33" i="62"/>
  <c r="AA33" i="62"/>
  <c r="U34" i="62"/>
  <c r="AD34" i="62" s="1"/>
  <c r="X34" i="62"/>
  <c r="AA34" i="62"/>
  <c r="U41" i="62"/>
  <c r="AD41" i="62" s="1"/>
  <c r="X41" i="62"/>
  <c r="AA41" i="62"/>
  <c r="U42" i="62"/>
  <c r="AD42" i="62" s="1"/>
  <c r="X42" i="62"/>
  <c r="AA42" i="62"/>
  <c r="U43" i="62"/>
  <c r="AD43" i="62" s="1"/>
  <c r="X43" i="62"/>
  <c r="AA43" i="62"/>
  <c r="U44" i="62"/>
  <c r="AD44" i="62" s="1"/>
  <c r="X44" i="62"/>
  <c r="AA44" i="62"/>
  <c r="U45" i="62"/>
  <c r="AD45" i="62" s="1"/>
  <c r="X45" i="62"/>
  <c r="AA45" i="62"/>
  <c r="U46" i="62"/>
  <c r="AD46" i="62" s="1"/>
  <c r="X46" i="62"/>
  <c r="AA46" i="62"/>
  <c r="U47" i="62"/>
  <c r="AD47" i="62" s="1"/>
  <c r="X47" i="62"/>
  <c r="AA47" i="62"/>
  <c r="U48" i="62"/>
  <c r="AD48" i="62" s="1"/>
  <c r="X48" i="62"/>
  <c r="AA48" i="62"/>
  <c r="U75" i="62"/>
  <c r="AD75" i="62" s="1"/>
  <c r="X75" i="62"/>
  <c r="AA75" i="62"/>
  <c r="U76" i="62"/>
  <c r="AD76" i="62" s="1"/>
  <c r="X76" i="62"/>
  <c r="AA76" i="62"/>
  <c r="U77" i="62"/>
  <c r="AD77" i="62" s="1"/>
  <c r="X77" i="62"/>
  <c r="AA77" i="62"/>
  <c r="U78" i="62"/>
  <c r="AD78" i="62" s="1"/>
  <c r="X78" i="62"/>
  <c r="AA78" i="62"/>
  <c r="U79" i="62"/>
  <c r="AD79" i="62" s="1"/>
  <c r="X79" i="62"/>
  <c r="AA79" i="62"/>
  <c r="U80" i="62"/>
  <c r="AD80" i="62" s="1"/>
  <c r="X80" i="62"/>
  <c r="AA80" i="62"/>
  <c r="U81" i="62"/>
  <c r="AD81" i="62" s="1"/>
  <c r="X81" i="62"/>
  <c r="AA81" i="62"/>
  <c r="U82" i="62"/>
  <c r="AD82" i="62" s="1"/>
  <c r="X82" i="62"/>
  <c r="AA82" i="62"/>
  <c r="U83" i="62"/>
  <c r="AD83" i="62" s="1"/>
  <c r="X83" i="62"/>
  <c r="AA83" i="62"/>
  <c r="U84" i="62"/>
  <c r="AD84" i="62" s="1"/>
  <c r="X84" i="62"/>
  <c r="AA84" i="62"/>
  <c r="U85" i="62"/>
  <c r="AD85" i="62" s="1"/>
  <c r="X85" i="62"/>
  <c r="AA85" i="62"/>
  <c r="U86" i="62"/>
  <c r="AD86" i="62" s="1"/>
  <c r="X86" i="62"/>
  <c r="AA86" i="62"/>
  <c r="U87" i="62"/>
  <c r="AD87" i="62" s="1"/>
  <c r="X87" i="62"/>
  <c r="AA87" i="62"/>
  <c r="U88" i="62"/>
  <c r="AD88" i="62" s="1"/>
  <c r="X88" i="62"/>
  <c r="AA88" i="62"/>
  <c r="U94" i="62"/>
  <c r="AD94" i="62" s="1"/>
  <c r="X94" i="62"/>
  <c r="AA94" i="62"/>
  <c r="U95" i="62"/>
  <c r="AD95" i="62" s="1"/>
  <c r="X95" i="62"/>
  <c r="AA95" i="62"/>
  <c r="U96" i="62"/>
  <c r="AD96" i="62" s="1"/>
  <c r="X96" i="62"/>
  <c r="AA96" i="62"/>
  <c r="U97" i="62"/>
  <c r="AD97" i="62" s="1"/>
  <c r="X97" i="62"/>
  <c r="AA97" i="62"/>
  <c r="U98" i="62"/>
  <c r="AD98" i="62" s="1"/>
  <c r="X98" i="62"/>
  <c r="AA98" i="62"/>
  <c r="M11" i="69" l="1"/>
  <c r="G11" i="69" s="1"/>
  <c r="L12" i="69"/>
  <c r="F14" i="69"/>
  <c r="E15" i="69"/>
  <c r="G8" i="66"/>
  <c r="F11" i="66"/>
  <c r="E12" i="66"/>
  <c r="M10" i="66"/>
  <c r="L11" i="66"/>
  <c r="AJ10" i="62"/>
  <c r="AJ28" i="62"/>
  <c r="AI10" i="62"/>
  <c r="AI28" i="62"/>
  <c r="AJ19" i="38"/>
  <c r="AJ26" i="38"/>
  <c r="AJ27" i="38"/>
  <c r="AJ29" i="38"/>
  <c r="AJ30" i="38"/>
  <c r="AJ35" i="38"/>
  <c r="AJ36" i="38"/>
  <c r="AJ43" i="38"/>
  <c r="AJ44" i="38"/>
  <c r="AJ57" i="38"/>
  <c r="AJ59" i="38"/>
  <c r="AJ66" i="38"/>
  <c r="AJ67" i="38"/>
  <c r="AJ74" i="38"/>
  <c r="AJ75" i="38"/>
  <c r="AJ78" i="38"/>
  <c r="AJ87" i="38"/>
  <c r="AJ88" i="38"/>
  <c r="AJ89" i="38"/>
  <c r="AJ96" i="38"/>
  <c r="AJ103" i="38"/>
  <c r="AI103" i="38"/>
  <c r="AI102" i="38"/>
  <c r="AI101" i="38"/>
  <c r="AI100" i="38"/>
  <c r="AI99" i="38"/>
  <c r="AI98" i="38"/>
  <c r="AI97" i="38"/>
  <c r="AI96" i="38"/>
  <c r="AI95" i="38"/>
  <c r="AI94" i="38"/>
  <c r="AI93" i="38"/>
  <c r="AI91" i="38"/>
  <c r="AI90" i="38"/>
  <c r="AI89" i="38"/>
  <c r="AI88" i="38"/>
  <c r="AI87" i="38"/>
  <c r="AI85" i="38"/>
  <c r="AI83" i="38"/>
  <c r="AI81" i="38"/>
  <c r="AI80" i="38"/>
  <c r="AI78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7" i="38"/>
  <c r="AI56" i="38"/>
  <c r="AI55" i="38"/>
  <c r="AI54" i="38"/>
  <c r="AI52" i="38"/>
  <c r="AI51" i="38"/>
  <c r="AI50" i="38"/>
  <c r="AI49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7" i="38"/>
  <c r="AI25" i="38"/>
  <c r="AI24" i="38"/>
  <c r="AI23" i="38"/>
  <c r="AI22" i="38"/>
  <c r="AI21" i="38"/>
  <c r="AI20" i="38"/>
  <c r="AI19" i="38"/>
  <c r="AI12" i="38"/>
  <c r="AI11" i="38"/>
  <c r="AI9" i="38"/>
  <c r="AI8" i="38"/>
  <c r="AI7" i="38"/>
  <c r="AH104" i="38"/>
  <c r="AH103" i="38"/>
  <c r="AH102" i="38"/>
  <c r="AH101" i="38"/>
  <c r="AH100" i="38"/>
  <c r="AH99" i="38"/>
  <c r="AH98" i="38"/>
  <c r="AH97" i="38"/>
  <c r="AH96" i="38"/>
  <c r="AH95" i="38"/>
  <c r="AH94" i="38"/>
  <c r="AH93" i="38"/>
  <c r="AH92" i="38"/>
  <c r="AH91" i="38"/>
  <c r="AH90" i="38"/>
  <c r="AH89" i="38"/>
  <c r="AH88" i="38"/>
  <c r="AH87" i="38"/>
  <c r="AH86" i="38"/>
  <c r="AH85" i="38"/>
  <c r="AH84" i="38"/>
  <c r="AH83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H66" i="38"/>
  <c r="AH65" i="38"/>
  <c r="AH64" i="38"/>
  <c r="AH63" i="38"/>
  <c r="AH62" i="38"/>
  <c r="AH61" i="38"/>
  <c r="AH60" i="38"/>
  <c r="AH59" i="38"/>
  <c r="AH58" i="38"/>
  <c r="AH57" i="38"/>
  <c r="AH56" i="38"/>
  <c r="AH55" i="38"/>
  <c r="AH54" i="38"/>
  <c r="AH53" i="38"/>
  <c r="AH52" i="38"/>
  <c r="AH51" i="38"/>
  <c r="AH50" i="38"/>
  <c r="AH49" i="38"/>
  <c r="AH48" i="38"/>
  <c r="AH47" i="38"/>
  <c r="AH46" i="38"/>
  <c r="AH45" i="38"/>
  <c r="AH44" i="38"/>
  <c r="AH43" i="38"/>
  <c r="AH42" i="38"/>
  <c r="AH41" i="38"/>
  <c r="AH40" i="38"/>
  <c r="AH39" i="38"/>
  <c r="AH38" i="38"/>
  <c r="AH37" i="38"/>
  <c r="AH36" i="38"/>
  <c r="AH35" i="38"/>
  <c r="AH34" i="38"/>
  <c r="AH32" i="38"/>
  <c r="AH31" i="38"/>
  <c r="AH30" i="38"/>
  <c r="AH29" i="38"/>
  <c r="AH28" i="38"/>
  <c r="AH27" i="38"/>
  <c r="AH26" i="38"/>
  <c r="AH25" i="38"/>
  <c r="AH24" i="38"/>
  <c r="AH23" i="38"/>
  <c r="AH22" i="38"/>
  <c r="AH21" i="38"/>
  <c r="AH20" i="38"/>
  <c r="AH19" i="38"/>
  <c r="AH18" i="38"/>
  <c r="AH17" i="38"/>
  <c r="AH16" i="38"/>
  <c r="AH15" i="38"/>
  <c r="AH13" i="38"/>
  <c r="AH12" i="38"/>
  <c r="AH11" i="38"/>
  <c r="AH10" i="38"/>
  <c r="AH9" i="38"/>
  <c r="AH8" i="38"/>
  <c r="AH7" i="38"/>
  <c r="AH6" i="38"/>
  <c r="AH5" i="38"/>
  <c r="AH4" i="38"/>
  <c r="AH3" i="38"/>
  <c r="N104" i="38"/>
  <c r="N100" i="38"/>
  <c r="N101" i="38"/>
  <c r="N102" i="38"/>
  <c r="N103" i="38"/>
  <c r="N99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3" i="38"/>
  <c r="AI104" i="64"/>
  <c r="AI104" i="38" s="1"/>
  <c r="AJ104" i="64"/>
  <c r="AJ104" i="38" s="1"/>
  <c r="AK104" i="64"/>
  <c r="AM104" i="64"/>
  <c r="AM104" i="38" s="1"/>
  <c r="AH104" i="64"/>
  <c r="AG104" i="64"/>
  <c r="AG104" i="38" s="1"/>
  <c r="AE104" i="64"/>
  <c r="AE104" i="38" s="1"/>
  <c r="Z104" i="64"/>
  <c r="Z104" i="38" s="1"/>
  <c r="Y104" i="64"/>
  <c r="Y104" i="38" s="1"/>
  <c r="W104" i="64"/>
  <c r="W104" i="38" s="1"/>
  <c r="V104" i="64"/>
  <c r="V104" i="38" s="1"/>
  <c r="T104" i="64"/>
  <c r="T104" i="38" s="1"/>
  <c r="S104" i="64"/>
  <c r="S104" i="38" s="1"/>
  <c r="N104" i="64"/>
  <c r="S4" i="64"/>
  <c r="U4" i="64" s="1"/>
  <c r="AD4" i="64" s="1"/>
  <c r="T4" i="64"/>
  <c r="T4" i="38" s="1"/>
  <c r="V4" i="64"/>
  <c r="X4" i="64" s="1"/>
  <c r="AN4" i="64" s="1"/>
  <c r="AN4" i="38" s="1"/>
  <c r="W4" i="64"/>
  <c r="W4" i="38" s="1"/>
  <c r="Y4" i="64"/>
  <c r="Y4" i="38" s="1"/>
  <c r="Z4" i="64"/>
  <c r="AA4" i="64" s="1"/>
  <c r="AB4" i="64"/>
  <c r="AE4" i="64"/>
  <c r="AE4" i="38" s="1"/>
  <c r="AG4" i="64"/>
  <c r="AG4" i="38" s="1"/>
  <c r="AH4" i="64"/>
  <c r="AI4" i="64"/>
  <c r="AI4" i="38" s="1"/>
  <c r="AJ4" i="64"/>
  <c r="AJ4" i="38" s="1"/>
  <c r="AK4" i="64"/>
  <c r="AM4" i="64"/>
  <c r="AM4" i="38" s="1"/>
  <c r="S5" i="64"/>
  <c r="S5" i="38" s="1"/>
  <c r="T5" i="64"/>
  <c r="T5" i="38" s="1"/>
  <c r="V5" i="64"/>
  <c r="V5" i="38" s="1"/>
  <c r="W5" i="64"/>
  <c r="W5" i="38" s="1"/>
  <c r="X5" i="64"/>
  <c r="AN5" i="64" s="1"/>
  <c r="AN5" i="38" s="1"/>
  <c r="Y5" i="64"/>
  <c r="Z5" i="64"/>
  <c r="Z5" i="38" s="1"/>
  <c r="AB5" i="64"/>
  <c r="AE5" i="64"/>
  <c r="AE5" i="38" s="1"/>
  <c r="AG5" i="64"/>
  <c r="AG5" i="38" s="1"/>
  <c r="AH5" i="64"/>
  <c r="AI5" i="64"/>
  <c r="AI5" i="38" s="1"/>
  <c r="AJ5" i="64"/>
  <c r="AJ5" i="38" s="1"/>
  <c r="AK5" i="64"/>
  <c r="AM5" i="64"/>
  <c r="AM5" i="38" s="1"/>
  <c r="S6" i="64"/>
  <c r="S6" i="38" s="1"/>
  <c r="T6" i="64"/>
  <c r="T6" i="38" s="1"/>
  <c r="V6" i="64"/>
  <c r="W6" i="64"/>
  <c r="W6" i="38" s="1"/>
  <c r="Y6" i="64"/>
  <c r="Z6" i="64"/>
  <c r="Z6" i="38" s="1"/>
  <c r="AB6" i="64"/>
  <c r="AE6" i="64"/>
  <c r="AE6" i="38" s="1"/>
  <c r="AG6" i="64"/>
  <c r="AG6" i="38" s="1"/>
  <c r="AH6" i="64"/>
  <c r="AI6" i="64"/>
  <c r="AI6" i="38" s="1"/>
  <c r="AJ6" i="64"/>
  <c r="AJ6" i="38" s="1"/>
  <c r="AK6" i="64"/>
  <c r="AM6" i="64"/>
  <c r="AM6" i="38" s="1"/>
  <c r="S7" i="64"/>
  <c r="T7" i="64"/>
  <c r="T7" i="38" s="1"/>
  <c r="V7" i="64"/>
  <c r="W7" i="64"/>
  <c r="W7" i="38" s="1"/>
  <c r="Y7" i="64"/>
  <c r="Y7" i="38" s="1"/>
  <c r="Z7" i="64"/>
  <c r="Z7" i="38" s="1"/>
  <c r="AB7" i="64"/>
  <c r="AE7" i="64"/>
  <c r="AE7" i="38" s="1"/>
  <c r="AG7" i="64"/>
  <c r="AG7" i="38" s="1"/>
  <c r="AH7" i="64"/>
  <c r="AI7" i="64"/>
  <c r="AJ7" i="64"/>
  <c r="AJ7" i="38" s="1"/>
  <c r="AK7" i="64"/>
  <c r="AM7" i="64"/>
  <c r="AM7" i="38" s="1"/>
  <c r="S8" i="64"/>
  <c r="S8" i="38" s="1"/>
  <c r="T8" i="64"/>
  <c r="T8" i="38" s="1"/>
  <c r="V8" i="64"/>
  <c r="W8" i="64"/>
  <c r="W8" i="38" s="1"/>
  <c r="Y8" i="64"/>
  <c r="Y8" i="38" s="1"/>
  <c r="Z8" i="64"/>
  <c r="Z8" i="38" s="1"/>
  <c r="AB8" i="64"/>
  <c r="AE8" i="64"/>
  <c r="AE8" i="38" s="1"/>
  <c r="AG8" i="64"/>
  <c r="AG8" i="38" s="1"/>
  <c r="AH8" i="64"/>
  <c r="AI8" i="64"/>
  <c r="AJ8" i="64"/>
  <c r="AK8" i="64"/>
  <c r="AM8" i="64"/>
  <c r="AM8" i="38" s="1"/>
  <c r="S9" i="64"/>
  <c r="S9" i="38" s="1"/>
  <c r="T9" i="64"/>
  <c r="T9" i="38" s="1"/>
  <c r="V9" i="64"/>
  <c r="V9" i="38" s="1"/>
  <c r="W9" i="64"/>
  <c r="Y9" i="64"/>
  <c r="Y9" i="38" s="1"/>
  <c r="Z9" i="64"/>
  <c r="Z9" i="38" s="1"/>
  <c r="AB9" i="64"/>
  <c r="AE9" i="64"/>
  <c r="AG9" i="64"/>
  <c r="AG9" i="38" s="1"/>
  <c r="AH9" i="64"/>
  <c r="AI9" i="64"/>
  <c r="AJ9" i="64"/>
  <c r="AJ9" i="38" s="1"/>
  <c r="AK9" i="64"/>
  <c r="AM9" i="64"/>
  <c r="AM9" i="38" s="1"/>
  <c r="S10" i="64"/>
  <c r="S10" i="38" s="1"/>
  <c r="T10" i="64"/>
  <c r="T10" i="38" s="1"/>
  <c r="V10" i="64"/>
  <c r="W10" i="64"/>
  <c r="W10" i="38" s="1"/>
  <c r="Y10" i="64"/>
  <c r="Z10" i="64"/>
  <c r="Z10" i="38" s="1"/>
  <c r="AB10" i="64"/>
  <c r="AE10" i="64"/>
  <c r="AE10" i="38" s="1"/>
  <c r="AG10" i="64"/>
  <c r="AG10" i="38" s="1"/>
  <c r="AH10" i="64"/>
  <c r="AI10" i="64"/>
  <c r="AI10" i="38" s="1"/>
  <c r="AJ10" i="64"/>
  <c r="AJ10" i="38" s="1"/>
  <c r="AK10" i="64"/>
  <c r="AM10" i="64"/>
  <c r="AM10" i="38" s="1"/>
  <c r="S11" i="64"/>
  <c r="T11" i="64"/>
  <c r="T11" i="38" s="1"/>
  <c r="V11" i="64"/>
  <c r="W11" i="64"/>
  <c r="W11" i="38" s="1"/>
  <c r="Y11" i="64"/>
  <c r="Z11" i="64"/>
  <c r="Z11" i="38" s="1"/>
  <c r="AB11" i="64"/>
  <c r="AE11" i="64"/>
  <c r="AE11" i="38" s="1"/>
  <c r="AG11" i="64"/>
  <c r="AG11" i="38" s="1"/>
  <c r="AH11" i="64"/>
  <c r="AI11" i="64"/>
  <c r="AJ11" i="64"/>
  <c r="AJ11" i="38" s="1"/>
  <c r="AK11" i="64"/>
  <c r="AM11" i="64"/>
  <c r="AM11" i="38" s="1"/>
  <c r="S12" i="64"/>
  <c r="S12" i="38" s="1"/>
  <c r="T12" i="64"/>
  <c r="T12" i="38" s="1"/>
  <c r="V12" i="64"/>
  <c r="V12" i="38" s="1"/>
  <c r="W12" i="64"/>
  <c r="W12" i="38" s="1"/>
  <c r="Y12" i="64"/>
  <c r="Y12" i="38" s="1"/>
  <c r="Z12" i="64"/>
  <c r="AA12" i="64" s="1"/>
  <c r="AB12" i="64"/>
  <c r="AE12" i="64"/>
  <c r="AE12" i="38" s="1"/>
  <c r="AF12" i="64"/>
  <c r="AG12" i="64"/>
  <c r="AG12" i="38" s="1"/>
  <c r="AH12" i="64"/>
  <c r="AI12" i="64"/>
  <c r="AJ12" i="64"/>
  <c r="AJ12" i="38" s="1"/>
  <c r="AK12" i="64"/>
  <c r="AM12" i="64"/>
  <c r="AM12" i="38" s="1"/>
  <c r="S13" i="64"/>
  <c r="T13" i="64"/>
  <c r="T13" i="38" s="1"/>
  <c r="V13" i="64"/>
  <c r="X13" i="64" s="1"/>
  <c r="AN13" i="64" s="1"/>
  <c r="AN13" i="38" s="1"/>
  <c r="W13" i="64"/>
  <c r="W13" i="38" s="1"/>
  <c r="Y13" i="64"/>
  <c r="Z13" i="64"/>
  <c r="Z13" i="38" s="1"/>
  <c r="AB13" i="64"/>
  <c r="AE13" i="64"/>
  <c r="AE13" i="38" s="1"/>
  <c r="AG13" i="64"/>
  <c r="AG13" i="38" s="1"/>
  <c r="AH13" i="64"/>
  <c r="AI13" i="64"/>
  <c r="AI13" i="38" s="1"/>
  <c r="AJ13" i="64"/>
  <c r="AJ13" i="38" s="1"/>
  <c r="AK13" i="64"/>
  <c r="AM13" i="64"/>
  <c r="AM13" i="38" s="1"/>
  <c r="S14" i="64"/>
  <c r="T14" i="64"/>
  <c r="T14" i="38" s="1"/>
  <c r="V14" i="64"/>
  <c r="W14" i="64"/>
  <c r="W14" i="38" s="1"/>
  <c r="Y14" i="64"/>
  <c r="Y14" i="38" s="1"/>
  <c r="Z14" i="64"/>
  <c r="AB14" i="64"/>
  <c r="AE14" i="64"/>
  <c r="AE14" i="38" s="1"/>
  <c r="AG14" i="64"/>
  <c r="AG14" i="38" s="1"/>
  <c r="AH14" i="64"/>
  <c r="AH14" i="38" s="1"/>
  <c r="AI14" i="64"/>
  <c r="AI14" i="38" s="1"/>
  <c r="AJ14" i="64"/>
  <c r="AJ14" i="38" s="1"/>
  <c r="AK14" i="64"/>
  <c r="AM14" i="64"/>
  <c r="AM14" i="38" s="1"/>
  <c r="S15" i="64"/>
  <c r="T15" i="64"/>
  <c r="T15" i="38" s="1"/>
  <c r="V15" i="64"/>
  <c r="V15" i="38" s="1"/>
  <c r="W15" i="64"/>
  <c r="W15" i="38" s="1"/>
  <c r="Y15" i="64"/>
  <c r="Y15" i="38" s="1"/>
  <c r="Z15" i="64"/>
  <c r="Z15" i="38" s="1"/>
  <c r="AB15" i="64"/>
  <c r="AE15" i="64"/>
  <c r="AE15" i="38" s="1"/>
  <c r="AG15" i="64"/>
  <c r="AG15" i="38" s="1"/>
  <c r="AH15" i="64"/>
  <c r="AI15" i="64"/>
  <c r="AI15" i="38" s="1"/>
  <c r="AJ15" i="64"/>
  <c r="AJ15" i="38" s="1"/>
  <c r="AK15" i="64"/>
  <c r="AM15" i="64"/>
  <c r="AM15" i="38" s="1"/>
  <c r="S16" i="64"/>
  <c r="S16" i="38" s="1"/>
  <c r="T16" i="64"/>
  <c r="T16" i="38" s="1"/>
  <c r="V16" i="64"/>
  <c r="W16" i="64"/>
  <c r="W16" i="38" s="1"/>
  <c r="Y16" i="64"/>
  <c r="Y16" i="38" s="1"/>
  <c r="Z16" i="64"/>
  <c r="Z16" i="38" s="1"/>
  <c r="AB16" i="64"/>
  <c r="AE16" i="64"/>
  <c r="AE16" i="38" s="1"/>
  <c r="AG16" i="64"/>
  <c r="AG16" i="38" s="1"/>
  <c r="AH16" i="64"/>
  <c r="AI16" i="64"/>
  <c r="AI16" i="38" s="1"/>
  <c r="AJ16" i="64"/>
  <c r="AJ16" i="38" s="1"/>
  <c r="AK16" i="64"/>
  <c r="AM16" i="64"/>
  <c r="AM16" i="38" s="1"/>
  <c r="S17" i="64"/>
  <c r="S17" i="38" s="1"/>
  <c r="T17" i="64"/>
  <c r="T17" i="38" s="1"/>
  <c r="V17" i="64"/>
  <c r="W17" i="64"/>
  <c r="W17" i="38" s="1"/>
  <c r="Y17" i="64"/>
  <c r="Y17" i="38" s="1"/>
  <c r="Z17" i="64"/>
  <c r="Z17" i="38" s="1"/>
  <c r="AB17" i="64"/>
  <c r="AE17" i="64"/>
  <c r="AE17" i="38" s="1"/>
  <c r="AG17" i="64"/>
  <c r="AG17" i="38" s="1"/>
  <c r="AH17" i="64"/>
  <c r="AI17" i="64"/>
  <c r="AI17" i="38" s="1"/>
  <c r="AJ17" i="64"/>
  <c r="AJ17" i="38" s="1"/>
  <c r="AK17" i="64"/>
  <c r="AM17" i="64"/>
  <c r="AM17" i="38" s="1"/>
  <c r="S18" i="64"/>
  <c r="S18" i="38" s="1"/>
  <c r="T18" i="64"/>
  <c r="T18" i="38" s="1"/>
  <c r="U18" i="64"/>
  <c r="AD18" i="64" s="1"/>
  <c r="V18" i="64"/>
  <c r="W18" i="64"/>
  <c r="W18" i="38" s="1"/>
  <c r="Y18" i="64"/>
  <c r="Y18" i="38" s="1"/>
  <c r="Z18" i="64"/>
  <c r="Z18" i="38" s="1"/>
  <c r="AB18" i="64"/>
  <c r="AE18" i="64"/>
  <c r="AE18" i="38" s="1"/>
  <c r="AG18" i="64"/>
  <c r="AG18" i="38" s="1"/>
  <c r="AH18" i="64"/>
  <c r="AI18" i="64"/>
  <c r="AI18" i="38" s="1"/>
  <c r="AJ18" i="64"/>
  <c r="AJ18" i="38" s="1"/>
  <c r="AK18" i="64"/>
  <c r="AM18" i="64"/>
  <c r="AM18" i="38" s="1"/>
  <c r="S19" i="64"/>
  <c r="S19" i="38" s="1"/>
  <c r="T19" i="64"/>
  <c r="T19" i="38" s="1"/>
  <c r="V19" i="64"/>
  <c r="V19" i="38" s="1"/>
  <c r="W19" i="64"/>
  <c r="W19" i="38" s="1"/>
  <c r="Y19" i="64"/>
  <c r="Z19" i="64"/>
  <c r="Z19" i="38" s="1"/>
  <c r="AB19" i="64"/>
  <c r="AE19" i="64"/>
  <c r="AE19" i="38" s="1"/>
  <c r="AG19" i="64"/>
  <c r="AG19" i="38" s="1"/>
  <c r="AH19" i="64"/>
  <c r="AI19" i="64"/>
  <c r="AJ19" i="64"/>
  <c r="AK19" i="64"/>
  <c r="AM19" i="64"/>
  <c r="AM19" i="38" s="1"/>
  <c r="S20" i="64"/>
  <c r="S20" i="38" s="1"/>
  <c r="T20" i="64"/>
  <c r="T20" i="38" s="1"/>
  <c r="U20" i="64"/>
  <c r="AD20" i="64" s="1"/>
  <c r="V20" i="64"/>
  <c r="X20" i="64" s="1"/>
  <c r="AN20" i="64" s="1"/>
  <c r="AN20" i="38" s="1"/>
  <c r="W20" i="64"/>
  <c r="W20" i="38" s="1"/>
  <c r="Y20" i="64"/>
  <c r="Z20" i="64"/>
  <c r="Z20" i="38" s="1"/>
  <c r="AB20" i="64"/>
  <c r="AE20" i="64"/>
  <c r="AE20" i="38" s="1"/>
  <c r="AG20" i="64"/>
  <c r="AG20" i="38" s="1"/>
  <c r="AH20" i="64"/>
  <c r="AI20" i="64"/>
  <c r="AJ20" i="64"/>
  <c r="AJ20" i="38" s="1"/>
  <c r="AK20" i="64"/>
  <c r="AM20" i="64"/>
  <c r="AM20" i="38" s="1"/>
  <c r="S21" i="64"/>
  <c r="T21" i="64"/>
  <c r="T21" i="38" s="1"/>
  <c r="V21" i="64"/>
  <c r="W21" i="64"/>
  <c r="W21" i="38" s="1"/>
  <c r="Y21" i="64"/>
  <c r="Z21" i="64"/>
  <c r="Z21" i="38" s="1"/>
  <c r="AB21" i="64"/>
  <c r="AE21" i="64"/>
  <c r="AE21" i="38" s="1"/>
  <c r="AG21" i="64"/>
  <c r="AG21" i="38" s="1"/>
  <c r="AH21" i="64"/>
  <c r="AI21" i="64"/>
  <c r="AJ21" i="64"/>
  <c r="AJ21" i="38" s="1"/>
  <c r="AK21" i="64"/>
  <c r="AM21" i="64"/>
  <c r="AM21" i="38" s="1"/>
  <c r="S22" i="64"/>
  <c r="T22" i="64"/>
  <c r="T22" i="38" s="1"/>
  <c r="V22" i="64"/>
  <c r="V22" i="38" s="1"/>
  <c r="W22" i="64"/>
  <c r="X22" i="64" s="1"/>
  <c r="AN22" i="64" s="1"/>
  <c r="AN22" i="38" s="1"/>
  <c r="Y22" i="64"/>
  <c r="Z22" i="64"/>
  <c r="Z22" i="38" s="1"/>
  <c r="AB22" i="64"/>
  <c r="AE22" i="64"/>
  <c r="AE22" i="38" s="1"/>
  <c r="AG22" i="64"/>
  <c r="AG22" i="38" s="1"/>
  <c r="AH22" i="64"/>
  <c r="AI22" i="64"/>
  <c r="AJ22" i="64"/>
  <c r="AJ22" i="38" s="1"/>
  <c r="AK22" i="64"/>
  <c r="AM22" i="64"/>
  <c r="AM22" i="38" s="1"/>
  <c r="S23" i="64"/>
  <c r="T23" i="64"/>
  <c r="T23" i="38" s="1"/>
  <c r="V23" i="64"/>
  <c r="V23" i="38" s="1"/>
  <c r="W23" i="64"/>
  <c r="Y23" i="64"/>
  <c r="Y23" i="38" s="1"/>
  <c r="Z23" i="64"/>
  <c r="Z23" i="38" s="1"/>
  <c r="AB23" i="64"/>
  <c r="AE23" i="64"/>
  <c r="AE23" i="38" s="1"/>
  <c r="AG23" i="64"/>
  <c r="AG23" i="38" s="1"/>
  <c r="AH23" i="64"/>
  <c r="AI23" i="64"/>
  <c r="AJ23" i="64"/>
  <c r="AJ23" i="38" s="1"/>
  <c r="AK23" i="64"/>
  <c r="AM23" i="64"/>
  <c r="AM23" i="38" s="1"/>
  <c r="S24" i="64"/>
  <c r="T24" i="64"/>
  <c r="T24" i="38" s="1"/>
  <c r="V24" i="64"/>
  <c r="W24" i="64"/>
  <c r="W24" i="38" s="1"/>
  <c r="Y24" i="64"/>
  <c r="Y24" i="38" s="1"/>
  <c r="Z24" i="64"/>
  <c r="Z24" i="38" s="1"/>
  <c r="AB24" i="64"/>
  <c r="AE24" i="64"/>
  <c r="AE24" i="38" s="1"/>
  <c r="AG24" i="64"/>
  <c r="AG24" i="38" s="1"/>
  <c r="AH24" i="64"/>
  <c r="AI24" i="64"/>
  <c r="AJ24" i="64"/>
  <c r="AJ24" i="38" s="1"/>
  <c r="AK24" i="64"/>
  <c r="AM24" i="64"/>
  <c r="AM24" i="38" s="1"/>
  <c r="S25" i="64"/>
  <c r="S25" i="38" s="1"/>
  <c r="T25" i="64"/>
  <c r="T25" i="38" s="1"/>
  <c r="V25" i="64"/>
  <c r="V25" i="38" s="1"/>
  <c r="W25" i="64"/>
  <c r="Y25" i="64"/>
  <c r="Y25" i="38" s="1"/>
  <c r="Z25" i="64"/>
  <c r="Z25" i="38" s="1"/>
  <c r="AB25" i="64"/>
  <c r="AE25" i="64"/>
  <c r="AE25" i="38" s="1"/>
  <c r="AG25" i="64"/>
  <c r="AG25" i="38" s="1"/>
  <c r="AH25" i="64"/>
  <c r="AI25" i="64"/>
  <c r="AJ25" i="64"/>
  <c r="AJ25" i="38" s="1"/>
  <c r="AK25" i="64"/>
  <c r="AM25" i="64"/>
  <c r="AM25" i="38" s="1"/>
  <c r="S26" i="64"/>
  <c r="S26" i="38" s="1"/>
  <c r="T26" i="64"/>
  <c r="T26" i="38" s="1"/>
  <c r="V26" i="64"/>
  <c r="W26" i="64"/>
  <c r="W26" i="38" s="1"/>
  <c r="Y26" i="64"/>
  <c r="Z26" i="64"/>
  <c r="Z26" i="38" s="1"/>
  <c r="AB26" i="64"/>
  <c r="AE26" i="64"/>
  <c r="AE26" i="38" s="1"/>
  <c r="AG26" i="64"/>
  <c r="AG26" i="38" s="1"/>
  <c r="AH26" i="64"/>
  <c r="AI26" i="64"/>
  <c r="AI26" i="38" s="1"/>
  <c r="AJ26" i="64"/>
  <c r="AK26" i="64"/>
  <c r="AM26" i="64"/>
  <c r="AM26" i="38" s="1"/>
  <c r="S27" i="64"/>
  <c r="T27" i="64"/>
  <c r="T27" i="38" s="1"/>
  <c r="V27" i="64"/>
  <c r="V27" i="38" s="1"/>
  <c r="W27" i="64"/>
  <c r="W27" i="38" s="1"/>
  <c r="Y27" i="64"/>
  <c r="Z27" i="64"/>
  <c r="Z27" i="38" s="1"/>
  <c r="AB27" i="64"/>
  <c r="AE27" i="64"/>
  <c r="AE27" i="38" s="1"/>
  <c r="AG27" i="64"/>
  <c r="AG27" i="38" s="1"/>
  <c r="AH27" i="64"/>
  <c r="AI27" i="64"/>
  <c r="AJ27" i="64"/>
  <c r="AK27" i="64"/>
  <c r="AM27" i="64"/>
  <c r="AM27" i="38" s="1"/>
  <c r="S28" i="64"/>
  <c r="S28" i="38" s="1"/>
  <c r="T28" i="64"/>
  <c r="T28" i="38" s="1"/>
  <c r="V28" i="64"/>
  <c r="V28" i="38" s="1"/>
  <c r="W28" i="64"/>
  <c r="W28" i="38" s="1"/>
  <c r="Y28" i="64"/>
  <c r="Y28" i="38" s="1"/>
  <c r="Z28" i="64"/>
  <c r="Z28" i="38" s="1"/>
  <c r="AB28" i="64"/>
  <c r="AE28" i="64"/>
  <c r="AE28" i="38" s="1"/>
  <c r="AG28" i="64"/>
  <c r="AG28" i="38" s="1"/>
  <c r="AH28" i="64"/>
  <c r="AI28" i="64"/>
  <c r="AI28" i="38" s="1"/>
  <c r="AJ28" i="64"/>
  <c r="AJ28" i="38" s="1"/>
  <c r="AK28" i="64"/>
  <c r="AM28" i="64"/>
  <c r="AM28" i="38" s="1"/>
  <c r="S29" i="64"/>
  <c r="T29" i="64"/>
  <c r="T29" i="38" s="1"/>
  <c r="V29" i="64"/>
  <c r="W29" i="64"/>
  <c r="W29" i="38" s="1"/>
  <c r="Y29" i="64"/>
  <c r="Z29" i="64"/>
  <c r="Z29" i="38" s="1"/>
  <c r="AB29" i="64"/>
  <c r="AE29" i="64"/>
  <c r="AE29" i="38" s="1"/>
  <c r="AG29" i="64"/>
  <c r="AG29" i="38" s="1"/>
  <c r="AH29" i="64"/>
  <c r="AI29" i="64"/>
  <c r="AJ29" i="64"/>
  <c r="AK29" i="64"/>
  <c r="AM29" i="64"/>
  <c r="AM29" i="38" s="1"/>
  <c r="S30" i="64"/>
  <c r="S30" i="38" s="1"/>
  <c r="T30" i="64"/>
  <c r="V30" i="64"/>
  <c r="V30" i="38" s="1"/>
  <c r="W30" i="64"/>
  <c r="Y30" i="64"/>
  <c r="Z30" i="64"/>
  <c r="Z30" i="38" s="1"/>
  <c r="AB30" i="64"/>
  <c r="AE30" i="64"/>
  <c r="AE30" i="38" s="1"/>
  <c r="AG30" i="64"/>
  <c r="AT30" i="64" s="1"/>
  <c r="AH30" i="64"/>
  <c r="AI30" i="64"/>
  <c r="AJ30" i="64"/>
  <c r="AK30" i="64"/>
  <c r="AM30" i="64"/>
  <c r="AM30" i="38" s="1"/>
  <c r="S31" i="64"/>
  <c r="U31" i="64" s="1"/>
  <c r="AD31" i="64" s="1"/>
  <c r="T31" i="64"/>
  <c r="T31" i="38" s="1"/>
  <c r="V31" i="64"/>
  <c r="V31" i="38" s="1"/>
  <c r="W31" i="64"/>
  <c r="X31" i="64" s="1"/>
  <c r="AN31" i="64" s="1"/>
  <c r="AN31" i="38" s="1"/>
  <c r="Y31" i="64"/>
  <c r="Y31" i="38" s="1"/>
  <c r="Z31" i="64"/>
  <c r="Z31" i="38" s="1"/>
  <c r="AB31" i="64"/>
  <c r="AE31" i="64"/>
  <c r="AE31" i="38" s="1"/>
  <c r="AG31" i="64"/>
  <c r="AG31" i="38" s="1"/>
  <c r="AH31" i="64"/>
  <c r="AI31" i="64"/>
  <c r="AJ31" i="64"/>
  <c r="AJ31" i="38" s="1"/>
  <c r="AK31" i="64"/>
  <c r="AM31" i="64"/>
  <c r="AM31" i="38" s="1"/>
  <c r="S32" i="64"/>
  <c r="S32" i="38" s="1"/>
  <c r="T32" i="64"/>
  <c r="T32" i="38" s="1"/>
  <c r="V32" i="64"/>
  <c r="W32" i="64"/>
  <c r="W32" i="38" s="1"/>
  <c r="Y32" i="64"/>
  <c r="Y32" i="38" s="1"/>
  <c r="Z32" i="64"/>
  <c r="Z32" i="38" s="1"/>
  <c r="AB32" i="64"/>
  <c r="AE32" i="64"/>
  <c r="AE32" i="38" s="1"/>
  <c r="AG32" i="64"/>
  <c r="AG32" i="38" s="1"/>
  <c r="AH32" i="64"/>
  <c r="AI32" i="64"/>
  <c r="AJ32" i="64"/>
  <c r="AJ32" i="38" s="1"/>
  <c r="AK32" i="64"/>
  <c r="AM32" i="64"/>
  <c r="AM32" i="38" s="1"/>
  <c r="S33" i="64"/>
  <c r="S33" i="38" s="1"/>
  <c r="T33" i="64"/>
  <c r="T33" i="38" s="1"/>
  <c r="V33" i="64"/>
  <c r="W33" i="64"/>
  <c r="W33" i="38" s="1"/>
  <c r="Y33" i="64"/>
  <c r="AA33" i="64" s="1"/>
  <c r="Z33" i="64"/>
  <c r="Z33" i="38" s="1"/>
  <c r="AB33" i="64"/>
  <c r="AE33" i="64"/>
  <c r="AE33" i="38" s="1"/>
  <c r="AG33" i="64"/>
  <c r="AG33" i="38" s="1"/>
  <c r="AH33" i="64"/>
  <c r="AH33" i="38" s="1"/>
  <c r="AI33" i="64"/>
  <c r="AJ33" i="64"/>
  <c r="AJ33" i="38" s="1"/>
  <c r="AK33" i="64"/>
  <c r="AM33" i="64"/>
  <c r="AM33" i="38" s="1"/>
  <c r="S34" i="64"/>
  <c r="S34" i="38" s="1"/>
  <c r="T34" i="64"/>
  <c r="T34" i="38" s="1"/>
  <c r="U34" i="64"/>
  <c r="AD34" i="64" s="1"/>
  <c r="V34" i="64"/>
  <c r="W34" i="64"/>
  <c r="W34" i="38" s="1"/>
  <c r="Y34" i="64"/>
  <c r="Y34" i="38" s="1"/>
  <c r="Z34" i="64"/>
  <c r="AB34" i="64"/>
  <c r="AE34" i="64"/>
  <c r="AE34" i="38" s="1"/>
  <c r="AG34" i="64"/>
  <c r="AG34" i="38" s="1"/>
  <c r="AH34" i="64"/>
  <c r="AI34" i="64"/>
  <c r="AJ34" i="64"/>
  <c r="AJ34" i="38" s="1"/>
  <c r="AK34" i="64"/>
  <c r="AM34" i="64"/>
  <c r="AM34" i="38" s="1"/>
  <c r="S35" i="64"/>
  <c r="S35" i="38" s="1"/>
  <c r="T35" i="64"/>
  <c r="T35" i="38" s="1"/>
  <c r="V35" i="64"/>
  <c r="W35" i="64"/>
  <c r="W35" i="38" s="1"/>
  <c r="Y35" i="64"/>
  <c r="Y35" i="38" s="1"/>
  <c r="Z35" i="64"/>
  <c r="Z35" i="38" s="1"/>
  <c r="AB35" i="64"/>
  <c r="AE35" i="64"/>
  <c r="AE35" i="38" s="1"/>
  <c r="AG35" i="64"/>
  <c r="AG35" i="38" s="1"/>
  <c r="AH35" i="64"/>
  <c r="AI35" i="64"/>
  <c r="AJ35" i="64"/>
  <c r="AK35" i="64"/>
  <c r="AM35" i="64"/>
  <c r="AM35" i="38" s="1"/>
  <c r="S36" i="64"/>
  <c r="S36" i="38" s="1"/>
  <c r="T36" i="64"/>
  <c r="U36" i="64" s="1"/>
  <c r="AD36" i="64" s="1"/>
  <c r="V36" i="64"/>
  <c r="W36" i="64"/>
  <c r="W36" i="38" s="1"/>
  <c r="Y36" i="64"/>
  <c r="Z36" i="64"/>
  <c r="Z36" i="38" s="1"/>
  <c r="AB36" i="64"/>
  <c r="AE36" i="64"/>
  <c r="AE36" i="38" s="1"/>
  <c r="AG36" i="64"/>
  <c r="AG36" i="38" s="1"/>
  <c r="AH36" i="64"/>
  <c r="AI36" i="64"/>
  <c r="AJ36" i="64"/>
  <c r="AK36" i="64"/>
  <c r="AM36" i="64"/>
  <c r="AM36" i="38" s="1"/>
  <c r="S37" i="64"/>
  <c r="S37" i="38" s="1"/>
  <c r="T37" i="64"/>
  <c r="T37" i="38" s="1"/>
  <c r="V37" i="64"/>
  <c r="X37" i="64" s="1"/>
  <c r="AN37" i="64" s="1"/>
  <c r="AN37" i="38" s="1"/>
  <c r="W37" i="64"/>
  <c r="W37" i="38" s="1"/>
  <c r="Y37" i="64"/>
  <c r="Z37" i="64"/>
  <c r="Z37" i="38" s="1"/>
  <c r="AB37" i="64"/>
  <c r="AE37" i="64"/>
  <c r="AE37" i="38" s="1"/>
  <c r="AG37" i="64"/>
  <c r="AG37" i="38" s="1"/>
  <c r="AH37" i="64"/>
  <c r="AI37" i="64"/>
  <c r="AJ37" i="64"/>
  <c r="AJ37" i="38" s="1"/>
  <c r="AK37" i="64"/>
  <c r="AM37" i="64"/>
  <c r="AM37" i="38" s="1"/>
  <c r="S38" i="64"/>
  <c r="T38" i="64"/>
  <c r="T38" i="38" s="1"/>
  <c r="V38" i="64"/>
  <c r="X38" i="64" s="1"/>
  <c r="AN38" i="64" s="1"/>
  <c r="AN38" i="38" s="1"/>
  <c r="W38" i="64"/>
  <c r="W38" i="38" s="1"/>
  <c r="Y38" i="64"/>
  <c r="Z38" i="64"/>
  <c r="Z38" i="38" s="1"/>
  <c r="AB38" i="64"/>
  <c r="AE38" i="64"/>
  <c r="AE38" i="38" s="1"/>
  <c r="AG38" i="64"/>
  <c r="AG38" i="38" s="1"/>
  <c r="AH38" i="64"/>
  <c r="AI38" i="64"/>
  <c r="AJ38" i="64"/>
  <c r="AJ38" i="38" s="1"/>
  <c r="AK38" i="64"/>
  <c r="AM38" i="64"/>
  <c r="AM38" i="38" s="1"/>
  <c r="S39" i="64"/>
  <c r="T39" i="64"/>
  <c r="T39" i="38" s="1"/>
  <c r="V39" i="64"/>
  <c r="V39" i="38" s="1"/>
  <c r="W39" i="64"/>
  <c r="Y39" i="64"/>
  <c r="Y39" i="38" s="1"/>
  <c r="Z39" i="64"/>
  <c r="Z39" i="38" s="1"/>
  <c r="AB39" i="64"/>
  <c r="AE39" i="64"/>
  <c r="AE39" i="38" s="1"/>
  <c r="AG39" i="64"/>
  <c r="AG39" i="38" s="1"/>
  <c r="AH39" i="64"/>
  <c r="AI39" i="64"/>
  <c r="AJ39" i="64"/>
  <c r="AJ39" i="38" s="1"/>
  <c r="AK39" i="64"/>
  <c r="AM39" i="64"/>
  <c r="AM39" i="38" s="1"/>
  <c r="S40" i="64"/>
  <c r="S40" i="38" s="1"/>
  <c r="T40" i="64"/>
  <c r="T40" i="38" s="1"/>
  <c r="V40" i="64"/>
  <c r="V40" i="38" s="1"/>
  <c r="W40" i="64"/>
  <c r="W40" i="38" s="1"/>
  <c r="X40" i="64"/>
  <c r="AN40" i="64" s="1"/>
  <c r="AN40" i="38" s="1"/>
  <c r="Y40" i="64"/>
  <c r="Y40" i="38" s="1"/>
  <c r="Z40" i="64"/>
  <c r="Z40" i="38" s="1"/>
  <c r="AB40" i="64"/>
  <c r="AE40" i="64"/>
  <c r="AE40" i="38" s="1"/>
  <c r="AG40" i="64"/>
  <c r="AG40" i="38" s="1"/>
  <c r="AH40" i="64"/>
  <c r="AI40" i="64"/>
  <c r="AJ40" i="64"/>
  <c r="AJ40" i="38" s="1"/>
  <c r="AK40" i="64"/>
  <c r="AM40" i="64"/>
  <c r="AM40" i="38" s="1"/>
  <c r="S41" i="64"/>
  <c r="S41" i="38" s="1"/>
  <c r="T41" i="64"/>
  <c r="T41" i="38" s="1"/>
  <c r="U41" i="64"/>
  <c r="AD41" i="64" s="1"/>
  <c r="V41" i="64"/>
  <c r="V41" i="38" s="1"/>
  <c r="W41" i="64"/>
  <c r="Y41" i="64"/>
  <c r="Y41" i="38" s="1"/>
  <c r="Z41" i="64"/>
  <c r="Z41" i="38" s="1"/>
  <c r="AB41" i="64"/>
  <c r="AE41" i="64"/>
  <c r="AE41" i="38" s="1"/>
  <c r="AG41" i="64"/>
  <c r="AG41" i="38" s="1"/>
  <c r="AH41" i="64"/>
  <c r="AI41" i="64"/>
  <c r="AJ41" i="64"/>
  <c r="AJ41" i="38" s="1"/>
  <c r="AK41" i="64"/>
  <c r="AM41" i="64"/>
  <c r="AM41" i="38" s="1"/>
  <c r="S42" i="64"/>
  <c r="S42" i="38" s="1"/>
  <c r="T42" i="64"/>
  <c r="U42" i="64" s="1"/>
  <c r="AD42" i="64" s="1"/>
  <c r="V42" i="64"/>
  <c r="W42" i="64"/>
  <c r="W42" i="38" s="1"/>
  <c r="Y42" i="64"/>
  <c r="Y42" i="38" s="1"/>
  <c r="Z42" i="64"/>
  <c r="AB42" i="64"/>
  <c r="AE42" i="64"/>
  <c r="AE42" i="38" s="1"/>
  <c r="AG42" i="64"/>
  <c r="AG42" i="38" s="1"/>
  <c r="AH42" i="64"/>
  <c r="AI42" i="64"/>
  <c r="AJ42" i="64"/>
  <c r="AJ42" i="38" s="1"/>
  <c r="AK42" i="64"/>
  <c r="AM42" i="64"/>
  <c r="AM42" i="38" s="1"/>
  <c r="S43" i="64"/>
  <c r="S43" i="38" s="1"/>
  <c r="T43" i="64"/>
  <c r="T43" i="38" s="1"/>
  <c r="V43" i="64"/>
  <c r="V43" i="38" s="1"/>
  <c r="W43" i="64"/>
  <c r="W43" i="38" s="1"/>
  <c r="Y43" i="64"/>
  <c r="Y43" i="38" s="1"/>
  <c r="Z43" i="64"/>
  <c r="Z43" i="38" s="1"/>
  <c r="AB43" i="64"/>
  <c r="AE43" i="64"/>
  <c r="AE43" i="38" s="1"/>
  <c r="AG43" i="64"/>
  <c r="AG43" i="38" s="1"/>
  <c r="AH43" i="64"/>
  <c r="AI43" i="64"/>
  <c r="AJ43" i="64"/>
  <c r="AK43" i="64"/>
  <c r="AM43" i="64"/>
  <c r="AM43" i="38" s="1"/>
  <c r="S44" i="64"/>
  <c r="S44" i="38" s="1"/>
  <c r="T44" i="64"/>
  <c r="T44" i="38" s="1"/>
  <c r="V44" i="64"/>
  <c r="V44" i="38" s="1"/>
  <c r="W44" i="64"/>
  <c r="W44" i="38" s="1"/>
  <c r="Y44" i="64"/>
  <c r="Y44" i="38" s="1"/>
  <c r="Z44" i="64"/>
  <c r="Z44" i="38" s="1"/>
  <c r="AB44" i="64"/>
  <c r="AE44" i="64"/>
  <c r="AE44" i="38" s="1"/>
  <c r="AG44" i="64"/>
  <c r="AG44" i="38" s="1"/>
  <c r="AH44" i="64"/>
  <c r="AI44" i="64"/>
  <c r="AJ44" i="64"/>
  <c r="AK44" i="64"/>
  <c r="AM44" i="64"/>
  <c r="AM44" i="38" s="1"/>
  <c r="S45" i="64"/>
  <c r="S45" i="38" s="1"/>
  <c r="T45" i="64"/>
  <c r="T45" i="38" s="1"/>
  <c r="V45" i="64"/>
  <c r="X45" i="64" s="1"/>
  <c r="AN45" i="64" s="1"/>
  <c r="AN45" i="38" s="1"/>
  <c r="W45" i="64"/>
  <c r="W45" i="38" s="1"/>
  <c r="Y45" i="64"/>
  <c r="Z45" i="64"/>
  <c r="Z45" i="38" s="1"/>
  <c r="AB45" i="64"/>
  <c r="AE45" i="64"/>
  <c r="AE45" i="38" s="1"/>
  <c r="AG45" i="64"/>
  <c r="AG45" i="38" s="1"/>
  <c r="AH45" i="64"/>
  <c r="AI45" i="64"/>
  <c r="AJ45" i="64"/>
  <c r="AJ45" i="38" s="1"/>
  <c r="AK45" i="64"/>
  <c r="AM45" i="64"/>
  <c r="AM45" i="38" s="1"/>
  <c r="S46" i="64"/>
  <c r="S46" i="38" s="1"/>
  <c r="T46" i="64"/>
  <c r="T46" i="38" s="1"/>
  <c r="V46" i="64"/>
  <c r="W46" i="64"/>
  <c r="W46" i="38" s="1"/>
  <c r="Y46" i="64"/>
  <c r="Y46" i="38" s="1"/>
  <c r="Z46" i="64"/>
  <c r="Z46" i="38" s="1"/>
  <c r="AB46" i="64"/>
  <c r="AE46" i="64"/>
  <c r="AE46" i="38" s="1"/>
  <c r="AG46" i="64"/>
  <c r="AG46" i="38" s="1"/>
  <c r="AH46" i="64"/>
  <c r="AI46" i="64"/>
  <c r="AJ46" i="64"/>
  <c r="AJ46" i="38" s="1"/>
  <c r="AK46" i="64"/>
  <c r="AM46" i="64"/>
  <c r="AM46" i="38" s="1"/>
  <c r="S47" i="64"/>
  <c r="T47" i="64"/>
  <c r="T47" i="38" s="1"/>
  <c r="V47" i="64"/>
  <c r="W47" i="64"/>
  <c r="W47" i="38" s="1"/>
  <c r="Y47" i="64"/>
  <c r="Y47" i="38" s="1"/>
  <c r="Z47" i="64"/>
  <c r="Z47" i="38" s="1"/>
  <c r="AB47" i="64"/>
  <c r="AE47" i="64"/>
  <c r="AE47" i="38" s="1"/>
  <c r="AG47" i="64"/>
  <c r="AG47" i="38" s="1"/>
  <c r="AH47" i="64"/>
  <c r="AI47" i="64"/>
  <c r="AI47" i="38" s="1"/>
  <c r="AJ47" i="64"/>
  <c r="AJ47" i="38" s="1"/>
  <c r="AK47" i="64"/>
  <c r="AM47" i="64"/>
  <c r="AM47" i="38" s="1"/>
  <c r="S48" i="64"/>
  <c r="S48" i="38" s="1"/>
  <c r="T48" i="64"/>
  <c r="T48" i="38" s="1"/>
  <c r="V48" i="64"/>
  <c r="V48" i="38" s="1"/>
  <c r="W48" i="64"/>
  <c r="W48" i="38" s="1"/>
  <c r="Y48" i="64"/>
  <c r="Y48" i="38" s="1"/>
  <c r="Z48" i="64"/>
  <c r="Z48" i="38" s="1"/>
  <c r="AB48" i="64"/>
  <c r="AE48" i="64"/>
  <c r="AE48" i="38" s="1"/>
  <c r="AG48" i="64"/>
  <c r="AG48" i="38" s="1"/>
  <c r="AH48" i="64"/>
  <c r="AI48" i="64"/>
  <c r="AI48" i="38" s="1"/>
  <c r="AJ48" i="64"/>
  <c r="AJ48" i="38" s="1"/>
  <c r="AK48" i="64"/>
  <c r="AM48" i="64"/>
  <c r="AM48" i="38" s="1"/>
  <c r="S49" i="64"/>
  <c r="S49" i="38" s="1"/>
  <c r="T49" i="64"/>
  <c r="T49" i="38" s="1"/>
  <c r="V49" i="64"/>
  <c r="V49" i="38" s="1"/>
  <c r="W49" i="64"/>
  <c r="W49" i="38" s="1"/>
  <c r="Y49" i="64"/>
  <c r="Y49" i="38" s="1"/>
  <c r="Z49" i="64"/>
  <c r="Z49" i="38" s="1"/>
  <c r="AB49" i="64"/>
  <c r="AE49" i="64"/>
  <c r="AE49" i="38" s="1"/>
  <c r="AG49" i="64"/>
  <c r="AT49" i="64" s="1"/>
  <c r="AH49" i="64"/>
  <c r="AI49" i="64"/>
  <c r="AJ49" i="64"/>
  <c r="AJ49" i="38" s="1"/>
  <c r="AK49" i="64"/>
  <c r="AM49" i="64"/>
  <c r="AM49" i="38" s="1"/>
  <c r="S50" i="64"/>
  <c r="S50" i="38" s="1"/>
  <c r="T50" i="64"/>
  <c r="T50" i="38" s="1"/>
  <c r="V50" i="64"/>
  <c r="W50" i="64"/>
  <c r="W50" i="38" s="1"/>
  <c r="Y50" i="64"/>
  <c r="Z50" i="64"/>
  <c r="Z50" i="38" s="1"/>
  <c r="AB50" i="64"/>
  <c r="AE50" i="64"/>
  <c r="AE50" i="38" s="1"/>
  <c r="AG50" i="64"/>
  <c r="AG50" i="38" s="1"/>
  <c r="AH50" i="64"/>
  <c r="AI50" i="64"/>
  <c r="AJ50" i="64"/>
  <c r="AJ50" i="38" s="1"/>
  <c r="AK50" i="64"/>
  <c r="AM50" i="64"/>
  <c r="AM50" i="38" s="1"/>
  <c r="S51" i="64"/>
  <c r="U51" i="64" s="1"/>
  <c r="AD51" i="64" s="1"/>
  <c r="T51" i="64"/>
  <c r="T51" i="38" s="1"/>
  <c r="V51" i="64"/>
  <c r="X51" i="64" s="1"/>
  <c r="AN51" i="64" s="1"/>
  <c r="AN51" i="38" s="1"/>
  <c r="W51" i="64"/>
  <c r="W51" i="38" s="1"/>
  <c r="Y51" i="64"/>
  <c r="Y51" i="38" s="1"/>
  <c r="Z51" i="64"/>
  <c r="Z51" i="38" s="1"/>
  <c r="AB51" i="64"/>
  <c r="AE51" i="64"/>
  <c r="AE51" i="38" s="1"/>
  <c r="AG51" i="64"/>
  <c r="AG51" i="38" s="1"/>
  <c r="AH51" i="64"/>
  <c r="AI51" i="64"/>
  <c r="AJ51" i="64"/>
  <c r="AJ51" i="38" s="1"/>
  <c r="AK51" i="64"/>
  <c r="AM51" i="64"/>
  <c r="AM51" i="38" s="1"/>
  <c r="S52" i="64"/>
  <c r="S52" i="38" s="1"/>
  <c r="T52" i="64"/>
  <c r="T52" i="38" s="1"/>
  <c r="V52" i="64"/>
  <c r="V52" i="38" s="1"/>
  <c r="W52" i="64"/>
  <c r="W52" i="38" s="1"/>
  <c r="Y52" i="64"/>
  <c r="Y52" i="38" s="1"/>
  <c r="Z52" i="64"/>
  <c r="Z52" i="38" s="1"/>
  <c r="AB52" i="64"/>
  <c r="AE52" i="64"/>
  <c r="AE52" i="38" s="1"/>
  <c r="AG52" i="64"/>
  <c r="AG52" i="38" s="1"/>
  <c r="AH52" i="64"/>
  <c r="AI52" i="64"/>
  <c r="AJ52" i="64"/>
  <c r="AJ52" i="38" s="1"/>
  <c r="AK52" i="64"/>
  <c r="AM52" i="64"/>
  <c r="AM52" i="38" s="1"/>
  <c r="S53" i="64"/>
  <c r="T53" i="64"/>
  <c r="T53" i="38" s="1"/>
  <c r="V53" i="64"/>
  <c r="X53" i="64" s="1"/>
  <c r="AN53" i="64" s="1"/>
  <c r="AN53" i="38" s="1"/>
  <c r="W53" i="64"/>
  <c r="W53" i="38" s="1"/>
  <c r="Y53" i="64"/>
  <c r="Y53" i="38" s="1"/>
  <c r="Z53" i="64"/>
  <c r="Z53" i="38" s="1"/>
  <c r="AB53" i="64"/>
  <c r="AE53" i="64"/>
  <c r="AE53" i="38" s="1"/>
  <c r="AG53" i="64"/>
  <c r="AG53" i="38" s="1"/>
  <c r="AH53" i="64"/>
  <c r="AI53" i="64"/>
  <c r="AI53" i="38" s="1"/>
  <c r="AJ53" i="64"/>
  <c r="AJ53" i="38" s="1"/>
  <c r="AK53" i="64"/>
  <c r="AM53" i="64"/>
  <c r="AM53" i="38" s="1"/>
  <c r="S54" i="64"/>
  <c r="S54" i="38" s="1"/>
  <c r="T54" i="64"/>
  <c r="V54" i="64"/>
  <c r="X54" i="64" s="1"/>
  <c r="AN54" i="64" s="1"/>
  <c r="AN54" i="38" s="1"/>
  <c r="W54" i="64"/>
  <c r="W54" i="38" s="1"/>
  <c r="Y54" i="64"/>
  <c r="Z54" i="64"/>
  <c r="Z54" i="38" s="1"/>
  <c r="AB54" i="64"/>
  <c r="AE54" i="64"/>
  <c r="AE54" i="38" s="1"/>
  <c r="AG54" i="64"/>
  <c r="AG54" i="38" s="1"/>
  <c r="AH54" i="64"/>
  <c r="AI54" i="64"/>
  <c r="AJ54" i="64"/>
  <c r="AK54" i="64"/>
  <c r="AM54" i="64"/>
  <c r="AM54" i="38" s="1"/>
  <c r="S55" i="64"/>
  <c r="S55" i="38" s="1"/>
  <c r="T55" i="64"/>
  <c r="T55" i="38" s="1"/>
  <c r="U55" i="64"/>
  <c r="AD55" i="64" s="1"/>
  <c r="V55" i="64"/>
  <c r="W55" i="64"/>
  <c r="W55" i="38" s="1"/>
  <c r="Y55" i="64"/>
  <c r="Y55" i="38" s="1"/>
  <c r="Z55" i="64"/>
  <c r="Z55" i="38" s="1"/>
  <c r="AB55" i="64"/>
  <c r="AE55" i="64"/>
  <c r="AE55" i="38" s="1"/>
  <c r="AG55" i="64"/>
  <c r="AG55" i="38" s="1"/>
  <c r="AH55" i="64"/>
  <c r="AI55" i="64"/>
  <c r="AJ55" i="64"/>
  <c r="AJ55" i="38" s="1"/>
  <c r="AK55" i="64"/>
  <c r="AM55" i="64"/>
  <c r="AM55" i="38" s="1"/>
  <c r="S56" i="64"/>
  <c r="U56" i="64" s="1"/>
  <c r="AD56" i="64" s="1"/>
  <c r="T56" i="64"/>
  <c r="T56" i="38" s="1"/>
  <c r="V56" i="64"/>
  <c r="W56" i="64"/>
  <c r="W56" i="38" s="1"/>
  <c r="Y56" i="64"/>
  <c r="Y56" i="38" s="1"/>
  <c r="Z56" i="64"/>
  <c r="Z56" i="38" s="1"/>
  <c r="AB56" i="64"/>
  <c r="AE56" i="64"/>
  <c r="AE56" i="38" s="1"/>
  <c r="AG56" i="64"/>
  <c r="AG56" i="38" s="1"/>
  <c r="AH56" i="64"/>
  <c r="AI56" i="64"/>
  <c r="AJ56" i="64"/>
  <c r="AJ56" i="38" s="1"/>
  <c r="AK56" i="64"/>
  <c r="AM56" i="64"/>
  <c r="AM56" i="38" s="1"/>
  <c r="S57" i="64"/>
  <c r="T57" i="64"/>
  <c r="T57" i="38" s="1"/>
  <c r="V57" i="64"/>
  <c r="V57" i="38" s="1"/>
  <c r="W57" i="64"/>
  <c r="Y57" i="64"/>
  <c r="Z57" i="64"/>
  <c r="Z57" i="38" s="1"/>
  <c r="AB57" i="64"/>
  <c r="AE57" i="64"/>
  <c r="AE57" i="38" s="1"/>
  <c r="AG57" i="64"/>
  <c r="AG57" i="38" s="1"/>
  <c r="AH57" i="64"/>
  <c r="AI57" i="64"/>
  <c r="AJ57" i="64"/>
  <c r="AK57" i="64"/>
  <c r="AM57" i="64"/>
  <c r="AM57" i="38" s="1"/>
  <c r="S58" i="64"/>
  <c r="S58" i="38" s="1"/>
  <c r="T58" i="64"/>
  <c r="T58" i="38" s="1"/>
  <c r="U58" i="64"/>
  <c r="AD58" i="64" s="1"/>
  <c r="V58" i="64"/>
  <c r="V58" i="38" s="1"/>
  <c r="W58" i="64"/>
  <c r="W58" i="38" s="1"/>
  <c r="Y58" i="64"/>
  <c r="Z58" i="64"/>
  <c r="Z58" i="38" s="1"/>
  <c r="AB58" i="64"/>
  <c r="AE58" i="64"/>
  <c r="AE58" i="38" s="1"/>
  <c r="AG58" i="64"/>
  <c r="AG58" i="38" s="1"/>
  <c r="AH58" i="64"/>
  <c r="AI58" i="64"/>
  <c r="AI58" i="38" s="1"/>
  <c r="AJ58" i="64"/>
  <c r="AJ58" i="38" s="1"/>
  <c r="AK58" i="64"/>
  <c r="AM58" i="64"/>
  <c r="AM58" i="38" s="1"/>
  <c r="S59" i="64"/>
  <c r="S59" i="38" s="1"/>
  <c r="T59" i="64"/>
  <c r="T59" i="38" s="1"/>
  <c r="V59" i="64"/>
  <c r="V59" i="38" s="1"/>
  <c r="W59" i="64"/>
  <c r="W59" i="38" s="1"/>
  <c r="Y59" i="64"/>
  <c r="Z59" i="64"/>
  <c r="Z59" i="38" s="1"/>
  <c r="AB59" i="64"/>
  <c r="AE59" i="64"/>
  <c r="AE59" i="38" s="1"/>
  <c r="AG59" i="64"/>
  <c r="AG59" i="38" s="1"/>
  <c r="AH59" i="64"/>
  <c r="AI59" i="64"/>
  <c r="AJ59" i="64"/>
  <c r="AK59" i="64"/>
  <c r="AM59" i="64"/>
  <c r="AM59" i="38" s="1"/>
  <c r="S60" i="64"/>
  <c r="S60" i="38" s="1"/>
  <c r="T60" i="64"/>
  <c r="T60" i="38" s="1"/>
  <c r="V60" i="64"/>
  <c r="V60" i="38" s="1"/>
  <c r="W60" i="64"/>
  <c r="W60" i="38" s="1"/>
  <c r="Y60" i="64"/>
  <c r="Y60" i="38" s="1"/>
  <c r="Z60" i="64"/>
  <c r="Z60" i="38" s="1"/>
  <c r="AB60" i="64"/>
  <c r="AE60" i="64"/>
  <c r="AE60" i="38" s="1"/>
  <c r="AG60" i="64"/>
  <c r="AG60" i="38" s="1"/>
  <c r="AH60" i="64"/>
  <c r="AI60" i="64"/>
  <c r="AJ60" i="64"/>
  <c r="AJ60" i="38" s="1"/>
  <c r="AK60" i="64"/>
  <c r="AM60" i="64"/>
  <c r="AM60" i="38" s="1"/>
  <c r="S61" i="64"/>
  <c r="T61" i="64"/>
  <c r="T61" i="38" s="1"/>
  <c r="V61" i="64"/>
  <c r="W61" i="64"/>
  <c r="W61" i="38" s="1"/>
  <c r="Y61" i="64"/>
  <c r="Y61" i="38" s="1"/>
  <c r="Z61" i="64"/>
  <c r="Z61" i="38" s="1"/>
  <c r="AB61" i="64"/>
  <c r="AE61" i="64"/>
  <c r="AE61" i="38" s="1"/>
  <c r="AG61" i="64"/>
  <c r="AG61" i="38" s="1"/>
  <c r="AH61" i="64"/>
  <c r="AI61" i="64"/>
  <c r="AJ61" i="64"/>
  <c r="AJ61" i="38" s="1"/>
  <c r="AK61" i="64"/>
  <c r="AM61" i="64"/>
  <c r="AM61" i="38" s="1"/>
  <c r="S62" i="64"/>
  <c r="S62" i="38" s="1"/>
  <c r="T62" i="64"/>
  <c r="V62" i="64"/>
  <c r="W62" i="64"/>
  <c r="W62" i="38" s="1"/>
  <c r="Y62" i="64"/>
  <c r="Z62" i="64"/>
  <c r="Z62" i="38" s="1"/>
  <c r="AB62" i="64"/>
  <c r="AE62" i="64"/>
  <c r="AE62" i="38" s="1"/>
  <c r="AG62" i="64"/>
  <c r="AG62" i="38" s="1"/>
  <c r="AH62" i="64"/>
  <c r="AI62" i="64"/>
  <c r="AJ62" i="64"/>
  <c r="AJ62" i="38" s="1"/>
  <c r="AK62" i="64"/>
  <c r="AM62" i="64"/>
  <c r="AM62" i="38" s="1"/>
  <c r="S63" i="64"/>
  <c r="T63" i="64"/>
  <c r="T63" i="38" s="1"/>
  <c r="V63" i="64"/>
  <c r="W63" i="64"/>
  <c r="W63" i="38" s="1"/>
  <c r="Y63" i="64"/>
  <c r="Y63" i="38" s="1"/>
  <c r="Z63" i="64"/>
  <c r="Z63" i="38" s="1"/>
  <c r="AB63" i="64"/>
  <c r="AE63" i="64"/>
  <c r="AE63" i="38" s="1"/>
  <c r="AG63" i="64"/>
  <c r="AG63" i="38" s="1"/>
  <c r="AH63" i="64"/>
  <c r="AI63" i="64"/>
  <c r="AJ63" i="64"/>
  <c r="AJ63" i="38" s="1"/>
  <c r="AK63" i="64"/>
  <c r="AM63" i="64"/>
  <c r="AM63" i="38" s="1"/>
  <c r="S64" i="64"/>
  <c r="S64" i="38" s="1"/>
  <c r="T64" i="64"/>
  <c r="T64" i="38" s="1"/>
  <c r="V64" i="64"/>
  <c r="W64" i="64"/>
  <c r="W64" i="38" s="1"/>
  <c r="Y64" i="64"/>
  <c r="Y64" i="38" s="1"/>
  <c r="Z64" i="64"/>
  <c r="Z64" i="38" s="1"/>
  <c r="AB64" i="64"/>
  <c r="AE64" i="64"/>
  <c r="AE64" i="38" s="1"/>
  <c r="AG64" i="64"/>
  <c r="AG64" i="38" s="1"/>
  <c r="AH64" i="64"/>
  <c r="AI64" i="64"/>
  <c r="AJ64" i="64"/>
  <c r="AJ64" i="38" s="1"/>
  <c r="AK64" i="64"/>
  <c r="AM64" i="64"/>
  <c r="AM64" i="38" s="1"/>
  <c r="S65" i="64"/>
  <c r="S65" i="38" s="1"/>
  <c r="T65" i="64"/>
  <c r="T65" i="38" s="1"/>
  <c r="V65" i="64"/>
  <c r="V65" i="38" s="1"/>
  <c r="W65" i="64"/>
  <c r="Y65" i="64"/>
  <c r="Z65" i="64"/>
  <c r="Z65" i="38" s="1"/>
  <c r="AB65" i="64"/>
  <c r="AE65" i="64"/>
  <c r="AE65" i="38" s="1"/>
  <c r="AG65" i="64"/>
  <c r="AG65" i="38" s="1"/>
  <c r="AH65" i="64"/>
  <c r="AI65" i="64"/>
  <c r="AJ65" i="64"/>
  <c r="AJ65" i="38" s="1"/>
  <c r="AK65" i="64"/>
  <c r="AM65" i="64"/>
  <c r="AM65" i="38" s="1"/>
  <c r="S66" i="64"/>
  <c r="S66" i="38" s="1"/>
  <c r="T66" i="64"/>
  <c r="T66" i="38" s="1"/>
  <c r="V66" i="64"/>
  <c r="W66" i="64"/>
  <c r="W66" i="38" s="1"/>
  <c r="Y66" i="64"/>
  <c r="Z66" i="64"/>
  <c r="Z66" i="38" s="1"/>
  <c r="AB66" i="64"/>
  <c r="AE66" i="64"/>
  <c r="AE66" i="38" s="1"/>
  <c r="AG66" i="64"/>
  <c r="AG66" i="38" s="1"/>
  <c r="AH66" i="64"/>
  <c r="AI66" i="64"/>
  <c r="AJ66" i="64"/>
  <c r="AK66" i="64"/>
  <c r="AM66" i="64"/>
  <c r="AM66" i="38" s="1"/>
  <c r="S67" i="64"/>
  <c r="S67" i="38" s="1"/>
  <c r="T67" i="64"/>
  <c r="T67" i="38" s="1"/>
  <c r="V67" i="64"/>
  <c r="V67" i="38" s="1"/>
  <c r="W67" i="64"/>
  <c r="Y67" i="64"/>
  <c r="Z67" i="64"/>
  <c r="Z67" i="38" s="1"/>
  <c r="AB67" i="64"/>
  <c r="AE67" i="64"/>
  <c r="AE67" i="38" s="1"/>
  <c r="AG67" i="64"/>
  <c r="AG67" i="38" s="1"/>
  <c r="AH67" i="64"/>
  <c r="AI67" i="64"/>
  <c r="AJ67" i="64"/>
  <c r="AK67" i="64"/>
  <c r="AM67" i="64"/>
  <c r="AM67" i="38" s="1"/>
  <c r="S68" i="64"/>
  <c r="S68" i="38" s="1"/>
  <c r="T68" i="64"/>
  <c r="T68" i="38" s="1"/>
  <c r="V68" i="64"/>
  <c r="W68" i="64"/>
  <c r="W68" i="38" s="1"/>
  <c r="Y68" i="64"/>
  <c r="Y68" i="38" s="1"/>
  <c r="Z68" i="64"/>
  <c r="AB68" i="64"/>
  <c r="AE68" i="64"/>
  <c r="AE68" i="38" s="1"/>
  <c r="AG68" i="64"/>
  <c r="AG68" i="38" s="1"/>
  <c r="AH68" i="64"/>
  <c r="AI68" i="64"/>
  <c r="AJ68" i="64"/>
  <c r="AJ68" i="38" s="1"/>
  <c r="AK68" i="64"/>
  <c r="AM68" i="64"/>
  <c r="AM68" i="38" s="1"/>
  <c r="S69" i="64"/>
  <c r="T69" i="64"/>
  <c r="T69" i="38" s="1"/>
  <c r="V69" i="64"/>
  <c r="W69" i="64"/>
  <c r="W69" i="38" s="1"/>
  <c r="Y69" i="64"/>
  <c r="Z69" i="64"/>
  <c r="Z69" i="38" s="1"/>
  <c r="AB69" i="64"/>
  <c r="AE69" i="64"/>
  <c r="AE69" i="38" s="1"/>
  <c r="AG69" i="64"/>
  <c r="AG69" i="38" s="1"/>
  <c r="AH69" i="64"/>
  <c r="AI69" i="64"/>
  <c r="AJ69" i="64"/>
  <c r="AJ69" i="38" s="1"/>
  <c r="AK69" i="64"/>
  <c r="AM69" i="64"/>
  <c r="AM69" i="38" s="1"/>
  <c r="S70" i="64"/>
  <c r="S70" i="38" s="1"/>
  <c r="T70" i="64"/>
  <c r="V70" i="64"/>
  <c r="W70" i="64"/>
  <c r="W70" i="38" s="1"/>
  <c r="Y70" i="64"/>
  <c r="Y70" i="38" s="1"/>
  <c r="Z70" i="64"/>
  <c r="AB70" i="64"/>
  <c r="AE70" i="64"/>
  <c r="AE70" i="38" s="1"/>
  <c r="AG70" i="64"/>
  <c r="AG70" i="38" s="1"/>
  <c r="AH70" i="64"/>
  <c r="AU70" i="64" s="1"/>
  <c r="AI70" i="64"/>
  <c r="AJ70" i="64"/>
  <c r="AJ70" i="38" s="1"/>
  <c r="AK70" i="64"/>
  <c r="AM70" i="64"/>
  <c r="AM70" i="38" s="1"/>
  <c r="S71" i="64"/>
  <c r="S71" i="38" s="1"/>
  <c r="T71" i="64"/>
  <c r="T71" i="38" s="1"/>
  <c r="V71" i="64"/>
  <c r="W71" i="64"/>
  <c r="W71" i="38" s="1"/>
  <c r="Y71" i="64"/>
  <c r="Y71" i="38" s="1"/>
  <c r="Z71" i="64"/>
  <c r="Z71" i="38" s="1"/>
  <c r="AB71" i="64"/>
  <c r="AE71" i="64"/>
  <c r="AE71" i="38" s="1"/>
  <c r="AG71" i="64"/>
  <c r="AG71" i="38" s="1"/>
  <c r="AH71" i="64"/>
  <c r="AI71" i="64"/>
  <c r="AJ71" i="64"/>
  <c r="AJ71" i="38" s="1"/>
  <c r="AK71" i="64"/>
  <c r="AM71" i="64"/>
  <c r="AM71" i="38" s="1"/>
  <c r="S72" i="64"/>
  <c r="S72" i="38" s="1"/>
  <c r="T72" i="64"/>
  <c r="U72" i="64" s="1"/>
  <c r="V72" i="64"/>
  <c r="V72" i="38" s="1"/>
  <c r="W72" i="64"/>
  <c r="W72" i="38" s="1"/>
  <c r="Y72" i="64"/>
  <c r="Y72" i="38" s="1"/>
  <c r="Z72" i="64"/>
  <c r="Z72" i="38" s="1"/>
  <c r="AB72" i="64"/>
  <c r="AD72" i="64"/>
  <c r="AE72" i="64"/>
  <c r="AE72" i="38" s="1"/>
  <c r="AG72" i="64"/>
  <c r="AG72" i="38" s="1"/>
  <c r="AH72" i="64"/>
  <c r="AI72" i="64"/>
  <c r="AJ72" i="64"/>
  <c r="AJ72" i="38" s="1"/>
  <c r="AK72" i="64"/>
  <c r="AM72" i="64"/>
  <c r="AM72" i="38" s="1"/>
  <c r="S73" i="64"/>
  <c r="U73" i="64" s="1"/>
  <c r="AD73" i="64" s="1"/>
  <c r="T73" i="64"/>
  <c r="T73" i="38" s="1"/>
  <c r="V73" i="64"/>
  <c r="V73" i="38" s="1"/>
  <c r="W73" i="64"/>
  <c r="Y73" i="64"/>
  <c r="AA73" i="64" s="1"/>
  <c r="Z73" i="64"/>
  <c r="Z73" i="38" s="1"/>
  <c r="AB73" i="64"/>
  <c r="AE73" i="64"/>
  <c r="AE73" i="38" s="1"/>
  <c r="AG73" i="64"/>
  <c r="AG73" i="38" s="1"/>
  <c r="AH73" i="64"/>
  <c r="AI73" i="64"/>
  <c r="AJ73" i="64"/>
  <c r="AJ73" i="38" s="1"/>
  <c r="AK73" i="64"/>
  <c r="AM73" i="64"/>
  <c r="AM73" i="38" s="1"/>
  <c r="S74" i="64"/>
  <c r="T74" i="64"/>
  <c r="T74" i="38" s="1"/>
  <c r="V74" i="64"/>
  <c r="W74" i="64"/>
  <c r="W74" i="38" s="1"/>
  <c r="Y74" i="64"/>
  <c r="Y74" i="38" s="1"/>
  <c r="Z74" i="64"/>
  <c r="Z74" i="38" s="1"/>
  <c r="AB74" i="64"/>
  <c r="AE74" i="64"/>
  <c r="AE74" i="38" s="1"/>
  <c r="AG74" i="64"/>
  <c r="AG74" i="38" s="1"/>
  <c r="AH74" i="64"/>
  <c r="AI74" i="64"/>
  <c r="AJ74" i="64"/>
  <c r="AK74" i="64"/>
  <c r="AM74" i="64"/>
  <c r="AM74" i="38" s="1"/>
  <c r="S75" i="64"/>
  <c r="S75" i="38" s="1"/>
  <c r="T75" i="64"/>
  <c r="T75" i="38" s="1"/>
  <c r="V75" i="64"/>
  <c r="V75" i="38" s="1"/>
  <c r="W75" i="64"/>
  <c r="Y75" i="64"/>
  <c r="Y75" i="38" s="1"/>
  <c r="Z75" i="64"/>
  <c r="Z75" i="38" s="1"/>
  <c r="AB75" i="64"/>
  <c r="AE75" i="64"/>
  <c r="AE75" i="38" s="1"/>
  <c r="AG75" i="64"/>
  <c r="AG75" i="38" s="1"/>
  <c r="AH75" i="64"/>
  <c r="AI75" i="64"/>
  <c r="AJ75" i="64"/>
  <c r="AK75" i="64"/>
  <c r="AM75" i="64"/>
  <c r="AM75" i="38" s="1"/>
  <c r="S76" i="64"/>
  <c r="S76" i="38" s="1"/>
  <c r="T76" i="64"/>
  <c r="T76" i="38" s="1"/>
  <c r="V76" i="64"/>
  <c r="V76" i="38" s="1"/>
  <c r="W76" i="64"/>
  <c r="W76" i="38" s="1"/>
  <c r="Y76" i="64"/>
  <c r="Y76" i="38" s="1"/>
  <c r="Z76" i="64"/>
  <c r="Z76" i="38" s="1"/>
  <c r="AB76" i="64"/>
  <c r="AE76" i="64"/>
  <c r="AE76" i="38" s="1"/>
  <c r="AG76" i="64"/>
  <c r="AG76" i="38" s="1"/>
  <c r="AH76" i="64"/>
  <c r="AI76" i="64"/>
  <c r="AJ76" i="64"/>
  <c r="AJ76" i="38" s="1"/>
  <c r="AK76" i="64"/>
  <c r="AM76" i="64"/>
  <c r="AM76" i="38" s="1"/>
  <c r="S77" i="64"/>
  <c r="S77" i="38" s="1"/>
  <c r="T77" i="64"/>
  <c r="T77" i="38" s="1"/>
  <c r="V77" i="64"/>
  <c r="W77" i="64"/>
  <c r="W77" i="38" s="1"/>
  <c r="Y77" i="64"/>
  <c r="Y77" i="38" s="1"/>
  <c r="Z77" i="64"/>
  <c r="Z77" i="38" s="1"/>
  <c r="AB77" i="64"/>
  <c r="AE77" i="64"/>
  <c r="AE77" i="38" s="1"/>
  <c r="AG77" i="64"/>
  <c r="AT77" i="64" s="1"/>
  <c r="AH77" i="64"/>
  <c r="AI77" i="64"/>
  <c r="AI77" i="38" s="1"/>
  <c r="AJ77" i="64"/>
  <c r="AJ77" i="38" s="1"/>
  <c r="AK77" i="64"/>
  <c r="AM77" i="64"/>
  <c r="AM77" i="38" s="1"/>
  <c r="S78" i="64"/>
  <c r="S78" i="38" s="1"/>
  <c r="T78" i="64"/>
  <c r="V78" i="64"/>
  <c r="W78" i="64"/>
  <c r="W78" i="38" s="1"/>
  <c r="Y78" i="64"/>
  <c r="Z78" i="64"/>
  <c r="Z78" i="38" s="1"/>
  <c r="AB78" i="64"/>
  <c r="AE78" i="64"/>
  <c r="AE78" i="38" s="1"/>
  <c r="AG78" i="64"/>
  <c r="AG78" i="38" s="1"/>
  <c r="AH78" i="64"/>
  <c r="AI78" i="64"/>
  <c r="AJ78" i="64"/>
  <c r="AK78" i="64"/>
  <c r="AM78" i="64"/>
  <c r="AM78" i="38" s="1"/>
  <c r="S79" i="64"/>
  <c r="S79" i="38" s="1"/>
  <c r="T79" i="64"/>
  <c r="T79" i="38" s="1"/>
  <c r="V79" i="64"/>
  <c r="W79" i="64"/>
  <c r="W79" i="38" s="1"/>
  <c r="Y79" i="64"/>
  <c r="Y79" i="38" s="1"/>
  <c r="Z79" i="64"/>
  <c r="Z79" i="38" s="1"/>
  <c r="AB79" i="64"/>
  <c r="AE79" i="64"/>
  <c r="AE79" i="38" s="1"/>
  <c r="AG79" i="64"/>
  <c r="AG79" i="38" s="1"/>
  <c r="AH79" i="64"/>
  <c r="AI79" i="64"/>
  <c r="AI79" i="38" s="1"/>
  <c r="AJ79" i="64"/>
  <c r="AJ79" i="38" s="1"/>
  <c r="AK79" i="64"/>
  <c r="AM79" i="64"/>
  <c r="AM79" i="38" s="1"/>
  <c r="S80" i="64"/>
  <c r="T80" i="64"/>
  <c r="T80" i="38" s="1"/>
  <c r="V80" i="64"/>
  <c r="W80" i="64"/>
  <c r="W80" i="38" s="1"/>
  <c r="Y80" i="64"/>
  <c r="Z80" i="64"/>
  <c r="Z80" i="38" s="1"/>
  <c r="AB80" i="64"/>
  <c r="AE80" i="64"/>
  <c r="AE80" i="38" s="1"/>
  <c r="AG80" i="64"/>
  <c r="AT80" i="64" s="1"/>
  <c r="AH80" i="64"/>
  <c r="AI80" i="64"/>
  <c r="AJ80" i="64"/>
  <c r="AJ80" i="38" s="1"/>
  <c r="AK80" i="64"/>
  <c r="AM80" i="64"/>
  <c r="AM80" i="38" s="1"/>
  <c r="S81" i="64"/>
  <c r="S81" i="38" s="1"/>
  <c r="T81" i="64"/>
  <c r="T81" i="38" s="1"/>
  <c r="V81" i="64"/>
  <c r="V81" i="38" s="1"/>
  <c r="W81" i="64"/>
  <c r="W81" i="38" s="1"/>
  <c r="Y81" i="64"/>
  <c r="AA81" i="64" s="1"/>
  <c r="Z81" i="64"/>
  <c r="Z81" i="38" s="1"/>
  <c r="AB81" i="64"/>
  <c r="AE81" i="64"/>
  <c r="AE81" i="38" s="1"/>
  <c r="AG81" i="64"/>
  <c r="AG81" i="38" s="1"/>
  <c r="AH81" i="64"/>
  <c r="AI81" i="64"/>
  <c r="AJ81" i="64"/>
  <c r="AJ81" i="38" s="1"/>
  <c r="AK81" i="64"/>
  <c r="AM81" i="64"/>
  <c r="AM81" i="38" s="1"/>
  <c r="S82" i="64"/>
  <c r="T82" i="64"/>
  <c r="T82" i="38" s="1"/>
  <c r="V82" i="64"/>
  <c r="W82" i="64"/>
  <c r="W82" i="38" s="1"/>
  <c r="Y82" i="64"/>
  <c r="Z82" i="64"/>
  <c r="Z82" i="38" s="1"/>
  <c r="AB82" i="64"/>
  <c r="AE82" i="64"/>
  <c r="AE82" i="38" s="1"/>
  <c r="AG82" i="64"/>
  <c r="AT82" i="64" s="1"/>
  <c r="AH82" i="64"/>
  <c r="AI82" i="64"/>
  <c r="AI82" i="38" s="1"/>
  <c r="AJ82" i="64"/>
  <c r="AJ82" i="38" s="1"/>
  <c r="AK82" i="64"/>
  <c r="AM82" i="64"/>
  <c r="AM82" i="38" s="1"/>
  <c r="S83" i="64"/>
  <c r="T83" i="64"/>
  <c r="T83" i="38" s="1"/>
  <c r="V83" i="64"/>
  <c r="V83" i="38" s="1"/>
  <c r="W83" i="64"/>
  <c r="W83" i="38" s="1"/>
  <c r="Y83" i="64"/>
  <c r="Y83" i="38" s="1"/>
  <c r="Z83" i="64"/>
  <c r="Z83" i="38" s="1"/>
  <c r="AB83" i="64"/>
  <c r="AE83" i="64"/>
  <c r="AE83" i="38" s="1"/>
  <c r="AG83" i="64"/>
  <c r="AG83" i="38" s="1"/>
  <c r="AH83" i="64"/>
  <c r="AI83" i="64"/>
  <c r="AJ83" i="64"/>
  <c r="AJ83" i="38" s="1"/>
  <c r="AK83" i="64"/>
  <c r="AM83" i="64"/>
  <c r="AM83" i="38" s="1"/>
  <c r="S84" i="64"/>
  <c r="S84" i="38" s="1"/>
  <c r="T84" i="64"/>
  <c r="T84" i="38" s="1"/>
  <c r="V84" i="64"/>
  <c r="W84" i="64"/>
  <c r="W84" i="38" s="1"/>
  <c r="Y84" i="64"/>
  <c r="Y84" i="38" s="1"/>
  <c r="Z84" i="64"/>
  <c r="AA84" i="64" s="1"/>
  <c r="AB84" i="64"/>
  <c r="AE84" i="64"/>
  <c r="AE84" i="38" s="1"/>
  <c r="AG84" i="64"/>
  <c r="AG84" i="38" s="1"/>
  <c r="AH84" i="64"/>
  <c r="AI84" i="64"/>
  <c r="AI84" i="38" s="1"/>
  <c r="AJ84" i="64"/>
  <c r="AJ84" i="38" s="1"/>
  <c r="AK84" i="64"/>
  <c r="AM84" i="64"/>
  <c r="AM84" i="38" s="1"/>
  <c r="S85" i="64"/>
  <c r="T85" i="64"/>
  <c r="T85" i="38" s="1"/>
  <c r="V85" i="64"/>
  <c r="X85" i="64" s="1"/>
  <c r="AN85" i="64" s="1"/>
  <c r="AN85" i="38" s="1"/>
  <c r="W85" i="64"/>
  <c r="W85" i="38" s="1"/>
  <c r="Y85" i="64"/>
  <c r="Z85" i="64"/>
  <c r="Z85" i="38" s="1"/>
  <c r="AB85" i="64"/>
  <c r="AE85" i="64"/>
  <c r="AE85" i="38" s="1"/>
  <c r="AG85" i="64"/>
  <c r="AG85" i="38" s="1"/>
  <c r="AH85" i="64"/>
  <c r="AI85" i="64"/>
  <c r="AJ85" i="64"/>
  <c r="AJ85" i="38" s="1"/>
  <c r="AK85" i="64"/>
  <c r="AM85" i="64"/>
  <c r="AM85" i="38" s="1"/>
  <c r="S86" i="64"/>
  <c r="S86" i="38" s="1"/>
  <c r="T86" i="64"/>
  <c r="V86" i="64"/>
  <c r="V86" i="38" s="1"/>
  <c r="W86" i="64"/>
  <c r="W86" i="38" s="1"/>
  <c r="Y86" i="64"/>
  <c r="Z86" i="64"/>
  <c r="Z86" i="38" s="1"/>
  <c r="AB86" i="64"/>
  <c r="AE86" i="64"/>
  <c r="AE86" i="38" s="1"/>
  <c r="AG86" i="64"/>
  <c r="AG86" i="38" s="1"/>
  <c r="AH86" i="64"/>
  <c r="AI86" i="64"/>
  <c r="AI86" i="38" s="1"/>
  <c r="AJ86" i="64"/>
  <c r="AJ86" i="38" s="1"/>
  <c r="AK86" i="64"/>
  <c r="AM86" i="64"/>
  <c r="AM86" i="38" s="1"/>
  <c r="S87" i="64"/>
  <c r="T87" i="64"/>
  <c r="T87" i="38" s="1"/>
  <c r="V87" i="64"/>
  <c r="V87" i="38" s="1"/>
  <c r="W87" i="64"/>
  <c r="W87" i="38" s="1"/>
  <c r="Y87" i="64"/>
  <c r="Y87" i="38" s="1"/>
  <c r="Z87" i="64"/>
  <c r="Z87" i="38" s="1"/>
  <c r="AB87" i="64"/>
  <c r="AE87" i="64"/>
  <c r="AE87" i="38" s="1"/>
  <c r="AG87" i="64"/>
  <c r="AG87" i="38" s="1"/>
  <c r="AH87" i="64"/>
  <c r="AI87" i="64"/>
  <c r="AJ87" i="64"/>
  <c r="AK87" i="64"/>
  <c r="AM87" i="64"/>
  <c r="AM87" i="38" s="1"/>
  <c r="S88" i="64"/>
  <c r="T88" i="64"/>
  <c r="T88" i="38" s="1"/>
  <c r="V88" i="64"/>
  <c r="W88" i="64"/>
  <c r="W88" i="38" s="1"/>
  <c r="Y88" i="64"/>
  <c r="Z88" i="64"/>
  <c r="Z88" i="38" s="1"/>
  <c r="AB88" i="64"/>
  <c r="AE88" i="64"/>
  <c r="AE88" i="38" s="1"/>
  <c r="AG88" i="64"/>
  <c r="AG88" i="38" s="1"/>
  <c r="AH88" i="64"/>
  <c r="AI88" i="64"/>
  <c r="AJ88" i="64"/>
  <c r="AK88" i="64"/>
  <c r="AM88" i="64"/>
  <c r="AM88" i="38" s="1"/>
  <c r="S89" i="64"/>
  <c r="T89" i="64"/>
  <c r="T89" i="38" s="1"/>
  <c r="V89" i="64"/>
  <c r="V89" i="38" s="1"/>
  <c r="W89" i="64"/>
  <c r="Y89" i="64"/>
  <c r="Z89" i="64"/>
  <c r="Z89" i="38" s="1"/>
  <c r="AB89" i="64"/>
  <c r="AE89" i="64"/>
  <c r="AE89" i="38" s="1"/>
  <c r="AG89" i="64"/>
  <c r="AG89" i="38" s="1"/>
  <c r="AH89" i="64"/>
  <c r="AI89" i="64"/>
  <c r="AJ89" i="64"/>
  <c r="AK89" i="64"/>
  <c r="AM89" i="64"/>
  <c r="AM89" i="38" s="1"/>
  <c r="S90" i="64"/>
  <c r="T90" i="64"/>
  <c r="T90" i="38" s="1"/>
  <c r="V90" i="64"/>
  <c r="V90" i="38" s="1"/>
  <c r="W90" i="64"/>
  <c r="W90" i="38" s="1"/>
  <c r="Y90" i="64"/>
  <c r="Y90" i="38" s="1"/>
  <c r="Z90" i="64"/>
  <c r="Z90" i="38" s="1"/>
  <c r="AB90" i="64"/>
  <c r="AE90" i="64"/>
  <c r="AE90" i="38" s="1"/>
  <c r="AG90" i="64"/>
  <c r="AG90" i="38" s="1"/>
  <c r="AH90" i="64"/>
  <c r="AI90" i="64"/>
  <c r="AJ90" i="64"/>
  <c r="AJ90" i="38" s="1"/>
  <c r="AK90" i="64"/>
  <c r="AM90" i="64"/>
  <c r="AM90" i="38" s="1"/>
  <c r="S91" i="64"/>
  <c r="S91" i="38" s="1"/>
  <c r="T91" i="64"/>
  <c r="T91" i="38" s="1"/>
  <c r="V91" i="64"/>
  <c r="V91" i="38" s="1"/>
  <c r="W91" i="64"/>
  <c r="Y91" i="64"/>
  <c r="Z91" i="64"/>
  <c r="Z91" i="38" s="1"/>
  <c r="AB91" i="64"/>
  <c r="AE91" i="64"/>
  <c r="AE91" i="38" s="1"/>
  <c r="AG91" i="64"/>
  <c r="AG91" i="38" s="1"/>
  <c r="AH91" i="64"/>
  <c r="AI91" i="64"/>
  <c r="AJ91" i="64"/>
  <c r="AJ91" i="38" s="1"/>
  <c r="AK91" i="64"/>
  <c r="AM91" i="64"/>
  <c r="AM91" i="38" s="1"/>
  <c r="S92" i="64"/>
  <c r="S92" i="38" s="1"/>
  <c r="T92" i="64"/>
  <c r="T92" i="38" s="1"/>
  <c r="V92" i="64"/>
  <c r="V92" i="38" s="1"/>
  <c r="W92" i="64"/>
  <c r="Y92" i="64"/>
  <c r="Z92" i="64"/>
  <c r="Z92" i="38" s="1"/>
  <c r="AB92" i="64"/>
  <c r="AE92" i="64"/>
  <c r="AE92" i="38" s="1"/>
  <c r="AG92" i="64"/>
  <c r="AG92" i="38" s="1"/>
  <c r="AH92" i="64"/>
  <c r="AI92" i="64"/>
  <c r="AI92" i="38" s="1"/>
  <c r="AJ92" i="64"/>
  <c r="AJ92" i="38" s="1"/>
  <c r="AK92" i="64"/>
  <c r="AM92" i="64"/>
  <c r="AM92" i="38" s="1"/>
  <c r="S93" i="64"/>
  <c r="S93" i="38" s="1"/>
  <c r="T93" i="64"/>
  <c r="T93" i="38" s="1"/>
  <c r="V93" i="64"/>
  <c r="V93" i="38" s="1"/>
  <c r="W93" i="64"/>
  <c r="W93" i="38" s="1"/>
  <c r="Y93" i="64"/>
  <c r="Y93" i="38" s="1"/>
  <c r="Z93" i="64"/>
  <c r="Z93" i="38" s="1"/>
  <c r="AA93" i="64"/>
  <c r="AB93" i="64"/>
  <c r="AE93" i="64"/>
  <c r="AE93" i="38" s="1"/>
  <c r="AG93" i="64"/>
  <c r="AG93" i="38" s="1"/>
  <c r="AH93" i="64"/>
  <c r="AI93" i="64"/>
  <c r="AJ93" i="64"/>
  <c r="AJ93" i="38" s="1"/>
  <c r="AK93" i="64"/>
  <c r="AM93" i="64"/>
  <c r="AM93" i="38" s="1"/>
  <c r="S94" i="64"/>
  <c r="T94" i="64"/>
  <c r="T94" i="38" s="1"/>
  <c r="V94" i="64"/>
  <c r="W94" i="64"/>
  <c r="W94" i="38" s="1"/>
  <c r="Y94" i="64"/>
  <c r="Y94" i="38" s="1"/>
  <c r="Z94" i="64"/>
  <c r="Z94" i="38" s="1"/>
  <c r="AB94" i="64"/>
  <c r="AE94" i="64"/>
  <c r="AE94" i="38" s="1"/>
  <c r="AG94" i="64"/>
  <c r="AG94" i="38" s="1"/>
  <c r="AH94" i="64"/>
  <c r="AI94" i="64"/>
  <c r="AJ94" i="64"/>
  <c r="AJ94" i="38" s="1"/>
  <c r="AK94" i="64"/>
  <c r="AM94" i="64"/>
  <c r="AM94" i="38" s="1"/>
  <c r="S95" i="64"/>
  <c r="S95" i="38" s="1"/>
  <c r="T95" i="64"/>
  <c r="T95" i="38" s="1"/>
  <c r="V95" i="64"/>
  <c r="W95" i="64"/>
  <c r="W95" i="38" s="1"/>
  <c r="Y95" i="64"/>
  <c r="Y95" i="38" s="1"/>
  <c r="Z95" i="64"/>
  <c r="AB95" i="64"/>
  <c r="AE95" i="64"/>
  <c r="AE95" i="38" s="1"/>
  <c r="AG95" i="64"/>
  <c r="AG95" i="38" s="1"/>
  <c r="AH95" i="64"/>
  <c r="AI95" i="64"/>
  <c r="AJ95" i="64"/>
  <c r="AJ95" i="38" s="1"/>
  <c r="AK95" i="64"/>
  <c r="AM95" i="64"/>
  <c r="AM95" i="38" s="1"/>
  <c r="S96" i="64"/>
  <c r="S96" i="38" s="1"/>
  <c r="T96" i="64"/>
  <c r="T96" i="38" s="1"/>
  <c r="U96" i="64"/>
  <c r="AD96" i="64" s="1"/>
  <c r="V96" i="64"/>
  <c r="W96" i="64"/>
  <c r="W96" i="38" s="1"/>
  <c r="Y96" i="64"/>
  <c r="Y96" i="38" s="1"/>
  <c r="Z96" i="64"/>
  <c r="Z96" i="38" s="1"/>
  <c r="AB96" i="64"/>
  <c r="AE96" i="64"/>
  <c r="AE96" i="38" s="1"/>
  <c r="AG96" i="64"/>
  <c r="AG96" i="38" s="1"/>
  <c r="AH96" i="64"/>
  <c r="AI96" i="64"/>
  <c r="AJ96" i="64"/>
  <c r="AK96" i="64"/>
  <c r="AM96" i="64"/>
  <c r="AM96" i="38" s="1"/>
  <c r="S97" i="64"/>
  <c r="S97" i="38" s="1"/>
  <c r="T97" i="64"/>
  <c r="U97" i="64" s="1"/>
  <c r="AD97" i="64" s="1"/>
  <c r="V97" i="64"/>
  <c r="W97" i="64"/>
  <c r="W97" i="38" s="1"/>
  <c r="Y97" i="64"/>
  <c r="Z97" i="64"/>
  <c r="Z97" i="38" s="1"/>
  <c r="AB97" i="64"/>
  <c r="AE97" i="64"/>
  <c r="AE97" i="38" s="1"/>
  <c r="AG97" i="64"/>
  <c r="AG97" i="38" s="1"/>
  <c r="AH97" i="64"/>
  <c r="AI97" i="64"/>
  <c r="AJ97" i="64"/>
  <c r="AJ97" i="38" s="1"/>
  <c r="AK97" i="64"/>
  <c r="AM97" i="64"/>
  <c r="AM97" i="38" s="1"/>
  <c r="S98" i="64"/>
  <c r="S98" i="38" s="1"/>
  <c r="T98" i="64"/>
  <c r="U98" i="64" s="1"/>
  <c r="AD98" i="64" s="1"/>
  <c r="V98" i="64"/>
  <c r="V98" i="38" s="1"/>
  <c r="W98" i="64"/>
  <c r="W98" i="38" s="1"/>
  <c r="Y98" i="64"/>
  <c r="Z98" i="64"/>
  <c r="Z98" i="38" s="1"/>
  <c r="AB98" i="64"/>
  <c r="AE98" i="64"/>
  <c r="AE98" i="38" s="1"/>
  <c r="AG98" i="64"/>
  <c r="AG98" i="38" s="1"/>
  <c r="AH98" i="64"/>
  <c r="AI98" i="64"/>
  <c r="AJ98" i="64"/>
  <c r="AJ98" i="38" s="1"/>
  <c r="AK98" i="64"/>
  <c r="AM98" i="64"/>
  <c r="AM98" i="38" s="1"/>
  <c r="S99" i="64"/>
  <c r="S99" i="38" s="1"/>
  <c r="T99" i="64"/>
  <c r="T99" i="38" s="1"/>
  <c r="V99" i="64"/>
  <c r="V99" i="38" s="1"/>
  <c r="W99" i="64"/>
  <c r="W99" i="38" s="1"/>
  <c r="Y99" i="64"/>
  <c r="Z99" i="64"/>
  <c r="Z99" i="38" s="1"/>
  <c r="AB99" i="64"/>
  <c r="AE99" i="64"/>
  <c r="AE99" i="38" s="1"/>
  <c r="AG99" i="64"/>
  <c r="AG99" i="38" s="1"/>
  <c r="AH99" i="64"/>
  <c r="AI99" i="64"/>
  <c r="AJ99" i="64"/>
  <c r="AJ99" i="38" s="1"/>
  <c r="AK99" i="64"/>
  <c r="AM99" i="64"/>
  <c r="AM99" i="38" s="1"/>
  <c r="S100" i="64"/>
  <c r="S100" i="38" s="1"/>
  <c r="T100" i="64"/>
  <c r="T100" i="38" s="1"/>
  <c r="V100" i="64"/>
  <c r="V100" i="38" s="1"/>
  <c r="W100" i="64"/>
  <c r="Y100" i="64"/>
  <c r="Z100" i="64"/>
  <c r="Z100" i="38" s="1"/>
  <c r="AB100" i="64"/>
  <c r="AE100" i="64"/>
  <c r="AE100" i="38" s="1"/>
  <c r="AG100" i="64"/>
  <c r="AG100" i="38" s="1"/>
  <c r="AH100" i="64"/>
  <c r="AU100" i="64" s="1"/>
  <c r="AI100" i="64"/>
  <c r="AJ100" i="64"/>
  <c r="AJ100" i="38" s="1"/>
  <c r="AK100" i="64"/>
  <c r="AM100" i="64"/>
  <c r="AM100" i="38" s="1"/>
  <c r="S101" i="64"/>
  <c r="T101" i="64"/>
  <c r="T101" i="38" s="1"/>
  <c r="V101" i="64"/>
  <c r="V101" i="38" s="1"/>
  <c r="W101" i="64"/>
  <c r="W101" i="38" s="1"/>
  <c r="Y101" i="64"/>
  <c r="Y101" i="38" s="1"/>
  <c r="Z101" i="64"/>
  <c r="Z101" i="38" s="1"/>
  <c r="AB101" i="64"/>
  <c r="AE101" i="64"/>
  <c r="AE101" i="38" s="1"/>
  <c r="AG101" i="64"/>
  <c r="AG101" i="38" s="1"/>
  <c r="AH101" i="64"/>
  <c r="AI101" i="64"/>
  <c r="AJ101" i="64"/>
  <c r="AJ101" i="38" s="1"/>
  <c r="AK101" i="64"/>
  <c r="AM101" i="64"/>
  <c r="AM101" i="38" s="1"/>
  <c r="S102" i="64"/>
  <c r="T102" i="64"/>
  <c r="T102" i="38" s="1"/>
  <c r="V102" i="64"/>
  <c r="W102" i="64"/>
  <c r="W102" i="38" s="1"/>
  <c r="Y102" i="64"/>
  <c r="Y102" i="38" s="1"/>
  <c r="Z102" i="64"/>
  <c r="Z102" i="38" s="1"/>
  <c r="AB102" i="64"/>
  <c r="AE102" i="64"/>
  <c r="AE102" i="38" s="1"/>
  <c r="AG102" i="64"/>
  <c r="AG102" i="38" s="1"/>
  <c r="AH102" i="64"/>
  <c r="AI102" i="64"/>
  <c r="AJ102" i="64"/>
  <c r="AJ102" i="38" s="1"/>
  <c r="AK102" i="64"/>
  <c r="AM102" i="64"/>
  <c r="AM102" i="38" s="1"/>
  <c r="S103" i="64"/>
  <c r="T103" i="64"/>
  <c r="T103" i="38" s="1"/>
  <c r="V103" i="64"/>
  <c r="W103" i="64"/>
  <c r="W103" i="38" s="1"/>
  <c r="Y103" i="64"/>
  <c r="Y103" i="38" s="1"/>
  <c r="Z103" i="64"/>
  <c r="AB103" i="64"/>
  <c r="AE103" i="64"/>
  <c r="AE103" i="38" s="1"/>
  <c r="AG103" i="64"/>
  <c r="AG103" i="38" s="1"/>
  <c r="AH103" i="64"/>
  <c r="AI103" i="64"/>
  <c r="AJ103" i="64"/>
  <c r="AK103" i="64"/>
  <c r="AM103" i="64"/>
  <c r="AM103" i="38" s="1"/>
  <c r="AU104" i="64"/>
  <c r="U104" i="64"/>
  <c r="AD104" i="64" s="1"/>
  <c r="AA104" i="64"/>
  <c r="AF104" i="64" s="1"/>
  <c r="AB104" i="64"/>
  <c r="AM3" i="64"/>
  <c r="AM3" i="38" s="1"/>
  <c r="AK3" i="64"/>
  <c r="AJ3" i="64"/>
  <c r="AJ3" i="38" s="1"/>
  <c r="AI3" i="64"/>
  <c r="AH3" i="64"/>
  <c r="AG3" i="64"/>
  <c r="AG3" i="38" s="1"/>
  <c r="AE3" i="64"/>
  <c r="AE3" i="38" s="1"/>
  <c r="Z3" i="64"/>
  <c r="Z3" i="38" s="1"/>
  <c r="W3" i="64"/>
  <c r="W3" i="38" s="1"/>
  <c r="V3" i="64"/>
  <c r="V3" i="38" s="1"/>
  <c r="Y3" i="64"/>
  <c r="Y3" i="38" s="1"/>
  <c r="T3" i="64"/>
  <c r="T3" i="38" s="1"/>
  <c r="S3" i="64"/>
  <c r="S3" i="38" s="1"/>
  <c r="N9" i="64"/>
  <c r="N14" i="64"/>
  <c r="N17" i="64"/>
  <c r="N22" i="64"/>
  <c r="N25" i="64"/>
  <c r="N30" i="64"/>
  <c r="N33" i="64"/>
  <c r="N38" i="64"/>
  <c r="N41" i="64"/>
  <c r="N46" i="64"/>
  <c r="N49" i="64"/>
  <c r="N51" i="64"/>
  <c r="N54" i="64"/>
  <c r="N57" i="64"/>
  <c r="N59" i="64"/>
  <c r="N62" i="64"/>
  <c r="N64" i="64"/>
  <c r="N65" i="64"/>
  <c r="N67" i="64"/>
  <c r="N70" i="64"/>
  <c r="N72" i="64"/>
  <c r="N73" i="64"/>
  <c r="N75" i="64"/>
  <c r="N78" i="64"/>
  <c r="N80" i="64"/>
  <c r="N81" i="64"/>
  <c r="N83" i="64"/>
  <c r="N86" i="64"/>
  <c r="N88" i="64"/>
  <c r="N89" i="64"/>
  <c r="N91" i="64"/>
  <c r="N94" i="64"/>
  <c r="N96" i="64"/>
  <c r="N97" i="64"/>
  <c r="N99" i="64"/>
  <c r="N101" i="64"/>
  <c r="N102" i="64"/>
  <c r="N3" i="64"/>
  <c r="M9" i="64"/>
  <c r="M11" i="64"/>
  <c r="M17" i="64"/>
  <c r="M19" i="64"/>
  <c r="M25" i="64"/>
  <c r="M27" i="64"/>
  <c r="M33" i="64"/>
  <c r="M35" i="64"/>
  <c r="M41" i="64"/>
  <c r="M43" i="64"/>
  <c r="M49" i="64"/>
  <c r="M51" i="64"/>
  <c r="M57" i="64"/>
  <c r="M59" i="64"/>
  <c r="M65" i="64"/>
  <c r="M67" i="64"/>
  <c r="M73" i="64"/>
  <c r="M75" i="64"/>
  <c r="M81" i="64"/>
  <c r="M83" i="64"/>
  <c r="M89" i="64"/>
  <c r="M91" i="64"/>
  <c r="M97" i="64"/>
  <c r="M99" i="64"/>
  <c r="M3" i="64"/>
  <c r="H42" i="64"/>
  <c r="F43" i="64"/>
  <c r="G43" i="64"/>
  <c r="H126" i="62"/>
  <c r="F46" i="64"/>
  <c r="G47" i="64"/>
  <c r="H47" i="64"/>
  <c r="F48" i="64"/>
  <c r="G48" i="64"/>
  <c r="H48" i="64"/>
  <c r="H50" i="64"/>
  <c r="F51" i="64"/>
  <c r="G51" i="64"/>
  <c r="G53" i="64"/>
  <c r="F54" i="64"/>
  <c r="G54" i="64"/>
  <c r="G56" i="64"/>
  <c r="H56" i="64"/>
  <c r="H57" i="64"/>
  <c r="F58" i="64"/>
  <c r="G58" i="64"/>
  <c r="F59" i="64"/>
  <c r="G59" i="64"/>
  <c r="H59" i="64"/>
  <c r="H61" i="64"/>
  <c r="F62" i="64"/>
  <c r="G62" i="64"/>
  <c r="F63" i="64"/>
  <c r="H63" i="64"/>
  <c r="F64" i="64"/>
  <c r="H64" i="64"/>
  <c r="F65" i="64"/>
  <c r="F66" i="64"/>
  <c r="G66" i="64"/>
  <c r="F67" i="64"/>
  <c r="G67" i="64"/>
  <c r="H67" i="64"/>
  <c r="F69" i="64"/>
  <c r="H69" i="64"/>
  <c r="F70" i="64"/>
  <c r="G70" i="64"/>
  <c r="H71" i="64"/>
  <c r="G72" i="64"/>
  <c r="F73" i="64"/>
  <c r="F74" i="64"/>
  <c r="G74" i="64"/>
  <c r="H74" i="64"/>
  <c r="F75" i="64"/>
  <c r="G75" i="64"/>
  <c r="H75" i="64"/>
  <c r="G77" i="64"/>
  <c r="H77" i="64"/>
  <c r="F78" i="64"/>
  <c r="F80" i="64"/>
  <c r="G80" i="64"/>
  <c r="H80" i="64"/>
  <c r="H81" i="64"/>
  <c r="F82" i="64"/>
  <c r="G82" i="64"/>
  <c r="H82" i="64"/>
  <c r="F83" i="64"/>
  <c r="G83" i="64"/>
  <c r="F85" i="64"/>
  <c r="G85" i="64"/>
  <c r="H85" i="64"/>
  <c r="F86" i="64"/>
  <c r="G86" i="64"/>
  <c r="F88" i="64"/>
  <c r="G88" i="64"/>
  <c r="H88" i="64"/>
  <c r="F90" i="64"/>
  <c r="G90" i="64"/>
  <c r="H90" i="64"/>
  <c r="F91" i="64"/>
  <c r="G91" i="64"/>
  <c r="H93" i="64"/>
  <c r="F94" i="64"/>
  <c r="G94" i="64"/>
  <c r="G96" i="64"/>
  <c r="H96" i="64"/>
  <c r="H97" i="64"/>
  <c r="G98" i="64"/>
  <c r="F99" i="64"/>
  <c r="G99" i="64"/>
  <c r="H99" i="64"/>
  <c r="G101" i="64"/>
  <c r="H101" i="64"/>
  <c r="F102" i="64"/>
  <c r="F104" i="64"/>
  <c r="G104" i="64"/>
  <c r="F114" i="62"/>
  <c r="G114" i="62"/>
  <c r="H114" i="62"/>
  <c r="F125" i="62"/>
  <c r="G125" i="62"/>
  <c r="H125" i="62"/>
  <c r="J106" i="62"/>
  <c r="J127" i="62" s="1"/>
  <c r="J23" i="64"/>
  <c r="J30" i="64"/>
  <c r="I32" i="64"/>
  <c r="J35" i="64"/>
  <c r="I42" i="64"/>
  <c r="J44" i="64"/>
  <c r="J46" i="64"/>
  <c r="J55" i="64"/>
  <c r="I56" i="64"/>
  <c r="I59" i="64"/>
  <c r="J60" i="64"/>
  <c r="J62" i="64"/>
  <c r="I63" i="64"/>
  <c r="I64" i="64"/>
  <c r="J68" i="64"/>
  <c r="I69" i="64"/>
  <c r="I106" i="62"/>
  <c r="I127" i="62" s="1"/>
  <c r="I72" i="64"/>
  <c r="I73" i="64"/>
  <c r="I75" i="64"/>
  <c r="I76" i="64"/>
  <c r="I77" i="64"/>
  <c r="I79" i="64"/>
  <c r="I80" i="64"/>
  <c r="I81" i="64"/>
  <c r="I82" i="64"/>
  <c r="I83" i="64"/>
  <c r="I87" i="64"/>
  <c r="I88" i="64"/>
  <c r="I89" i="64"/>
  <c r="I91" i="64"/>
  <c r="I92" i="64"/>
  <c r="I93" i="64"/>
  <c r="J94" i="64"/>
  <c r="I95" i="64"/>
  <c r="I96" i="64"/>
  <c r="I97" i="64"/>
  <c r="I99" i="64"/>
  <c r="J99" i="64"/>
  <c r="I100" i="64"/>
  <c r="I101" i="64"/>
  <c r="I102" i="64"/>
  <c r="I103" i="64"/>
  <c r="J103" i="64"/>
  <c r="I104" i="64"/>
  <c r="I114" i="62"/>
  <c r="J114" i="62"/>
  <c r="I125" i="62"/>
  <c r="J125" i="62"/>
  <c r="I126" i="62"/>
  <c r="J126" i="62"/>
  <c r="F5" i="64"/>
  <c r="F29" i="64"/>
  <c r="F31" i="64"/>
  <c r="F47" i="64"/>
  <c r="F53" i="64"/>
  <c r="F57" i="64"/>
  <c r="F72" i="64"/>
  <c r="F79" i="64"/>
  <c r="F95" i="64"/>
  <c r="F96" i="64"/>
  <c r="F97" i="64"/>
  <c r="F101" i="64"/>
  <c r="I19" i="64"/>
  <c r="I27" i="64"/>
  <c r="I35" i="64"/>
  <c r="I43" i="64"/>
  <c r="I51" i="64"/>
  <c r="I67" i="64"/>
  <c r="I90" i="64"/>
  <c r="I98" i="64"/>
  <c r="J11" i="64"/>
  <c r="J19" i="64"/>
  <c r="J27" i="64"/>
  <c r="J43" i="64"/>
  <c r="J51" i="64"/>
  <c r="J59" i="64"/>
  <c r="J67" i="64"/>
  <c r="J75" i="64"/>
  <c r="J83" i="64"/>
  <c r="J91" i="64"/>
  <c r="J3" i="64"/>
  <c r="F44" i="64"/>
  <c r="F45" i="64"/>
  <c r="H45" i="64"/>
  <c r="H49" i="64"/>
  <c r="F50" i="64"/>
  <c r="G50" i="64"/>
  <c r="F52" i="64"/>
  <c r="F55" i="64"/>
  <c r="G55" i="64"/>
  <c r="F60" i="64"/>
  <c r="G60" i="64"/>
  <c r="H60" i="64"/>
  <c r="F61" i="64"/>
  <c r="G63" i="64"/>
  <c r="F68" i="64"/>
  <c r="G68" i="64"/>
  <c r="H68" i="64"/>
  <c r="F71" i="64"/>
  <c r="G71" i="64"/>
  <c r="H73" i="64"/>
  <c r="F76" i="64"/>
  <c r="G76" i="64"/>
  <c r="H76" i="64"/>
  <c r="F77" i="64"/>
  <c r="G79" i="64"/>
  <c r="H79" i="64"/>
  <c r="F84" i="64"/>
  <c r="H84" i="64"/>
  <c r="F87" i="64"/>
  <c r="G87" i="64"/>
  <c r="H89" i="64"/>
  <c r="F92" i="64"/>
  <c r="G92" i="64"/>
  <c r="H92" i="64"/>
  <c r="F93" i="64"/>
  <c r="G95" i="64"/>
  <c r="F98" i="64"/>
  <c r="F100" i="64"/>
  <c r="G100" i="64"/>
  <c r="H100" i="64"/>
  <c r="F103" i="64"/>
  <c r="G103" i="64"/>
  <c r="H104" i="64"/>
  <c r="H3" i="64"/>
  <c r="G3" i="64"/>
  <c r="F3" i="64"/>
  <c r="AK106" i="38"/>
  <c r="N106" i="38"/>
  <c r="L106" i="38"/>
  <c r="J106" i="38"/>
  <c r="I106" i="38"/>
  <c r="H106" i="38"/>
  <c r="G106" i="38"/>
  <c r="F106" i="38"/>
  <c r="E106" i="38"/>
  <c r="E104" i="38"/>
  <c r="AK106" i="64"/>
  <c r="M104" i="64"/>
  <c r="AR104" i="64"/>
  <c r="J104" i="64"/>
  <c r="N103" i="64"/>
  <c r="N4" i="64"/>
  <c r="N5" i="64"/>
  <c r="N6" i="64"/>
  <c r="N7" i="64"/>
  <c r="N8" i="64"/>
  <c r="N10" i="64"/>
  <c r="N11" i="64"/>
  <c r="N12" i="64"/>
  <c r="N13" i="64"/>
  <c r="N15" i="64"/>
  <c r="N16" i="64"/>
  <c r="N18" i="64"/>
  <c r="N19" i="64"/>
  <c r="N20" i="64"/>
  <c r="N21" i="64"/>
  <c r="N23" i="64"/>
  <c r="N24" i="64"/>
  <c r="N26" i="64"/>
  <c r="N27" i="64"/>
  <c r="N28" i="64"/>
  <c r="N29" i="64"/>
  <c r="N31" i="64"/>
  <c r="N32" i="64"/>
  <c r="N34" i="64"/>
  <c r="N35" i="64"/>
  <c r="N36" i="64"/>
  <c r="N37" i="64"/>
  <c r="N39" i="64"/>
  <c r="N40" i="64"/>
  <c r="N42" i="64"/>
  <c r="N43" i="64"/>
  <c r="N44" i="64"/>
  <c r="N45" i="64"/>
  <c r="N47" i="64"/>
  <c r="N48" i="64"/>
  <c r="N50" i="64"/>
  <c r="N52" i="64"/>
  <c r="N53" i="64"/>
  <c r="N55" i="64"/>
  <c r="N56" i="64"/>
  <c r="N58" i="64"/>
  <c r="N60" i="64"/>
  <c r="N61" i="64"/>
  <c r="N63" i="64"/>
  <c r="N66" i="64"/>
  <c r="N68" i="64"/>
  <c r="N69" i="64"/>
  <c r="N71" i="64"/>
  <c r="N74" i="64"/>
  <c r="N76" i="64"/>
  <c r="N77" i="64"/>
  <c r="N79" i="64"/>
  <c r="N82" i="64"/>
  <c r="N84" i="64"/>
  <c r="N85" i="64"/>
  <c r="N87" i="64"/>
  <c r="N90" i="64"/>
  <c r="N92" i="64"/>
  <c r="N93" i="64"/>
  <c r="N95" i="64"/>
  <c r="N98" i="64"/>
  <c r="N100" i="64"/>
  <c r="M103" i="64"/>
  <c r="M102" i="64"/>
  <c r="M101" i="64"/>
  <c r="M100" i="64"/>
  <c r="M98" i="64"/>
  <c r="M96" i="64"/>
  <c r="M95" i="64"/>
  <c r="M94" i="64"/>
  <c r="M93" i="64"/>
  <c r="M92" i="64"/>
  <c r="M90" i="64"/>
  <c r="M88" i="64"/>
  <c r="M87" i="64"/>
  <c r="M86" i="64"/>
  <c r="M85" i="64"/>
  <c r="M84" i="64"/>
  <c r="M82" i="64"/>
  <c r="M80" i="64"/>
  <c r="M79" i="64"/>
  <c r="M78" i="64"/>
  <c r="M77" i="64"/>
  <c r="M76" i="64"/>
  <c r="M74" i="64"/>
  <c r="M72" i="64"/>
  <c r="M71" i="64"/>
  <c r="M70" i="64"/>
  <c r="M69" i="64"/>
  <c r="M68" i="64"/>
  <c r="M66" i="64"/>
  <c r="M64" i="64"/>
  <c r="M63" i="64"/>
  <c r="M62" i="64"/>
  <c r="M61" i="64"/>
  <c r="M60" i="64"/>
  <c r="M58" i="64"/>
  <c r="M56" i="64"/>
  <c r="M55" i="64"/>
  <c r="M54" i="64"/>
  <c r="M53" i="64"/>
  <c r="M52" i="64"/>
  <c r="M50" i="64"/>
  <c r="M48" i="64"/>
  <c r="M47" i="64"/>
  <c r="M46" i="64"/>
  <c r="M45" i="64"/>
  <c r="M44" i="64"/>
  <c r="M42" i="64"/>
  <c r="M40" i="64"/>
  <c r="M39" i="64"/>
  <c r="M38" i="64"/>
  <c r="M37" i="64"/>
  <c r="M36" i="64"/>
  <c r="M34" i="64"/>
  <c r="M32" i="64"/>
  <c r="M31" i="64"/>
  <c r="M30" i="64"/>
  <c r="M29" i="64"/>
  <c r="M28" i="64"/>
  <c r="M26" i="64"/>
  <c r="M24" i="64"/>
  <c r="M23" i="64"/>
  <c r="M22" i="64"/>
  <c r="M21" i="64"/>
  <c r="M20" i="64"/>
  <c r="M18" i="64"/>
  <c r="M16" i="64"/>
  <c r="M15" i="64"/>
  <c r="M14" i="64"/>
  <c r="M13" i="64"/>
  <c r="M12" i="64"/>
  <c r="M10" i="64"/>
  <c r="M8" i="64"/>
  <c r="M7" i="64"/>
  <c r="M6" i="64"/>
  <c r="M5" i="64"/>
  <c r="M4" i="64"/>
  <c r="H103" i="64"/>
  <c r="J102" i="64"/>
  <c r="H102" i="64"/>
  <c r="G102" i="64"/>
  <c r="J101" i="64"/>
  <c r="J100" i="64"/>
  <c r="J98" i="64"/>
  <c r="H98" i="64"/>
  <c r="J97" i="64"/>
  <c r="G97" i="64"/>
  <c r="J96" i="64"/>
  <c r="J95" i="64"/>
  <c r="H95" i="64"/>
  <c r="I94" i="64"/>
  <c r="H94" i="64"/>
  <c r="J93" i="64"/>
  <c r="G93" i="64"/>
  <c r="J92" i="64"/>
  <c r="H91" i="64"/>
  <c r="J90" i="64"/>
  <c r="J89" i="64"/>
  <c r="G89" i="64"/>
  <c r="F89" i="64"/>
  <c r="J88" i="64"/>
  <c r="J87" i="64"/>
  <c r="H87" i="64"/>
  <c r="J86" i="64"/>
  <c r="I86" i="64"/>
  <c r="H86" i="64"/>
  <c r="J85" i="64"/>
  <c r="I85" i="64"/>
  <c r="J84" i="64"/>
  <c r="I84" i="64"/>
  <c r="G84" i="64"/>
  <c r="H83" i="64"/>
  <c r="J82" i="64"/>
  <c r="J81" i="64"/>
  <c r="G81" i="64"/>
  <c r="F81" i="64"/>
  <c r="J80" i="64"/>
  <c r="J79" i="64"/>
  <c r="J78" i="64"/>
  <c r="I78" i="64"/>
  <c r="H78" i="64"/>
  <c r="G78" i="64"/>
  <c r="J77" i="64"/>
  <c r="J76" i="64"/>
  <c r="J74" i="64"/>
  <c r="I74" i="64"/>
  <c r="J73" i="64"/>
  <c r="G73" i="64"/>
  <c r="J72" i="64"/>
  <c r="H72" i="64"/>
  <c r="J71" i="64"/>
  <c r="J70" i="64"/>
  <c r="I70" i="64"/>
  <c r="H70" i="64"/>
  <c r="J69" i="64"/>
  <c r="G69" i="64"/>
  <c r="I68" i="64"/>
  <c r="J66" i="64"/>
  <c r="I66" i="64"/>
  <c r="H66" i="64"/>
  <c r="J65" i="64"/>
  <c r="I65" i="64"/>
  <c r="H65" i="64"/>
  <c r="G65" i="64"/>
  <c r="J64" i="64"/>
  <c r="G64" i="64"/>
  <c r="J63" i="64"/>
  <c r="I62" i="64"/>
  <c r="H62" i="64"/>
  <c r="J61" i="64"/>
  <c r="I61" i="64"/>
  <c r="G61" i="64"/>
  <c r="I60" i="64"/>
  <c r="J58" i="64"/>
  <c r="I58" i="64"/>
  <c r="H58" i="64"/>
  <c r="J57" i="64"/>
  <c r="I57" i="64"/>
  <c r="G57" i="64"/>
  <c r="J56" i="64"/>
  <c r="F56" i="64"/>
  <c r="I55" i="64"/>
  <c r="H55" i="64"/>
  <c r="J54" i="64"/>
  <c r="I54" i="64"/>
  <c r="H54" i="64"/>
  <c r="J53" i="64"/>
  <c r="I53" i="64"/>
  <c r="H53" i="64"/>
  <c r="J52" i="64"/>
  <c r="I52" i="64"/>
  <c r="H52" i="64"/>
  <c r="G52" i="64"/>
  <c r="H51" i="64"/>
  <c r="J50" i="64"/>
  <c r="I50" i="64"/>
  <c r="J49" i="64"/>
  <c r="I49" i="64"/>
  <c r="G49" i="64"/>
  <c r="F49" i="64"/>
  <c r="J48" i="64"/>
  <c r="I48" i="64"/>
  <c r="J47" i="64"/>
  <c r="I47" i="64"/>
  <c r="I46" i="64"/>
  <c r="H46" i="64"/>
  <c r="G46" i="64"/>
  <c r="J45" i="64"/>
  <c r="I45" i="64"/>
  <c r="I44" i="64"/>
  <c r="H44" i="64"/>
  <c r="G44" i="64"/>
  <c r="H43" i="64"/>
  <c r="J42" i="64"/>
  <c r="G42" i="64"/>
  <c r="F42" i="64"/>
  <c r="J41" i="64"/>
  <c r="I41" i="64"/>
  <c r="H41" i="64"/>
  <c r="G41" i="64"/>
  <c r="F41" i="64"/>
  <c r="J40" i="64"/>
  <c r="I40" i="64"/>
  <c r="H40" i="64"/>
  <c r="G40" i="64"/>
  <c r="F40" i="64"/>
  <c r="J39" i="64"/>
  <c r="I39" i="64"/>
  <c r="H39" i="64"/>
  <c r="G39" i="64"/>
  <c r="F39" i="64"/>
  <c r="J38" i="64"/>
  <c r="I38" i="64"/>
  <c r="H38" i="64"/>
  <c r="G38" i="64"/>
  <c r="F38" i="64"/>
  <c r="J37" i="64"/>
  <c r="I37" i="64"/>
  <c r="H37" i="64"/>
  <c r="G37" i="64"/>
  <c r="F37" i="64"/>
  <c r="J36" i="64"/>
  <c r="I36" i="64"/>
  <c r="H36" i="64"/>
  <c r="G36" i="64"/>
  <c r="F36" i="64"/>
  <c r="H35" i="64"/>
  <c r="G35" i="64"/>
  <c r="F35" i="64"/>
  <c r="J34" i="64"/>
  <c r="I34" i="64"/>
  <c r="G34" i="64"/>
  <c r="F34" i="64"/>
  <c r="J33" i="64"/>
  <c r="I33" i="64"/>
  <c r="H33" i="64"/>
  <c r="G33" i="64"/>
  <c r="F33" i="64"/>
  <c r="J32" i="64"/>
  <c r="H32" i="64"/>
  <c r="G32" i="64"/>
  <c r="F32" i="64"/>
  <c r="J31" i="64"/>
  <c r="I31" i="64"/>
  <c r="H31" i="64"/>
  <c r="G31" i="64"/>
  <c r="I30" i="64"/>
  <c r="H30" i="64"/>
  <c r="G30" i="64"/>
  <c r="F30" i="64"/>
  <c r="J29" i="64"/>
  <c r="I29" i="64"/>
  <c r="H29" i="64"/>
  <c r="J28" i="64"/>
  <c r="I28" i="64"/>
  <c r="H28" i="64"/>
  <c r="G28" i="64"/>
  <c r="F28" i="64"/>
  <c r="H27" i="64"/>
  <c r="G27" i="64"/>
  <c r="F27" i="64"/>
  <c r="J26" i="64"/>
  <c r="I26" i="64"/>
  <c r="H26" i="64"/>
  <c r="G26" i="64"/>
  <c r="F26" i="64"/>
  <c r="J25" i="64"/>
  <c r="I25" i="64"/>
  <c r="H25" i="64"/>
  <c r="G25" i="64"/>
  <c r="F25" i="64"/>
  <c r="J24" i="64"/>
  <c r="I24" i="64"/>
  <c r="H24" i="64"/>
  <c r="G24" i="64"/>
  <c r="F24" i="64"/>
  <c r="I23" i="64"/>
  <c r="H23" i="64"/>
  <c r="G23" i="64"/>
  <c r="F23" i="64"/>
  <c r="J22" i="64"/>
  <c r="I22" i="64"/>
  <c r="H22" i="64"/>
  <c r="G22" i="64"/>
  <c r="F22" i="64"/>
  <c r="J21" i="64"/>
  <c r="I21" i="64"/>
  <c r="H21" i="64"/>
  <c r="G21" i="64"/>
  <c r="F21" i="64"/>
  <c r="J20" i="64"/>
  <c r="I20" i="64"/>
  <c r="H20" i="64"/>
  <c r="G20" i="64"/>
  <c r="F20" i="64"/>
  <c r="H19" i="64"/>
  <c r="G19" i="64"/>
  <c r="F19" i="64"/>
  <c r="J18" i="64"/>
  <c r="I18" i="64"/>
  <c r="H18" i="64"/>
  <c r="G18" i="64"/>
  <c r="F18" i="64"/>
  <c r="J17" i="64"/>
  <c r="I17" i="64"/>
  <c r="H17" i="64"/>
  <c r="G17" i="64"/>
  <c r="F17" i="64"/>
  <c r="J16" i="64"/>
  <c r="I16" i="64"/>
  <c r="H16" i="64"/>
  <c r="G16" i="64"/>
  <c r="F16" i="64"/>
  <c r="J15" i="64"/>
  <c r="I15" i="64"/>
  <c r="H15" i="64"/>
  <c r="G15" i="64"/>
  <c r="F15" i="64"/>
  <c r="J14" i="64"/>
  <c r="I14" i="64"/>
  <c r="H14" i="64"/>
  <c r="G14" i="64"/>
  <c r="F14" i="64"/>
  <c r="J13" i="64"/>
  <c r="I13" i="64"/>
  <c r="H13" i="64"/>
  <c r="G13" i="64"/>
  <c r="F13" i="64"/>
  <c r="J12" i="64"/>
  <c r="I12" i="64"/>
  <c r="H12" i="64"/>
  <c r="G12" i="64"/>
  <c r="F12" i="64"/>
  <c r="I11" i="64"/>
  <c r="H11" i="64"/>
  <c r="G11" i="64"/>
  <c r="F11" i="64"/>
  <c r="J10" i="64"/>
  <c r="I10" i="64"/>
  <c r="H10" i="64"/>
  <c r="G10" i="64"/>
  <c r="F10" i="64"/>
  <c r="J9" i="64"/>
  <c r="I9" i="64"/>
  <c r="H9" i="64"/>
  <c r="G9" i="64"/>
  <c r="F9" i="64"/>
  <c r="J8" i="64"/>
  <c r="I8" i="64"/>
  <c r="H8" i="64"/>
  <c r="G8" i="64"/>
  <c r="F8" i="64"/>
  <c r="J7" i="64"/>
  <c r="I7" i="64"/>
  <c r="H7" i="64"/>
  <c r="G7" i="64"/>
  <c r="F7" i="64"/>
  <c r="J6" i="64"/>
  <c r="I6" i="64"/>
  <c r="H6" i="64"/>
  <c r="G6" i="64"/>
  <c r="F6" i="64"/>
  <c r="J5" i="64"/>
  <c r="I5" i="64"/>
  <c r="H5" i="64"/>
  <c r="G5" i="64"/>
  <c r="J4" i="64"/>
  <c r="I4" i="64"/>
  <c r="H4" i="64"/>
  <c r="G4" i="64"/>
  <c r="F4" i="64"/>
  <c r="I3" i="64"/>
  <c r="R131" i="65"/>
  <c r="P131" i="65"/>
  <c r="O131" i="65"/>
  <c r="M131" i="65"/>
  <c r="K131" i="65"/>
  <c r="AM130" i="65"/>
  <c r="AK130" i="65"/>
  <c r="AJ130" i="65"/>
  <c r="AI130" i="65"/>
  <c r="AH130" i="65"/>
  <c r="AG130" i="65"/>
  <c r="AE130" i="65"/>
  <c r="Z130" i="65"/>
  <c r="Y130" i="65"/>
  <c r="W130" i="65"/>
  <c r="V130" i="65"/>
  <c r="T130" i="65"/>
  <c r="S130" i="65"/>
  <c r="N130" i="65"/>
  <c r="M130" i="65"/>
  <c r="H130" i="65"/>
  <c r="G130" i="65"/>
  <c r="F130" i="65"/>
  <c r="AZ129" i="65"/>
  <c r="AO129" i="65"/>
  <c r="AN129" i="65"/>
  <c r="AM129" i="65"/>
  <c r="AL129" i="65"/>
  <c r="AK129" i="65"/>
  <c r="AJ129" i="65"/>
  <c r="AI129" i="65"/>
  <c r="AH129" i="65"/>
  <c r="AG129" i="65"/>
  <c r="AE129" i="65"/>
  <c r="AD129" i="65"/>
  <c r="AC129" i="65"/>
  <c r="AB129" i="65"/>
  <c r="AA129" i="65"/>
  <c r="Z129" i="65"/>
  <c r="Y129" i="65"/>
  <c r="X129" i="65"/>
  <c r="W129" i="65"/>
  <c r="V129" i="65"/>
  <c r="V131" i="65" s="1"/>
  <c r="U129" i="65"/>
  <c r="T129" i="65"/>
  <c r="S129" i="65"/>
  <c r="N129" i="65"/>
  <c r="L129" i="65"/>
  <c r="H129" i="65"/>
  <c r="G129" i="65"/>
  <c r="F129" i="65"/>
  <c r="F131" i="65" s="1"/>
  <c r="E129" i="65"/>
  <c r="AX128" i="65"/>
  <c r="AW128" i="65"/>
  <c r="AV128" i="65"/>
  <c r="AU128" i="65"/>
  <c r="AT128" i="65"/>
  <c r="AS128" i="65"/>
  <c r="AR128" i="65"/>
  <c r="AQ128" i="65"/>
  <c r="AZ118" i="65"/>
  <c r="AO118" i="65"/>
  <c r="AN118" i="65"/>
  <c r="AM118" i="65"/>
  <c r="AL118" i="65"/>
  <c r="AK118" i="65"/>
  <c r="AJ118" i="65"/>
  <c r="AI118" i="65"/>
  <c r="AH118" i="65"/>
  <c r="AG118" i="65"/>
  <c r="AE118" i="65"/>
  <c r="AD118" i="65"/>
  <c r="AC118" i="65"/>
  <c r="AB118" i="65"/>
  <c r="AA118" i="65"/>
  <c r="Z118" i="65"/>
  <c r="Y118" i="65"/>
  <c r="X118" i="65"/>
  <c r="W118" i="65"/>
  <c r="V118" i="65"/>
  <c r="U118" i="65"/>
  <c r="T118" i="65"/>
  <c r="S118" i="65"/>
  <c r="S131" i="65" s="1"/>
  <c r="N118" i="65"/>
  <c r="L118" i="65"/>
  <c r="H118" i="65"/>
  <c r="G118" i="65"/>
  <c r="F118" i="65"/>
  <c r="E118" i="65"/>
  <c r="AX117" i="65"/>
  <c r="AW117" i="65"/>
  <c r="AV117" i="65"/>
  <c r="AU117" i="65"/>
  <c r="AT117" i="65"/>
  <c r="AS117" i="65"/>
  <c r="AR117" i="65"/>
  <c r="AQ117" i="65"/>
  <c r="AK131" i="65"/>
  <c r="AI131" i="65"/>
  <c r="AH131" i="65"/>
  <c r="Z131" i="65"/>
  <c r="Y131" i="65"/>
  <c r="T131" i="65"/>
  <c r="N131" i="65"/>
  <c r="H131" i="65"/>
  <c r="AL105" i="65" s="1"/>
  <c r="AO105" i="65" s="1"/>
  <c r="G131" i="65"/>
  <c r="AU104" i="65"/>
  <c r="AT104" i="65"/>
  <c r="AR104" i="65"/>
  <c r="AN104" i="65"/>
  <c r="Q104" i="65"/>
  <c r="E104" i="65"/>
  <c r="L104" i="65" s="1"/>
  <c r="AU103" i="65"/>
  <c r="AT103" i="65"/>
  <c r="AR103" i="65"/>
  <c r="AN103" i="65"/>
  <c r="Q103" i="65"/>
  <c r="E103" i="65"/>
  <c r="L103" i="65" s="1"/>
  <c r="AU102" i="65"/>
  <c r="AT102" i="65"/>
  <c r="AR102" i="65"/>
  <c r="AN102" i="65"/>
  <c r="Q102" i="65"/>
  <c r="E102" i="65"/>
  <c r="L102" i="65" s="1"/>
  <c r="AU101" i="65"/>
  <c r="AT101" i="65"/>
  <c r="AR101" i="65"/>
  <c r="AN101" i="65"/>
  <c r="Q101" i="65"/>
  <c r="E101" i="65"/>
  <c r="L101" i="65" s="1"/>
  <c r="AU100" i="65"/>
  <c r="AT100" i="65"/>
  <c r="AR100" i="65"/>
  <c r="AN100" i="65"/>
  <c r="Q100" i="65"/>
  <c r="E100" i="65"/>
  <c r="L100" i="65" s="1"/>
  <c r="AU99" i="65"/>
  <c r="AT99" i="65"/>
  <c r="AR99" i="65"/>
  <c r="AN99" i="65"/>
  <c r="Q99" i="65"/>
  <c r="E99" i="65"/>
  <c r="L99" i="65" s="1"/>
  <c r="AU98" i="65"/>
  <c r="AT98" i="65"/>
  <c r="AR98" i="65"/>
  <c r="AN98" i="65"/>
  <c r="Q98" i="65"/>
  <c r="E98" i="65"/>
  <c r="L98" i="65" s="1"/>
  <c r="AU97" i="65"/>
  <c r="AT97" i="65"/>
  <c r="AR97" i="65"/>
  <c r="AN97" i="65"/>
  <c r="Q97" i="65"/>
  <c r="E97" i="65"/>
  <c r="L97" i="65" s="1"/>
  <c r="AU96" i="65"/>
  <c r="AT96" i="65"/>
  <c r="AR96" i="65"/>
  <c r="AN96" i="65"/>
  <c r="Q96" i="65"/>
  <c r="E96" i="65"/>
  <c r="L96" i="65" s="1"/>
  <c r="AU95" i="65"/>
  <c r="AT95" i="65"/>
  <c r="AR95" i="65"/>
  <c r="AN95" i="65"/>
  <c r="Q95" i="65"/>
  <c r="E95" i="65"/>
  <c r="L95" i="65" s="1"/>
  <c r="AU94" i="65"/>
  <c r="AT94" i="65"/>
  <c r="AR94" i="65"/>
  <c r="AN94" i="65"/>
  <c r="Q94" i="65"/>
  <c r="E94" i="65"/>
  <c r="L94" i="65" s="1"/>
  <c r="AU93" i="65"/>
  <c r="AT93" i="65"/>
  <c r="AR93" i="65"/>
  <c r="AN93" i="65"/>
  <c r="Q93" i="65"/>
  <c r="E93" i="65"/>
  <c r="L93" i="65" s="1"/>
  <c r="AU92" i="65"/>
  <c r="AT92" i="65"/>
  <c r="AR92" i="65"/>
  <c r="AN92" i="65"/>
  <c r="Q92" i="65"/>
  <c r="E92" i="65"/>
  <c r="L92" i="65" s="1"/>
  <c r="AU91" i="65"/>
  <c r="AT91" i="65"/>
  <c r="AR91" i="65"/>
  <c r="AN91" i="65"/>
  <c r="Q91" i="65"/>
  <c r="E91" i="65"/>
  <c r="L91" i="65" s="1"/>
  <c r="AU90" i="65"/>
  <c r="AT90" i="65"/>
  <c r="AR90" i="65"/>
  <c r="AN90" i="65"/>
  <c r="Q90" i="65"/>
  <c r="E90" i="65"/>
  <c r="L90" i="65" s="1"/>
  <c r="AU89" i="65"/>
  <c r="AT89" i="65"/>
  <c r="AR89" i="65"/>
  <c r="AN89" i="65"/>
  <c r="Q89" i="65"/>
  <c r="E89" i="65"/>
  <c r="L89" i="65" s="1"/>
  <c r="AU88" i="65"/>
  <c r="AT88" i="65"/>
  <c r="AR88" i="65"/>
  <c r="AN88" i="65"/>
  <c r="Q88" i="65"/>
  <c r="E88" i="65"/>
  <c r="L88" i="65" s="1"/>
  <c r="AU87" i="65"/>
  <c r="AT87" i="65"/>
  <c r="AR87" i="65"/>
  <c r="AN87" i="65"/>
  <c r="Q87" i="65"/>
  <c r="E87" i="65"/>
  <c r="L87" i="65" s="1"/>
  <c r="AU86" i="65"/>
  <c r="AT86" i="65"/>
  <c r="AR86" i="65"/>
  <c r="AN86" i="65"/>
  <c r="Q86" i="65"/>
  <c r="E86" i="65"/>
  <c r="L86" i="65" s="1"/>
  <c r="AU85" i="65"/>
  <c r="AT85" i="65"/>
  <c r="AR85" i="65"/>
  <c r="AN85" i="65"/>
  <c r="Q85" i="65"/>
  <c r="E85" i="65"/>
  <c r="L85" i="65" s="1"/>
  <c r="AU84" i="65"/>
  <c r="AT84" i="65"/>
  <c r="AR84" i="65"/>
  <c r="AN84" i="65"/>
  <c r="Q84" i="65"/>
  <c r="E84" i="65"/>
  <c r="L84" i="65" s="1"/>
  <c r="AU83" i="65"/>
  <c r="AT83" i="65"/>
  <c r="AR83" i="65"/>
  <c r="AN83" i="65"/>
  <c r="Q83" i="65"/>
  <c r="E83" i="65"/>
  <c r="L83" i="65" s="1"/>
  <c r="AU82" i="65"/>
  <c r="AT82" i="65"/>
  <c r="AR82" i="65"/>
  <c r="AN82" i="65"/>
  <c r="Q82" i="65"/>
  <c r="E82" i="65"/>
  <c r="L82" i="65" s="1"/>
  <c r="AU81" i="65"/>
  <c r="AT81" i="65"/>
  <c r="AR81" i="65"/>
  <c r="AN81" i="65"/>
  <c r="Q81" i="65"/>
  <c r="E81" i="65"/>
  <c r="L81" i="65" s="1"/>
  <c r="AU80" i="65"/>
  <c r="AT80" i="65"/>
  <c r="AR80" i="65"/>
  <c r="AN80" i="65"/>
  <c r="Q80" i="65"/>
  <c r="E80" i="65"/>
  <c r="L80" i="65" s="1"/>
  <c r="AU79" i="65"/>
  <c r="AT79" i="65"/>
  <c r="AR79" i="65"/>
  <c r="AN79" i="65"/>
  <c r="Q79" i="65"/>
  <c r="E79" i="65"/>
  <c r="L79" i="65" s="1"/>
  <c r="AU78" i="65"/>
  <c r="AT78" i="65"/>
  <c r="AR78" i="65"/>
  <c r="AN78" i="65"/>
  <c r="Q78" i="65"/>
  <c r="E78" i="65"/>
  <c r="L78" i="65" s="1"/>
  <c r="AU77" i="65"/>
  <c r="AT77" i="65"/>
  <c r="AR77" i="65"/>
  <c r="AN77" i="65"/>
  <c r="Q77" i="65"/>
  <c r="E77" i="65"/>
  <c r="L77" i="65" s="1"/>
  <c r="AU76" i="65"/>
  <c r="AT76" i="65"/>
  <c r="AR76" i="65"/>
  <c r="AN76" i="65"/>
  <c r="AQ76" i="65"/>
  <c r="Q76" i="65"/>
  <c r="E76" i="65"/>
  <c r="L76" i="65" s="1"/>
  <c r="AU75" i="65"/>
  <c r="AT75" i="65"/>
  <c r="AR75" i="65"/>
  <c r="AN75" i="65"/>
  <c r="AQ75" i="65"/>
  <c r="Q75" i="65"/>
  <c r="E75" i="65"/>
  <c r="L75" i="65" s="1"/>
  <c r="AU74" i="65"/>
  <c r="AT74" i="65"/>
  <c r="AR74" i="65"/>
  <c r="AN74" i="65"/>
  <c r="AQ74" i="65"/>
  <c r="AW74" i="65" s="1"/>
  <c r="Q74" i="65"/>
  <c r="E74" i="65"/>
  <c r="L74" i="65" s="1"/>
  <c r="AU73" i="65"/>
  <c r="AT73" i="65"/>
  <c r="AR73" i="65"/>
  <c r="AN73" i="65"/>
  <c r="R73" i="65"/>
  <c r="Q73" i="65"/>
  <c r="E73" i="65"/>
  <c r="L73" i="65" s="1"/>
  <c r="AU72" i="65"/>
  <c r="AT72" i="65"/>
  <c r="AR72" i="65"/>
  <c r="AN72" i="65"/>
  <c r="AQ72" i="65"/>
  <c r="AW72" i="65" s="1"/>
  <c r="Q72" i="65"/>
  <c r="E72" i="65"/>
  <c r="L72" i="65" s="1"/>
  <c r="AU71" i="65"/>
  <c r="AT71" i="65"/>
  <c r="AR71" i="65"/>
  <c r="AN71" i="65"/>
  <c r="AQ71" i="65"/>
  <c r="Q71" i="65"/>
  <c r="E71" i="65"/>
  <c r="L71" i="65" s="1"/>
  <c r="AU70" i="65"/>
  <c r="AT70" i="65"/>
  <c r="AR70" i="65"/>
  <c r="AN70" i="65"/>
  <c r="AQ70" i="65"/>
  <c r="AW70" i="65" s="1"/>
  <c r="Q70" i="65"/>
  <c r="E70" i="65"/>
  <c r="L70" i="65" s="1"/>
  <c r="AU69" i="65"/>
  <c r="AT69" i="65"/>
  <c r="AR69" i="65"/>
  <c r="AN69" i="65"/>
  <c r="R69" i="65"/>
  <c r="Q69" i="65"/>
  <c r="E69" i="65"/>
  <c r="L69" i="65" s="1"/>
  <c r="AU68" i="65"/>
  <c r="AT68" i="65"/>
  <c r="AR68" i="65"/>
  <c r="AN68" i="65"/>
  <c r="Q68" i="65"/>
  <c r="E68" i="65"/>
  <c r="L68" i="65" s="1"/>
  <c r="AU67" i="65"/>
  <c r="AT67" i="65"/>
  <c r="AR67" i="65"/>
  <c r="AN67" i="65"/>
  <c r="R67" i="65"/>
  <c r="Q67" i="65"/>
  <c r="E67" i="65"/>
  <c r="L67" i="65" s="1"/>
  <c r="AU66" i="65"/>
  <c r="AT66" i="65"/>
  <c r="AR66" i="65"/>
  <c r="AN66" i="65"/>
  <c r="R66" i="65"/>
  <c r="Q66" i="65"/>
  <c r="E66" i="65"/>
  <c r="L66" i="65" s="1"/>
  <c r="AU65" i="65"/>
  <c r="AT65" i="65"/>
  <c r="AR65" i="65"/>
  <c r="AN65" i="65"/>
  <c r="R65" i="65"/>
  <c r="Q65" i="65"/>
  <c r="E65" i="65"/>
  <c r="L65" i="65" s="1"/>
  <c r="AU64" i="65"/>
  <c r="AT64" i="65"/>
  <c r="AR64" i="65"/>
  <c r="AN64" i="65"/>
  <c r="R64" i="65"/>
  <c r="Q64" i="65"/>
  <c r="E64" i="65"/>
  <c r="L64" i="65" s="1"/>
  <c r="AU63" i="65"/>
  <c r="AT63" i="65"/>
  <c r="AR63" i="65"/>
  <c r="AN63" i="65"/>
  <c r="R63" i="65"/>
  <c r="Q63" i="65"/>
  <c r="E63" i="65"/>
  <c r="L63" i="65" s="1"/>
  <c r="AU62" i="65"/>
  <c r="AT62" i="65"/>
  <c r="AR62" i="65"/>
  <c r="AN62" i="65"/>
  <c r="R62" i="65"/>
  <c r="Q62" i="65"/>
  <c r="E62" i="65"/>
  <c r="L62" i="65" s="1"/>
  <c r="AU61" i="65"/>
  <c r="AT61" i="65"/>
  <c r="AR61" i="65"/>
  <c r="AN61" i="65"/>
  <c r="R61" i="65"/>
  <c r="Q61" i="65"/>
  <c r="E61" i="65"/>
  <c r="L61" i="65" s="1"/>
  <c r="AU60" i="65"/>
  <c r="AT60" i="65"/>
  <c r="AR60" i="65"/>
  <c r="AN60" i="65"/>
  <c r="R60" i="65"/>
  <c r="Q60" i="65"/>
  <c r="E60" i="65"/>
  <c r="L60" i="65" s="1"/>
  <c r="AU59" i="65"/>
  <c r="AT59" i="65"/>
  <c r="AR59" i="65"/>
  <c r="AN59" i="65"/>
  <c r="R59" i="65"/>
  <c r="Q59" i="65"/>
  <c r="E59" i="65"/>
  <c r="L59" i="65" s="1"/>
  <c r="AU58" i="65"/>
  <c r="AT58" i="65"/>
  <c r="AR58" i="65"/>
  <c r="AN58" i="65"/>
  <c r="R58" i="65"/>
  <c r="Q58" i="65"/>
  <c r="E58" i="65"/>
  <c r="L58" i="65" s="1"/>
  <c r="AU57" i="65"/>
  <c r="AT57" i="65"/>
  <c r="AR57" i="65"/>
  <c r="AN57" i="65"/>
  <c r="R57" i="65"/>
  <c r="Q57" i="65"/>
  <c r="E57" i="65"/>
  <c r="L57" i="65" s="1"/>
  <c r="AU56" i="65"/>
  <c r="AT56" i="65"/>
  <c r="AR56" i="65"/>
  <c r="AN56" i="65"/>
  <c r="R56" i="65"/>
  <c r="Q56" i="65"/>
  <c r="E56" i="65"/>
  <c r="L56" i="65" s="1"/>
  <c r="AU55" i="65"/>
  <c r="AT55" i="65"/>
  <c r="AR55" i="65"/>
  <c r="AN55" i="65"/>
  <c r="R55" i="65"/>
  <c r="Q55" i="65"/>
  <c r="E55" i="65"/>
  <c r="L55" i="65" s="1"/>
  <c r="AU54" i="65"/>
  <c r="AT54" i="65"/>
  <c r="AR54" i="65"/>
  <c r="AN54" i="65"/>
  <c r="R54" i="65"/>
  <c r="Q54" i="65"/>
  <c r="E54" i="65"/>
  <c r="L54" i="65" s="1"/>
  <c r="AU53" i="65"/>
  <c r="AT53" i="65"/>
  <c r="AR53" i="65"/>
  <c r="AN53" i="65"/>
  <c r="R53" i="65"/>
  <c r="Q53" i="65"/>
  <c r="E53" i="65"/>
  <c r="L53" i="65" s="1"/>
  <c r="AU52" i="65"/>
  <c r="AT52" i="65"/>
  <c r="AR52" i="65"/>
  <c r="AN52" i="65"/>
  <c r="R52" i="65"/>
  <c r="Q52" i="65"/>
  <c r="E52" i="65"/>
  <c r="L52" i="65" s="1"/>
  <c r="AU51" i="65"/>
  <c r="AT51" i="65"/>
  <c r="AR51" i="65"/>
  <c r="AN51" i="65"/>
  <c r="AS51" i="65"/>
  <c r="Q51" i="65"/>
  <c r="E51" i="65"/>
  <c r="L51" i="65" s="1"/>
  <c r="AU50" i="65"/>
  <c r="AT50" i="65"/>
  <c r="AR50" i="65"/>
  <c r="AN50" i="65"/>
  <c r="R50" i="65"/>
  <c r="Q50" i="65"/>
  <c r="E50" i="65"/>
  <c r="L50" i="65" s="1"/>
  <c r="AU49" i="65"/>
  <c r="AT49" i="65"/>
  <c r="AR49" i="65"/>
  <c r="AN49" i="65"/>
  <c r="R49" i="65"/>
  <c r="Q49" i="65"/>
  <c r="E49" i="65"/>
  <c r="L49" i="65" s="1"/>
  <c r="AU48" i="65"/>
  <c r="AT48" i="65"/>
  <c r="AR48" i="65"/>
  <c r="AN48" i="65"/>
  <c r="R48" i="65"/>
  <c r="Q48" i="65"/>
  <c r="E48" i="65"/>
  <c r="L48" i="65" s="1"/>
  <c r="AU47" i="65"/>
  <c r="AT47" i="65"/>
  <c r="AR47" i="65"/>
  <c r="AN47" i="65"/>
  <c r="AS47" i="65"/>
  <c r="Q47" i="65"/>
  <c r="E47" i="65"/>
  <c r="L47" i="65" s="1"/>
  <c r="AU46" i="65"/>
  <c r="AT46" i="65"/>
  <c r="AR46" i="65"/>
  <c r="AN46" i="65"/>
  <c r="R46" i="65"/>
  <c r="Q46" i="65"/>
  <c r="E46" i="65"/>
  <c r="L46" i="65" s="1"/>
  <c r="AU45" i="65"/>
  <c r="AT45" i="65"/>
  <c r="AR45" i="65"/>
  <c r="AN45" i="65"/>
  <c r="Q45" i="65"/>
  <c r="E45" i="65"/>
  <c r="L45" i="65" s="1"/>
  <c r="AU44" i="65"/>
  <c r="AT44" i="65"/>
  <c r="AR44" i="65"/>
  <c r="AN44" i="65"/>
  <c r="Q44" i="65"/>
  <c r="E44" i="65"/>
  <c r="L44" i="65" s="1"/>
  <c r="AU43" i="65"/>
  <c r="AT43" i="65"/>
  <c r="AR43" i="65"/>
  <c r="AN43" i="65"/>
  <c r="Q43" i="65"/>
  <c r="E43" i="65"/>
  <c r="L43" i="65" s="1"/>
  <c r="AU42" i="65"/>
  <c r="AT42" i="65"/>
  <c r="AR42" i="65"/>
  <c r="AN42" i="65"/>
  <c r="Q42" i="65"/>
  <c r="E42" i="65"/>
  <c r="L42" i="65" s="1"/>
  <c r="AU41" i="65"/>
  <c r="AT41" i="65"/>
  <c r="AR41" i="65"/>
  <c r="AN41" i="65"/>
  <c r="Q41" i="65"/>
  <c r="E41" i="65"/>
  <c r="L41" i="65" s="1"/>
  <c r="AU40" i="65"/>
  <c r="AT40" i="65"/>
  <c r="AR40" i="65"/>
  <c r="AN40" i="65"/>
  <c r="Q40" i="65"/>
  <c r="E40" i="65"/>
  <c r="L40" i="65" s="1"/>
  <c r="AU39" i="65"/>
  <c r="AT39" i="65"/>
  <c r="AR39" i="65"/>
  <c r="AN39" i="65"/>
  <c r="Q39" i="65"/>
  <c r="E39" i="65"/>
  <c r="L39" i="65" s="1"/>
  <c r="AU38" i="65"/>
  <c r="AT38" i="65"/>
  <c r="AR38" i="65"/>
  <c r="AN38" i="65"/>
  <c r="Q38" i="65"/>
  <c r="E38" i="65"/>
  <c r="L38" i="65" s="1"/>
  <c r="AU37" i="65"/>
  <c r="AT37" i="65"/>
  <c r="AR37" i="65"/>
  <c r="AN37" i="65"/>
  <c r="Q37" i="65"/>
  <c r="E37" i="65"/>
  <c r="L37" i="65" s="1"/>
  <c r="AU36" i="65"/>
  <c r="AT36" i="65"/>
  <c r="AR36" i="65"/>
  <c r="AN36" i="65"/>
  <c r="Q36" i="65"/>
  <c r="E36" i="65"/>
  <c r="L36" i="65" s="1"/>
  <c r="AU35" i="65"/>
  <c r="AT35" i="65"/>
  <c r="AR35" i="65"/>
  <c r="AN35" i="65"/>
  <c r="R35" i="65"/>
  <c r="Q35" i="65"/>
  <c r="E35" i="65"/>
  <c r="L35" i="65" s="1"/>
  <c r="AU34" i="65"/>
  <c r="AT34" i="65"/>
  <c r="AR34" i="65"/>
  <c r="AN34" i="65"/>
  <c r="R34" i="65"/>
  <c r="Q34" i="65"/>
  <c r="E34" i="65"/>
  <c r="L34" i="65" s="1"/>
  <c r="AU33" i="65"/>
  <c r="AT33" i="65"/>
  <c r="AR33" i="65"/>
  <c r="AN33" i="65"/>
  <c r="Q33" i="65"/>
  <c r="E33" i="65"/>
  <c r="L33" i="65" s="1"/>
  <c r="AU32" i="65"/>
  <c r="AT32" i="65"/>
  <c r="AR32" i="65"/>
  <c r="AN32" i="65"/>
  <c r="AS32" i="65"/>
  <c r="Q32" i="65"/>
  <c r="E32" i="65"/>
  <c r="L32" i="65" s="1"/>
  <c r="AU31" i="65"/>
  <c r="AT31" i="65"/>
  <c r="AR31" i="65"/>
  <c r="AN31" i="65"/>
  <c r="AS31" i="65"/>
  <c r="Q31" i="65"/>
  <c r="E31" i="65"/>
  <c r="L31" i="65" s="1"/>
  <c r="AU30" i="65"/>
  <c r="AT30" i="65"/>
  <c r="AR30" i="65"/>
  <c r="AN30" i="65"/>
  <c r="AQ30" i="65"/>
  <c r="AW30" i="65" s="1"/>
  <c r="Q30" i="65"/>
  <c r="E30" i="65"/>
  <c r="L30" i="65" s="1"/>
  <c r="AU29" i="65"/>
  <c r="AT29" i="65"/>
  <c r="AR29" i="65"/>
  <c r="AN29" i="65"/>
  <c r="AS29" i="65"/>
  <c r="Q29" i="65"/>
  <c r="E29" i="65"/>
  <c r="L29" i="65" s="1"/>
  <c r="AU28" i="65"/>
  <c r="AT28" i="65"/>
  <c r="AR28" i="65"/>
  <c r="AN28" i="65"/>
  <c r="Q28" i="65"/>
  <c r="E28" i="65"/>
  <c r="AU27" i="65"/>
  <c r="AT27" i="65"/>
  <c r="AR27" i="65"/>
  <c r="AN27" i="65"/>
  <c r="Q27" i="65"/>
  <c r="E27" i="65"/>
  <c r="L27" i="65" s="1"/>
  <c r="AU26" i="65"/>
  <c r="AT26" i="65"/>
  <c r="AR26" i="65"/>
  <c r="AN26" i="65"/>
  <c r="AS26" i="65"/>
  <c r="Q26" i="65"/>
  <c r="E26" i="65"/>
  <c r="L26" i="65" s="1"/>
  <c r="AU25" i="65"/>
  <c r="AT25" i="65"/>
  <c r="AR25" i="65"/>
  <c r="AN25" i="65"/>
  <c r="AS25" i="65"/>
  <c r="Q25" i="65"/>
  <c r="E25" i="65"/>
  <c r="L25" i="65" s="1"/>
  <c r="AU24" i="65"/>
  <c r="AT24" i="65"/>
  <c r="AR24" i="65"/>
  <c r="AN24" i="65"/>
  <c r="AS24" i="65"/>
  <c r="Q24" i="65"/>
  <c r="E24" i="65"/>
  <c r="L24" i="65" s="1"/>
  <c r="AU23" i="65"/>
  <c r="AT23" i="65"/>
  <c r="AR23" i="65"/>
  <c r="AN23" i="65"/>
  <c r="AS23" i="65"/>
  <c r="Q23" i="65"/>
  <c r="E23" i="65"/>
  <c r="L23" i="65" s="1"/>
  <c r="AU22" i="65"/>
  <c r="AT22" i="65"/>
  <c r="AR22" i="65"/>
  <c r="AN22" i="65"/>
  <c r="AS22" i="65"/>
  <c r="Q22" i="65"/>
  <c r="E22" i="65"/>
  <c r="L22" i="65" s="1"/>
  <c r="AU21" i="65"/>
  <c r="AT21" i="65"/>
  <c r="AR21" i="65"/>
  <c r="AN21" i="65"/>
  <c r="AS21" i="65"/>
  <c r="Q21" i="65"/>
  <c r="E21" i="65"/>
  <c r="L21" i="65" s="1"/>
  <c r="AU20" i="65"/>
  <c r="AT20" i="65"/>
  <c r="AR20" i="65"/>
  <c r="AN20" i="65"/>
  <c r="R20" i="65"/>
  <c r="Q20" i="65"/>
  <c r="E20" i="65"/>
  <c r="L20" i="65" s="1"/>
  <c r="AU19" i="65"/>
  <c r="AT19" i="65"/>
  <c r="AR19" i="65"/>
  <c r="AN19" i="65"/>
  <c r="R19" i="65"/>
  <c r="Q19" i="65"/>
  <c r="E19" i="65"/>
  <c r="L19" i="65" s="1"/>
  <c r="AU18" i="65"/>
  <c r="AT18" i="65"/>
  <c r="AR18" i="65"/>
  <c r="AN18" i="65"/>
  <c r="R18" i="65"/>
  <c r="Q18" i="65"/>
  <c r="E18" i="65"/>
  <c r="L18" i="65" s="1"/>
  <c r="AU17" i="65"/>
  <c r="AT17" i="65"/>
  <c r="AR17" i="65"/>
  <c r="AN17" i="65"/>
  <c r="R17" i="65"/>
  <c r="Q17" i="65"/>
  <c r="E17" i="65"/>
  <c r="L17" i="65" s="1"/>
  <c r="AU16" i="65"/>
  <c r="AT16" i="65"/>
  <c r="AR16" i="65"/>
  <c r="AN16" i="65"/>
  <c r="R16" i="65"/>
  <c r="Q16" i="65"/>
  <c r="E16" i="65"/>
  <c r="L16" i="65" s="1"/>
  <c r="AU15" i="65"/>
  <c r="AT15" i="65"/>
  <c r="AR15" i="65"/>
  <c r="AN15" i="65"/>
  <c r="R15" i="65"/>
  <c r="Q15" i="65"/>
  <c r="E15" i="65"/>
  <c r="L15" i="65" s="1"/>
  <c r="AU14" i="65"/>
  <c r="AT14" i="65"/>
  <c r="AR14" i="65"/>
  <c r="AN14" i="65"/>
  <c r="R14" i="65"/>
  <c r="Q14" i="65"/>
  <c r="E14" i="65"/>
  <c r="L14" i="65" s="1"/>
  <c r="AU13" i="65"/>
  <c r="AT13" i="65"/>
  <c r="AR13" i="65"/>
  <c r="AN13" i="65"/>
  <c r="AQ13" i="65"/>
  <c r="Q13" i="65"/>
  <c r="E13" i="65"/>
  <c r="L13" i="65" s="1"/>
  <c r="AU12" i="65"/>
  <c r="AT12" i="65"/>
  <c r="AR12" i="65"/>
  <c r="AN12" i="65"/>
  <c r="AQ12" i="65"/>
  <c r="Q12" i="65"/>
  <c r="E12" i="65"/>
  <c r="L12" i="65" s="1"/>
  <c r="AU11" i="65"/>
  <c r="AT11" i="65"/>
  <c r="AR11" i="65"/>
  <c r="AN11" i="65"/>
  <c r="AS11" i="65"/>
  <c r="Q11" i="65"/>
  <c r="E11" i="65"/>
  <c r="L11" i="65" s="1"/>
  <c r="AU10" i="65"/>
  <c r="AT10" i="65"/>
  <c r="AR10" i="65"/>
  <c r="AN10" i="65"/>
  <c r="AS10" i="65"/>
  <c r="Q10" i="65"/>
  <c r="E10" i="65"/>
  <c r="L10" i="65" s="1"/>
  <c r="AU9" i="65"/>
  <c r="AT9" i="65"/>
  <c r="AR9" i="65"/>
  <c r="AN9" i="65"/>
  <c r="R9" i="65"/>
  <c r="Q9" i="65"/>
  <c r="E9" i="65"/>
  <c r="L9" i="65" s="1"/>
  <c r="AU8" i="65"/>
  <c r="AT8" i="65"/>
  <c r="AR8" i="65"/>
  <c r="AN8" i="65"/>
  <c r="Q8" i="65"/>
  <c r="E8" i="65"/>
  <c r="L8" i="65" s="1"/>
  <c r="AU7" i="65"/>
  <c r="AT7" i="65"/>
  <c r="AR7" i="65"/>
  <c r="AN7" i="65"/>
  <c r="Q7" i="65"/>
  <c r="E7" i="65"/>
  <c r="L7" i="65" s="1"/>
  <c r="AU6" i="65"/>
  <c r="AT6" i="65"/>
  <c r="AR6" i="65"/>
  <c r="AN6" i="65"/>
  <c r="AS6" i="65"/>
  <c r="Q6" i="65"/>
  <c r="E6" i="65"/>
  <c r="L6" i="65" s="1"/>
  <c r="AU5" i="65"/>
  <c r="AT5" i="65"/>
  <c r="AR5" i="65"/>
  <c r="AN5" i="65"/>
  <c r="AQ5" i="65"/>
  <c r="Q5" i="65"/>
  <c r="E5" i="65"/>
  <c r="L5" i="65" s="1"/>
  <c r="AU4" i="65"/>
  <c r="AT4" i="65"/>
  <c r="AR4" i="65"/>
  <c r="AN4" i="65"/>
  <c r="Q4" i="65"/>
  <c r="E4" i="65"/>
  <c r="L4" i="65" s="1"/>
  <c r="AU3" i="65"/>
  <c r="AT3" i="65"/>
  <c r="AR3" i="65"/>
  <c r="AB3" i="65"/>
  <c r="AA3" i="65"/>
  <c r="X3" i="65"/>
  <c r="X110" i="65" s="1"/>
  <c r="U3" i="65"/>
  <c r="J8" i="67" s="1"/>
  <c r="Q3" i="65"/>
  <c r="E3" i="65"/>
  <c r="R127" i="64"/>
  <c r="Q127" i="64"/>
  <c r="P127" i="64"/>
  <c r="O127" i="64"/>
  <c r="M127" i="64"/>
  <c r="K127" i="64"/>
  <c r="AZ125" i="64"/>
  <c r="AO125" i="64"/>
  <c r="AN125" i="64"/>
  <c r="AM125" i="64"/>
  <c r="AL125" i="64"/>
  <c r="AK125" i="64"/>
  <c r="AJ125" i="64"/>
  <c r="AI125" i="64"/>
  <c r="AH125" i="64"/>
  <c r="AG125" i="64"/>
  <c r="AE125" i="64"/>
  <c r="AF125" i="64" s="1"/>
  <c r="AD125" i="64"/>
  <c r="AC125" i="64"/>
  <c r="AB125" i="64"/>
  <c r="AA125" i="64"/>
  <c r="Z125" i="64"/>
  <c r="Y125" i="64"/>
  <c r="X125" i="64"/>
  <c r="W125" i="64"/>
  <c r="V125" i="64"/>
  <c r="U125" i="64"/>
  <c r="T125" i="64"/>
  <c r="S125" i="64"/>
  <c r="N125" i="64"/>
  <c r="L125" i="64"/>
  <c r="J125" i="64"/>
  <c r="I125" i="64"/>
  <c r="H125" i="64"/>
  <c r="G125" i="64"/>
  <c r="F125" i="64"/>
  <c r="E125" i="64"/>
  <c r="AX124" i="64"/>
  <c r="AW124" i="64"/>
  <c r="AV124" i="64"/>
  <c r="AU124" i="64"/>
  <c r="AT124" i="64"/>
  <c r="AS124" i="64"/>
  <c r="AR124" i="64"/>
  <c r="AQ124" i="64"/>
  <c r="AZ114" i="64"/>
  <c r="AO114" i="64"/>
  <c r="AN114" i="64"/>
  <c r="AM114" i="64"/>
  <c r="AL114" i="64"/>
  <c r="AK114" i="64"/>
  <c r="AJ114" i="64"/>
  <c r="AI114" i="64"/>
  <c r="AH114" i="64"/>
  <c r="AU114" i="64" s="1"/>
  <c r="AG114" i="64"/>
  <c r="AF114" i="64"/>
  <c r="AE114" i="64"/>
  <c r="AD114" i="64"/>
  <c r="AC114" i="64"/>
  <c r="AB114" i="64"/>
  <c r="AA114" i="64"/>
  <c r="Z114" i="64"/>
  <c r="Y114" i="64"/>
  <c r="X114" i="64"/>
  <c r="W114" i="64"/>
  <c r="V114" i="64"/>
  <c r="U114" i="64"/>
  <c r="T114" i="64"/>
  <c r="S114" i="64"/>
  <c r="N114" i="64"/>
  <c r="L114" i="64"/>
  <c r="J114" i="64"/>
  <c r="I114" i="64"/>
  <c r="H114" i="64"/>
  <c r="G114" i="64"/>
  <c r="F114" i="64"/>
  <c r="E114" i="64"/>
  <c r="AX113" i="64"/>
  <c r="AW113" i="64"/>
  <c r="AV113" i="64"/>
  <c r="AU113" i="64"/>
  <c r="AT113" i="64"/>
  <c r="AS113" i="64"/>
  <c r="AR113" i="64"/>
  <c r="AQ113" i="64"/>
  <c r="AR103" i="64"/>
  <c r="AR102" i="64"/>
  <c r="AR101" i="64"/>
  <c r="AR100" i="64"/>
  <c r="AR99" i="64"/>
  <c r="AU99" i="64"/>
  <c r="AR98" i="64"/>
  <c r="AU98" i="64"/>
  <c r="AR97" i="64"/>
  <c r="AR96" i="64"/>
  <c r="AU96" i="64"/>
  <c r="AR95" i="64"/>
  <c r="AR94" i="64"/>
  <c r="AR93" i="64"/>
  <c r="AR92" i="64"/>
  <c r="AR91" i="64"/>
  <c r="AU91" i="64"/>
  <c r="AR90" i="64"/>
  <c r="AR89" i="64"/>
  <c r="AU89" i="64"/>
  <c r="AR88" i="64"/>
  <c r="AR87" i="64"/>
  <c r="AU87" i="64"/>
  <c r="AR86" i="64"/>
  <c r="AT86" i="64"/>
  <c r="AR85" i="64"/>
  <c r="AU85" i="64"/>
  <c r="AR84" i="64"/>
  <c r="AR83" i="64"/>
  <c r="AT83" i="64"/>
  <c r="AR82" i="64"/>
  <c r="AR81" i="64"/>
  <c r="AR80" i="64"/>
  <c r="AR79" i="64"/>
  <c r="AT79" i="64"/>
  <c r="AU78" i="64"/>
  <c r="AR78" i="64"/>
  <c r="AR77" i="64"/>
  <c r="AR76" i="64"/>
  <c r="AR75" i="64"/>
  <c r="AR74" i="64"/>
  <c r="AU74" i="64"/>
  <c r="AR73" i="64"/>
  <c r="AT73" i="64"/>
  <c r="AR72" i="64"/>
  <c r="AR71" i="64"/>
  <c r="AU71" i="64"/>
  <c r="AR70" i="64"/>
  <c r="AR69" i="64"/>
  <c r="AR68" i="64"/>
  <c r="AU68" i="64"/>
  <c r="AR67" i="64"/>
  <c r="AR66" i="64"/>
  <c r="AR65" i="64"/>
  <c r="AU65" i="64"/>
  <c r="AR64" i="64"/>
  <c r="AU64" i="64"/>
  <c r="AR63" i="64"/>
  <c r="AR62" i="64"/>
  <c r="AU62" i="64"/>
  <c r="AR61" i="64"/>
  <c r="AR60" i="64"/>
  <c r="AR59" i="64"/>
  <c r="AT59" i="64"/>
  <c r="AR58" i="64"/>
  <c r="AR57" i="64"/>
  <c r="AT57" i="64"/>
  <c r="AR56" i="64"/>
  <c r="AT56" i="64"/>
  <c r="AR55" i="64"/>
  <c r="AT55" i="64"/>
  <c r="AR54" i="64"/>
  <c r="AU53" i="64"/>
  <c r="AR53" i="64"/>
  <c r="AR52" i="64"/>
  <c r="AR51" i="64"/>
  <c r="AT51" i="64"/>
  <c r="AR50" i="64"/>
  <c r="AR49" i="64"/>
  <c r="AR48" i="64"/>
  <c r="AR47" i="64"/>
  <c r="AR46" i="64"/>
  <c r="AU46" i="64"/>
  <c r="AR45" i="64"/>
  <c r="AR44" i="64"/>
  <c r="AR43" i="64"/>
  <c r="AU43" i="64"/>
  <c r="AR42" i="64"/>
  <c r="AR41" i="64"/>
  <c r="AT41" i="64"/>
  <c r="AR40" i="64"/>
  <c r="AR39" i="64"/>
  <c r="AR38" i="64"/>
  <c r="AR37" i="64"/>
  <c r="AR36" i="64"/>
  <c r="AR35" i="64"/>
  <c r="AU35" i="64"/>
  <c r="AR34" i="64"/>
  <c r="AU34" i="64"/>
  <c r="AR33" i="64"/>
  <c r="AT33" i="64"/>
  <c r="AR32" i="64"/>
  <c r="AU32" i="64"/>
  <c r="AR31" i="64"/>
  <c r="AR30" i="64"/>
  <c r="AR29" i="64"/>
  <c r="AR28" i="64"/>
  <c r="AT28" i="64"/>
  <c r="AR27" i="64"/>
  <c r="AU27" i="64"/>
  <c r="AR26" i="64"/>
  <c r="AU25" i="64"/>
  <c r="AR25" i="64"/>
  <c r="AR24" i="64"/>
  <c r="AR23" i="64"/>
  <c r="AR22" i="64"/>
  <c r="AR21" i="64"/>
  <c r="AR20" i="64"/>
  <c r="AR19" i="64"/>
  <c r="AR18" i="64"/>
  <c r="AR17" i="64"/>
  <c r="AR16" i="64"/>
  <c r="AT16" i="64"/>
  <c r="AR15" i="64"/>
  <c r="AR14" i="64"/>
  <c r="AR13" i="64"/>
  <c r="AR12" i="64"/>
  <c r="AR11" i="64"/>
  <c r="AR10" i="64"/>
  <c r="AT10" i="64"/>
  <c r="AR9" i="64"/>
  <c r="AR8" i="64"/>
  <c r="AT8" i="64"/>
  <c r="AR7" i="64"/>
  <c r="AT7" i="64"/>
  <c r="AR6" i="64"/>
  <c r="AT6" i="64"/>
  <c r="AR5" i="64"/>
  <c r="AT5" i="64"/>
  <c r="AR4" i="64"/>
  <c r="AT4" i="64"/>
  <c r="AR3" i="64"/>
  <c r="AF118" i="65" l="1"/>
  <c r="AV105" i="65" a="1"/>
  <c r="AV105" i="65" s="1"/>
  <c r="C73" i="67"/>
  <c r="AR109" i="65"/>
  <c r="Q110" i="65"/>
  <c r="AL7" i="65"/>
  <c r="AL11" i="65"/>
  <c r="AL23" i="65"/>
  <c r="AL31" i="65"/>
  <c r="AL47" i="65"/>
  <c r="AL71" i="65"/>
  <c r="AL95" i="65"/>
  <c r="AL15" i="65"/>
  <c r="AL27" i="65"/>
  <c r="AL39" i="65"/>
  <c r="AL59" i="65"/>
  <c r="AL83" i="65"/>
  <c r="AL87" i="65"/>
  <c r="AO87" i="65" s="1"/>
  <c r="AL36" i="65"/>
  <c r="AL48" i="65"/>
  <c r="AL56" i="65"/>
  <c r="AL64" i="65"/>
  <c r="AL68" i="65"/>
  <c r="AL76" i="65"/>
  <c r="AL80" i="65"/>
  <c r="AL88" i="65"/>
  <c r="AL96" i="65"/>
  <c r="AL100" i="65"/>
  <c r="AL4" i="65"/>
  <c r="AL8" i="65"/>
  <c r="AL12" i="65"/>
  <c r="AL16" i="65"/>
  <c r="AL20" i="65"/>
  <c r="AL24" i="65"/>
  <c r="AL28" i="65"/>
  <c r="AL32" i="65"/>
  <c r="AL40" i="65"/>
  <c r="AL44" i="65"/>
  <c r="AL52" i="65"/>
  <c r="AL60" i="65"/>
  <c r="AL72" i="65"/>
  <c r="AL84" i="65"/>
  <c r="AL92" i="65"/>
  <c r="AL104" i="65"/>
  <c r="AL13" i="65"/>
  <c r="AL21" i="65"/>
  <c r="AL33" i="65"/>
  <c r="AL45" i="65"/>
  <c r="AO45" i="65" s="1"/>
  <c r="AL53" i="65"/>
  <c r="AL61" i="65"/>
  <c r="AL73" i="65"/>
  <c r="AL81" i="65"/>
  <c r="AL93" i="65"/>
  <c r="AL106" i="65"/>
  <c r="AL43" i="65"/>
  <c r="AO43" i="65" s="1"/>
  <c r="AL75" i="65"/>
  <c r="AL99" i="65"/>
  <c r="AL9" i="65"/>
  <c r="AL17" i="65"/>
  <c r="AL25" i="65"/>
  <c r="AL29" i="65"/>
  <c r="AL41" i="65"/>
  <c r="AL49" i="65"/>
  <c r="AL57" i="65"/>
  <c r="AL69" i="65"/>
  <c r="AL77" i="65"/>
  <c r="AL89" i="65"/>
  <c r="AL101" i="65"/>
  <c r="AL55" i="65"/>
  <c r="AL79" i="65"/>
  <c r="AL108" i="65"/>
  <c r="AO108" i="65" s="1"/>
  <c r="AL5" i="65"/>
  <c r="AL37" i="65"/>
  <c r="AL65" i="65"/>
  <c r="AL85" i="65"/>
  <c r="AL97" i="65"/>
  <c r="AL63" i="65"/>
  <c r="AL103" i="65"/>
  <c r="AL6" i="65"/>
  <c r="AL10" i="65"/>
  <c r="AO10" i="65" s="1"/>
  <c r="AL14" i="65"/>
  <c r="AL18" i="65"/>
  <c r="AL22" i="65"/>
  <c r="AL26" i="65"/>
  <c r="AL30" i="65"/>
  <c r="AL34" i="65"/>
  <c r="AL38" i="65"/>
  <c r="AO38" i="65" s="1"/>
  <c r="AL42" i="65"/>
  <c r="AO42" i="65" s="1"/>
  <c r="AL46" i="65"/>
  <c r="AL50" i="65"/>
  <c r="AL54" i="65"/>
  <c r="AL58" i="65"/>
  <c r="AL62" i="65"/>
  <c r="AL66" i="65"/>
  <c r="AL70" i="65"/>
  <c r="AL74" i="65"/>
  <c r="AL78" i="65"/>
  <c r="AL82" i="65"/>
  <c r="AL86" i="65"/>
  <c r="AO86" i="65" s="1"/>
  <c r="AL90" i="65"/>
  <c r="AL94" i="65"/>
  <c r="AL98" i="65"/>
  <c r="AL102" i="65"/>
  <c r="AL107" i="65"/>
  <c r="AO107" i="65" s="1"/>
  <c r="AL19" i="65"/>
  <c r="AL35" i="65"/>
  <c r="AL51" i="65"/>
  <c r="AL67" i="65"/>
  <c r="AL91" i="65"/>
  <c r="AO91" i="65" s="1"/>
  <c r="J110" i="67"/>
  <c r="K8" i="67" s="1"/>
  <c r="AG131" i="65"/>
  <c r="AT109" i="65"/>
  <c r="AU109" i="65"/>
  <c r="AF3" i="65"/>
  <c r="AA110" i="65"/>
  <c r="AA131" i="65" s="1"/>
  <c r="AC105" i="65" s="1"/>
  <c r="AQ3" i="65"/>
  <c r="U110" i="65"/>
  <c r="F15" i="69"/>
  <c r="E16" i="69"/>
  <c r="M12" i="69"/>
  <c r="G12" i="69" s="1"/>
  <c r="L13" i="69"/>
  <c r="AB110" i="65"/>
  <c r="L3" i="65"/>
  <c r="E130" i="65"/>
  <c r="E110" i="65"/>
  <c r="E131" i="65" s="1"/>
  <c r="AO106" i="65"/>
  <c r="R99" i="65"/>
  <c r="AM131" i="65"/>
  <c r="W131" i="65"/>
  <c r="AU129" i="65"/>
  <c r="AU118" i="65"/>
  <c r="R51" i="65"/>
  <c r="AQ103" i="65"/>
  <c r="AW103" i="65" s="1"/>
  <c r="R4" i="65"/>
  <c r="AS33" i="65"/>
  <c r="AS48" i="65"/>
  <c r="R78" i="65"/>
  <c r="AS4" i="65"/>
  <c r="AS5" i="65"/>
  <c r="R7" i="65"/>
  <c r="AQ94" i="65"/>
  <c r="AW94" i="65" s="1"/>
  <c r="AO31" i="65"/>
  <c r="AQ86" i="65"/>
  <c r="AQ91" i="65"/>
  <c r="AW91" i="65" s="1"/>
  <c r="AQ100" i="65"/>
  <c r="AW100" i="65" s="1"/>
  <c r="AQ4" i="65"/>
  <c r="AO39" i="65"/>
  <c r="R6" i="65"/>
  <c r="R82" i="65"/>
  <c r="R85" i="65"/>
  <c r="R5" i="65"/>
  <c r="AS7" i="65"/>
  <c r="R12" i="65"/>
  <c r="R47" i="65"/>
  <c r="R71" i="65"/>
  <c r="R88" i="65"/>
  <c r="R91" i="65"/>
  <c r="R94" i="65"/>
  <c r="AQ98" i="65"/>
  <c r="AW98" i="65" s="1"/>
  <c r="AQ104" i="65"/>
  <c r="AQ8" i="65"/>
  <c r="AQ11" i="65"/>
  <c r="AQ31" i="65"/>
  <c r="AW31" i="65" s="1"/>
  <c r="R75" i="65"/>
  <c r="AQ89" i="65"/>
  <c r="R98" i="65"/>
  <c r="AQ101" i="65"/>
  <c r="AW101" i="65" s="1"/>
  <c r="R103" i="65"/>
  <c r="AQ6" i="65"/>
  <c r="AS52" i="65"/>
  <c r="AQ77" i="65"/>
  <c r="AQ87" i="65"/>
  <c r="AQ93" i="65"/>
  <c r="AW93" i="65" s="1"/>
  <c r="R11" i="65"/>
  <c r="R84" i="65"/>
  <c r="R89" i="65"/>
  <c r="AQ99" i="65"/>
  <c r="AW99" i="65" s="1"/>
  <c r="AQ102" i="65"/>
  <c r="AS35" i="65"/>
  <c r="R45" i="65"/>
  <c r="R87" i="65"/>
  <c r="R101" i="65"/>
  <c r="AQ7" i="65"/>
  <c r="AS12" i="65"/>
  <c r="R21" i="65"/>
  <c r="AS30" i="65"/>
  <c r="AS50" i="65"/>
  <c r="X131" i="65"/>
  <c r="AS17" i="65"/>
  <c r="AS41" i="65"/>
  <c r="AQ79" i="65"/>
  <c r="R93" i="65"/>
  <c r="AQ95" i="65"/>
  <c r="AW95" i="65" s="1"/>
  <c r="R100" i="65"/>
  <c r="AS9" i="65"/>
  <c r="R8" i="65"/>
  <c r="AS8" i="65"/>
  <c r="AQ34" i="65"/>
  <c r="AW34" i="65" s="1"/>
  <c r="AS45" i="65"/>
  <c r="AQ73" i="65"/>
  <c r="AW73" i="65" s="1"/>
  <c r="R77" i="65"/>
  <c r="R79" i="65"/>
  <c r="AQ81" i="65"/>
  <c r="AW81" i="65" s="1"/>
  <c r="AQ83" i="65"/>
  <c r="AW83" i="65" s="1"/>
  <c r="R86" i="65"/>
  <c r="AQ88" i="65"/>
  <c r="AW88" i="65" s="1"/>
  <c r="AQ90" i="65"/>
  <c r="AW90" i="65" s="1"/>
  <c r="R95" i="65"/>
  <c r="AQ97" i="65"/>
  <c r="AW97" i="65" s="1"/>
  <c r="R102" i="65"/>
  <c r="R104" i="65"/>
  <c r="AS3" i="65"/>
  <c r="AQ92" i="65"/>
  <c r="AD3" i="65"/>
  <c r="AD110" i="65" s="1"/>
  <c r="P26" i="3" s="1"/>
  <c r="Q131" i="65"/>
  <c r="AO9" i="65"/>
  <c r="AQ10" i="65"/>
  <c r="AS15" i="65"/>
  <c r="AQ29" i="65"/>
  <c r="AW29" i="65" s="1"/>
  <c r="AS46" i="65"/>
  <c r="AQ78" i="65"/>
  <c r="R81" i="65"/>
  <c r="R83" i="65"/>
  <c r="AQ85" i="65"/>
  <c r="R90" i="65"/>
  <c r="R92" i="65"/>
  <c r="R97" i="65"/>
  <c r="AQ9" i="65"/>
  <c r="R10" i="65"/>
  <c r="AS13" i="65"/>
  <c r="AS19" i="65"/>
  <c r="AQ35" i="65"/>
  <c r="AW35" i="65" s="1"/>
  <c r="AS39" i="65"/>
  <c r="AQ80" i="65"/>
  <c r="AQ82" i="65"/>
  <c r="AW82" i="65" s="1"/>
  <c r="AQ96" i="65"/>
  <c r="AW96" i="65" s="1"/>
  <c r="AO100" i="65"/>
  <c r="AO93" i="65"/>
  <c r="AS43" i="65"/>
  <c r="R13" i="65"/>
  <c r="R80" i="65"/>
  <c r="AQ84" i="65"/>
  <c r="R96" i="65"/>
  <c r="AO8" i="65"/>
  <c r="AO30" i="65"/>
  <c r="AO34" i="65"/>
  <c r="AO7" i="65"/>
  <c r="AO36" i="65"/>
  <c r="AO40" i="65"/>
  <c r="AO79" i="65"/>
  <c r="AO94" i="65"/>
  <c r="AO99" i="65"/>
  <c r="AO5" i="65"/>
  <c r="AO33" i="65"/>
  <c r="AO37" i="65"/>
  <c r="AO6" i="65"/>
  <c r="AO4" i="65"/>
  <c r="AO12" i="65"/>
  <c r="AO41" i="65"/>
  <c r="AO44" i="65"/>
  <c r="AO78" i="65"/>
  <c r="AO83" i="65"/>
  <c r="AL3" i="65"/>
  <c r="AO35" i="65"/>
  <c r="C52" i="67" s="1"/>
  <c r="AO32" i="65"/>
  <c r="G10" i="66"/>
  <c r="G4" i="66"/>
  <c r="L12" i="66"/>
  <c r="M11" i="66"/>
  <c r="F12" i="66"/>
  <c r="E13" i="66"/>
  <c r="AA75" i="64"/>
  <c r="AA52" i="64"/>
  <c r="AF52" i="64" s="1"/>
  <c r="X39" i="64"/>
  <c r="AN39" i="64" s="1"/>
  <c r="AN39" i="38" s="1"/>
  <c r="U33" i="64"/>
  <c r="AD33" i="64" s="1"/>
  <c r="X29" i="64"/>
  <c r="AN29" i="64" s="1"/>
  <c r="AN29" i="38" s="1"/>
  <c r="U28" i="64"/>
  <c r="AD28" i="64" s="1"/>
  <c r="U27" i="64"/>
  <c r="AD27" i="64" s="1"/>
  <c r="U23" i="64"/>
  <c r="AD23" i="64" s="1"/>
  <c r="U7" i="64"/>
  <c r="AD7" i="64" s="1"/>
  <c r="S27" i="38"/>
  <c r="T98" i="38"/>
  <c r="U102" i="64"/>
  <c r="AD102" i="64" s="1"/>
  <c r="X69" i="64"/>
  <c r="AN69" i="64" s="1"/>
  <c r="AN69" i="38" s="1"/>
  <c r="X61" i="64"/>
  <c r="AN61" i="64" s="1"/>
  <c r="AN61" i="38" s="1"/>
  <c r="AA58" i="64"/>
  <c r="AA53" i="64"/>
  <c r="V13" i="38"/>
  <c r="X90" i="64"/>
  <c r="AN90" i="64" s="1"/>
  <c r="AN90" i="38" s="1"/>
  <c r="X84" i="64"/>
  <c r="AN84" i="64" s="1"/>
  <c r="AN84" i="38" s="1"/>
  <c r="U83" i="64"/>
  <c r="AD83" i="64" s="1"/>
  <c r="U79" i="64"/>
  <c r="AD79" i="64" s="1"/>
  <c r="U50" i="64"/>
  <c r="AD50" i="64" s="1"/>
  <c r="U45" i="64"/>
  <c r="AD45" i="64" s="1"/>
  <c r="X35" i="64"/>
  <c r="AN35" i="64" s="1"/>
  <c r="AN35" i="38" s="1"/>
  <c r="U29" i="64"/>
  <c r="AD29" i="64" s="1"/>
  <c r="AA26" i="64"/>
  <c r="X21" i="64"/>
  <c r="AN21" i="64" s="1"/>
  <c r="AN21" i="38" s="1"/>
  <c r="AA7" i="64"/>
  <c r="V29" i="38"/>
  <c r="Y33" i="38"/>
  <c r="U103" i="64"/>
  <c r="AD103" i="64" s="1"/>
  <c r="U99" i="64"/>
  <c r="AD99" i="64" s="1"/>
  <c r="AA97" i="64"/>
  <c r="U94" i="64"/>
  <c r="AD94" i="64" s="1"/>
  <c r="AA87" i="64"/>
  <c r="AF87" i="64" s="1"/>
  <c r="X81" i="64"/>
  <c r="AN81" i="64" s="1"/>
  <c r="AN81" i="38" s="1"/>
  <c r="X76" i="64"/>
  <c r="AN76" i="64" s="1"/>
  <c r="AN76" i="38" s="1"/>
  <c r="U69" i="64"/>
  <c r="AD69" i="64" s="1"/>
  <c r="U61" i="64"/>
  <c r="AD61" i="64" s="1"/>
  <c r="AA8" i="64"/>
  <c r="AF8" i="64" s="1"/>
  <c r="S51" i="38"/>
  <c r="V45" i="38"/>
  <c r="U89" i="64"/>
  <c r="AD89" i="64" s="1"/>
  <c r="U57" i="64"/>
  <c r="AD57" i="64" s="1"/>
  <c r="X36" i="64"/>
  <c r="AN36" i="64" s="1"/>
  <c r="AN36" i="38" s="1"/>
  <c r="AA9" i="64"/>
  <c r="T42" i="38"/>
  <c r="V61" i="38"/>
  <c r="AA98" i="64"/>
  <c r="AA94" i="64"/>
  <c r="AF33" i="64"/>
  <c r="X28" i="64"/>
  <c r="AN28" i="64" s="1"/>
  <c r="AN28" i="38" s="1"/>
  <c r="X23" i="64"/>
  <c r="AN23" i="64" s="1"/>
  <c r="AN23" i="38" s="1"/>
  <c r="U17" i="64"/>
  <c r="AD17" i="64" s="1"/>
  <c r="U12" i="64"/>
  <c r="AD12" i="64" s="1"/>
  <c r="U11" i="64"/>
  <c r="AD11" i="64" s="1"/>
  <c r="V84" i="38"/>
  <c r="AG77" i="38"/>
  <c r="X87" i="64"/>
  <c r="AN87" i="64" s="1"/>
  <c r="AN87" i="38" s="1"/>
  <c r="U85" i="64"/>
  <c r="AD85" i="64" s="1"/>
  <c r="U47" i="64"/>
  <c r="AD47" i="64" s="1"/>
  <c r="U37" i="64"/>
  <c r="AD37" i="64" s="1"/>
  <c r="U101" i="64"/>
  <c r="AD101" i="64" s="1"/>
  <c r="X93" i="64"/>
  <c r="AN93" i="64" s="1"/>
  <c r="AN93" i="38" s="1"/>
  <c r="X68" i="64"/>
  <c r="AN68" i="64" s="1"/>
  <c r="AN68" i="38" s="1"/>
  <c r="U67" i="64"/>
  <c r="AD67" i="64" s="1"/>
  <c r="AA65" i="64"/>
  <c r="AA51" i="64"/>
  <c r="X44" i="64"/>
  <c r="AN44" i="64" s="1"/>
  <c r="AN44" i="38" s="1"/>
  <c r="X14" i="64"/>
  <c r="AN14" i="64" s="1"/>
  <c r="AN14" i="38" s="1"/>
  <c r="U13" i="64"/>
  <c r="AD13" i="64" s="1"/>
  <c r="AA10" i="64"/>
  <c r="S83" i="38"/>
  <c r="AT88" i="64"/>
  <c r="AG106" i="64"/>
  <c r="AG127" i="64" s="1"/>
  <c r="AG30" i="38"/>
  <c r="AG80" i="38"/>
  <c r="AT58" i="64"/>
  <c r="AT84" i="64"/>
  <c r="AG49" i="38"/>
  <c r="AG106" i="38" s="1"/>
  <c r="AG82" i="38"/>
  <c r="AT75" i="64"/>
  <c r="AT14" i="64"/>
  <c r="AA78" i="64"/>
  <c r="Y78" i="38"/>
  <c r="X74" i="64"/>
  <c r="AN74" i="64" s="1"/>
  <c r="AN74" i="38" s="1"/>
  <c r="V74" i="38"/>
  <c r="W106" i="64"/>
  <c r="AA102" i="64"/>
  <c r="AA101" i="64"/>
  <c r="X99" i="64"/>
  <c r="AN99" i="64" s="1"/>
  <c r="AN99" i="38" s="1"/>
  <c r="X98" i="64"/>
  <c r="AN98" i="64" s="1"/>
  <c r="AN98" i="38" s="1"/>
  <c r="X95" i="64"/>
  <c r="AN95" i="64" s="1"/>
  <c r="AN95" i="38" s="1"/>
  <c r="V95" i="38"/>
  <c r="X94" i="64"/>
  <c r="AN94" i="64" s="1"/>
  <c r="AN94" i="38" s="1"/>
  <c r="V94" i="38"/>
  <c r="U90" i="64"/>
  <c r="AD90" i="64" s="1"/>
  <c r="U87" i="64"/>
  <c r="AD87" i="64" s="1"/>
  <c r="AA85" i="64"/>
  <c r="AF85" i="64" s="1"/>
  <c r="Y85" i="38"/>
  <c r="AA82" i="64"/>
  <c r="AF82" i="64" s="1"/>
  <c r="AA80" i="64"/>
  <c r="AF80" i="64" s="1"/>
  <c r="Y80" i="38"/>
  <c r="X77" i="64"/>
  <c r="AN77" i="64" s="1"/>
  <c r="AN77" i="38" s="1"/>
  <c r="U71" i="64"/>
  <c r="AD71" i="64" s="1"/>
  <c r="AA68" i="64"/>
  <c r="AF68" i="64" s="1"/>
  <c r="AA67" i="64"/>
  <c r="Y67" i="38"/>
  <c r="AA66" i="64"/>
  <c r="AF66" i="64" s="1"/>
  <c r="X65" i="64"/>
  <c r="AN65" i="64" s="1"/>
  <c r="AN65" i="38" s="1"/>
  <c r="W65" i="38"/>
  <c r="U62" i="64"/>
  <c r="AD62" i="64" s="1"/>
  <c r="T62" i="38"/>
  <c r="U59" i="64"/>
  <c r="AD59" i="64" s="1"/>
  <c r="U53" i="64"/>
  <c r="AD53" i="64" s="1"/>
  <c r="U49" i="64"/>
  <c r="AD49" i="64" s="1"/>
  <c r="X48" i="64"/>
  <c r="AN48" i="64" s="1"/>
  <c r="AN48" i="38" s="1"/>
  <c r="X46" i="64"/>
  <c r="AN46" i="64" s="1"/>
  <c r="AN46" i="38" s="1"/>
  <c r="U38" i="64"/>
  <c r="AD38" i="64" s="1"/>
  <c r="AA29" i="64"/>
  <c r="Y29" i="38"/>
  <c r="X26" i="64"/>
  <c r="AN26" i="64" s="1"/>
  <c r="AN26" i="38" s="1"/>
  <c r="V26" i="38"/>
  <c r="X25" i="64"/>
  <c r="AN25" i="64" s="1"/>
  <c r="AN25" i="38" s="1"/>
  <c r="W25" i="38"/>
  <c r="U22" i="64"/>
  <c r="AD22" i="64" s="1"/>
  <c r="U21" i="64"/>
  <c r="AD21" i="64" s="1"/>
  <c r="S4" i="38"/>
  <c r="V14" i="38"/>
  <c r="V46" i="38"/>
  <c r="V85" i="38"/>
  <c r="W39" i="38"/>
  <c r="Y66" i="38"/>
  <c r="Y98" i="38"/>
  <c r="AA99" i="64"/>
  <c r="Y99" i="38"/>
  <c r="X75" i="64"/>
  <c r="AN75" i="64" s="1"/>
  <c r="AN75" i="38" s="1"/>
  <c r="W75" i="38"/>
  <c r="X62" i="64"/>
  <c r="AN62" i="64" s="1"/>
  <c r="AN62" i="38" s="1"/>
  <c r="V62" i="38"/>
  <c r="X56" i="64"/>
  <c r="AN56" i="64" s="1"/>
  <c r="AN56" i="38" s="1"/>
  <c r="V56" i="38"/>
  <c r="AA103" i="64"/>
  <c r="Z103" i="38"/>
  <c r="AA100" i="64"/>
  <c r="Y100" i="38"/>
  <c r="X97" i="64"/>
  <c r="AN97" i="64" s="1"/>
  <c r="AN97" i="38" s="1"/>
  <c r="V97" i="38"/>
  <c r="X96" i="64"/>
  <c r="AN96" i="64" s="1"/>
  <c r="AN96" i="38" s="1"/>
  <c r="V96" i="38"/>
  <c r="U95" i="64"/>
  <c r="AD95" i="64" s="1"/>
  <c r="U92" i="64"/>
  <c r="AD92" i="64" s="1"/>
  <c r="AA90" i="64"/>
  <c r="AF90" i="64" s="1"/>
  <c r="X78" i="64"/>
  <c r="AN78" i="64" s="1"/>
  <c r="AN78" i="38" s="1"/>
  <c r="V78" i="38"/>
  <c r="U77" i="64"/>
  <c r="AD77" i="64" s="1"/>
  <c r="U74" i="64"/>
  <c r="AD74" i="64" s="1"/>
  <c r="X67" i="64"/>
  <c r="AN67" i="64" s="1"/>
  <c r="AN67" i="38" s="1"/>
  <c r="W67" i="38"/>
  <c r="X63" i="64"/>
  <c r="AN63" i="64" s="1"/>
  <c r="AN63" i="38" s="1"/>
  <c r="V63" i="38"/>
  <c r="X47" i="64"/>
  <c r="AN47" i="64" s="1"/>
  <c r="AN47" i="38" s="1"/>
  <c r="V47" i="38"/>
  <c r="U46" i="64"/>
  <c r="AD46" i="64" s="1"/>
  <c r="U35" i="64"/>
  <c r="AD35" i="64" s="1"/>
  <c r="AA31" i="64"/>
  <c r="AA30" i="64"/>
  <c r="Y30" i="38"/>
  <c r="U26" i="64"/>
  <c r="AD26" i="64" s="1"/>
  <c r="X24" i="64"/>
  <c r="AN24" i="64" s="1"/>
  <c r="AN24" i="38" s="1"/>
  <c r="V24" i="38"/>
  <c r="U15" i="64"/>
  <c r="AD15" i="64" s="1"/>
  <c r="X6" i="64"/>
  <c r="AN6" i="64" s="1"/>
  <c r="AN6" i="38" s="1"/>
  <c r="S13" i="38"/>
  <c r="S21" i="38"/>
  <c r="S29" i="38"/>
  <c r="S53" i="38"/>
  <c r="S61" i="38"/>
  <c r="S69" i="38"/>
  <c r="S85" i="38"/>
  <c r="S101" i="38"/>
  <c r="T72" i="38"/>
  <c r="V35" i="38"/>
  <c r="V51" i="38"/>
  <c r="V68" i="38"/>
  <c r="Y73" i="38"/>
  <c r="AA6" i="64"/>
  <c r="Y6" i="38"/>
  <c r="AT103" i="64"/>
  <c r="X100" i="64"/>
  <c r="AN100" i="64" s="1"/>
  <c r="AN100" i="38" s="1"/>
  <c r="W100" i="38"/>
  <c r="AA86" i="64"/>
  <c r="Y86" i="38"/>
  <c r="X82" i="64"/>
  <c r="AN82" i="64" s="1"/>
  <c r="AN82" i="38" s="1"/>
  <c r="V82" i="38"/>
  <c r="U81" i="64"/>
  <c r="AD81" i="64" s="1"/>
  <c r="X80" i="64"/>
  <c r="AN80" i="64" s="1"/>
  <c r="AN80" i="38" s="1"/>
  <c r="V80" i="38"/>
  <c r="X79" i="64"/>
  <c r="AN79" i="64" s="1"/>
  <c r="AN79" i="38" s="1"/>
  <c r="V79" i="38"/>
  <c r="U78" i="64"/>
  <c r="AD78" i="64" s="1"/>
  <c r="T78" i="38"/>
  <c r="U75" i="64"/>
  <c r="AD75" i="64" s="1"/>
  <c r="AA69" i="64"/>
  <c r="Y69" i="38"/>
  <c r="X66" i="64"/>
  <c r="AN66" i="64" s="1"/>
  <c r="AN66" i="38" s="1"/>
  <c r="V66" i="38"/>
  <c r="U65" i="64"/>
  <c r="AD65" i="64" s="1"/>
  <c r="X64" i="64"/>
  <c r="AN64" i="64" s="1"/>
  <c r="AN64" i="38" s="1"/>
  <c r="V64" i="38"/>
  <c r="U60" i="64"/>
  <c r="AD60" i="64" s="1"/>
  <c r="AA55" i="64"/>
  <c r="U52" i="64"/>
  <c r="AD52" i="64" s="1"/>
  <c r="U43" i="64"/>
  <c r="AD43" i="64" s="1"/>
  <c r="U39" i="64"/>
  <c r="AD39" i="64" s="1"/>
  <c r="AA32" i="64"/>
  <c r="AF32" i="64" s="1"/>
  <c r="X30" i="64"/>
  <c r="AN30" i="64" s="1"/>
  <c r="AN30" i="38" s="1"/>
  <c r="U25" i="64"/>
  <c r="AD25" i="64" s="1"/>
  <c r="AA18" i="64"/>
  <c r="AF18" i="64" s="1"/>
  <c r="AA17" i="64"/>
  <c r="AF17" i="64" s="1"/>
  <c r="AA16" i="64"/>
  <c r="AF16" i="64" s="1"/>
  <c r="AA15" i="64"/>
  <c r="Z106" i="64"/>
  <c r="Z14" i="38"/>
  <c r="AA13" i="64"/>
  <c r="Y13" i="38"/>
  <c r="S14" i="38"/>
  <c r="S22" i="38"/>
  <c r="S38" i="38"/>
  <c r="S94" i="38"/>
  <c r="S102" i="38"/>
  <c r="V4" i="38"/>
  <c r="V20" i="38"/>
  <c r="V36" i="38"/>
  <c r="V69" i="38"/>
  <c r="Y10" i="38"/>
  <c r="Z4" i="38"/>
  <c r="Z68" i="38"/>
  <c r="Y65" i="38"/>
  <c r="AT13" i="64"/>
  <c r="X101" i="64"/>
  <c r="AN101" i="64" s="1"/>
  <c r="AN101" i="38" s="1"/>
  <c r="U93" i="64"/>
  <c r="AD93" i="64" s="1"/>
  <c r="AA89" i="64"/>
  <c r="AF89" i="64" s="1"/>
  <c r="AA88" i="64"/>
  <c r="Y88" i="38"/>
  <c r="U76" i="64"/>
  <c r="AD76" i="64" s="1"/>
  <c r="AA72" i="64"/>
  <c r="AF72" i="64" s="1"/>
  <c r="AA71" i="64"/>
  <c r="AA70" i="64"/>
  <c r="AF70" i="64" s="1"/>
  <c r="Z70" i="38"/>
  <c r="U66" i="64"/>
  <c r="AD66" i="64" s="1"/>
  <c r="U63" i="64"/>
  <c r="AD63" i="64" s="1"/>
  <c r="AA61" i="64"/>
  <c r="AA57" i="64"/>
  <c r="AA56" i="64"/>
  <c r="AF56" i="64" s="1"/>
  <c r="AA54" i="64"/>
  <c r="Y54" i="38"/>
  <c r="U44" i="64"/>
  <c r="AD44" i="64" s="1"/>
  <c r="AA37" i="64"/>
  <c r="Y37" i="38"/>
  <c r="AA35" i="64"/>
  <c r="AF35" i="64" s="1"/>
  <c r="AA34" i="64"/>
  <c r="Z34" i="38"/>
  <c r="U24" i="64"/>
  <c r="AD24" i="64" s="1"/>
  <c r="AA21" i="64"/>
  <c r="AF21" i="64" s="1"/>
  <c r="Y21" i="38"/>
  <c r="AA20" i="64"/>
  <c r="Y20" i="38"/>
  <c r="AA19" i="64"/>
  <c r="Y19" i="38"/>
  <c r="AA11" i="64"/>
  <c r="Y11" i="38"/>
  <c r="X9" i="64"/>
  <c r="AN9" i="64" s="1"/>
  <c r="AN9" i="38" s="1"/>
  <c r="W9" i="38"/>
  <c r="X7" i="64"/>
  <c r="AN7" i="64" s="1"/>
  <c r="AN7" i="38" s="1"/>
  <c r="V7" i="38"/>
  <c r="U6" i="64"/>
  <c r="AD6" i="64" s="1"/>
  <c r="U5" i="64"/>
  <c r="AD5" i="64" s="1"/>
  <c r="S7" i="38"/>
  <c r="S15" i="38"/>
  <c r="S23" i="38"/>
  <c r="S31" i="38"/>
  <c r="S39" i="38"/>
  <c r="S47" i="38"/>
  <c r="S63" i="38"/>
  <c r="S87" i="38"/>
  <c r="S103" i="38"/>
  <c r="T36" i="38"/>
  <c r="V21" i="38"/>
  <c r="V37" i="38"/>
  <c r="V53" i="38"/>
  <c r="W22" i="38"/>
  <c r="Y81" i="38"/>
  <c r="X71" i="64"/>
  <c r="AN71" i="64" s="1"/>
  <c r="AN71" i="38" s="1"/>
  <c r="V71" i="38"/>
  <c r="AU19" i="64"/>
  <c r="X103" i="64"/>
  <c r="AN103" i="64" s="1"/>
  <c r="AN103" i="38" s="1"/>
  <c r="V103" i="38"/>
  <c r="X102" i="64"/>
  <c r="AN102" i="64" s="1"/>
  <c r="AN102" i="38" s="1"/>
  <c r="V102" i="38"/>
  <c r="AA91" i="64"/>
  <c r="Y91" i="38"/>
  <c r="X89" i="64"/>
  <c r="AN89" i="64" s="1"/>
  <c r="AN89" i="38" s="1"/>
  <c r="W89" i="38"/>
  <c r="U82" i="64"/>
  <c r="AD82" i="64" s="1"/>
  <c r="U80" i="64"/>
  <c r="AD80" i="64" s="1"/>
  <c r="AA77" i="64"/>
  <c r="AF77" i="64" s="1"/>
  <c r="X73" i="64"/>
  <c r="AN73" i="64" s="1"/>
  <c r="AN73" i="38" s="1"/>
  <c r="W73" i="38"/>
  <c r="AA60" i="64"/>
  <c r="AF60" i="64" s="1"/>
  <c r="AA59" i="64"/>
  <c r="Y59" i="38"/>
  <c r="X58" i="64"/>
  <c r="AN58" i="64" s="1"/>
  <c r="AN58" i="38" s="1"/>
  <c r="X57" i="64"/>
  <c r="AN57" i="64" s="1"/>
  <c r="AN57" i="38" s="1"/>
  <c r="W57" i="38"/>
  <c r="AU54" i="64"/>
  <c r="AA50" i="64"/>
  <c r="AA49" i="64"/>
  <c r="AA43" i="64"/>
  <c r="AA42" i="64"/>
  <c r="Z42" i="38"/>
  <c r="AA41" i="64"/>
  <c r="AA40" i="64"/>
  <c r="AF40" i="64" s="1"/>
  <c r="AA39" i="64"/>
  <c r="AA38" i="64"/>
  <c r="Y38" i="38"/>
  <c r="AA36" i="64"/>
  <c r="Y36" i="38"/>
  <c r="U30" i="64"/>
  <c r="AD30" i="64" s="1"/>
  <c r="AA23" i="64"/>
  <c r="AA22" i="64"/>
  <c r="Y22" i="38"/>
  <c r="X12" i="64"/>
  <c r="AN12" i="64" s="1"/>
  <c r="AN12" i="38" s="1"/>
  <c r="X10" i="64"/>
  <c r="AN10" i="64" s="1"/>
  <c r="AN10" i="38" s="1"/>
  <c r="V10" i="38"/>
  <c r="X8" i="64"/>
  <c r="AN8" i="64" s="1"/>
  <c r="AN8" i="38" s="1"/>
  <c r="V8" i="38"/>
  <c r="S24" i="38"/>
  <c r="S56" i="38"/>
  <c r="S80" i="38"/>
  <c r="S88" i="38"/>
  <c r="V6" i="38"/>
  <c r="V38" i="38"/>
  <c r="V54" i="38"/>
  <c r="W23" i="38"/>
  <c r="Y50" i="38"/>
  <c r="Y82" i="38"/>
  <c r="Z12" i="38"/>
  <c r="AA27" i="64"/>
  <c r="Y27" i="38"/>
  <c r="S11" i="38"/>
  <c r="Y97" i="38"/>
  <c r="AT9" i="64"/>
  <c r="U100" i="64"/>
  <c r="AD100" i="64" s="1"/>
  <c r="AA96" i="64"/>
  <c r="AF96" i="64" s="1"/>
  <c r="AA95" i="64"/>
  <c r="Z95" i="38"/>
  <c r="AA92" i="64"/>
  <c r="Y92" i="38"/>
  <c r="X91" i="64"/>
  <c r="AN91" i="64" s="1"/>
  <c r="AN91" i="38" s="1"/>
  <c r="W91" i="38"/>
  <c r="X88" i="64"/>
  <c r="AN88" i="64" s="1"/>
  <c r="AN88" i="38" s="1"/>
  <c r="V88" i="38"/>
  <c r="U86" i="64"/>
  <c r="AD86" i="64" s="1"/>
  <c r="T86" i="38"/>
  <c r="U84" i="64"/>
  <c r="AD84" i="64" s="1"/>
  <c r="AA76" i="64"/>
  <c r="AA63" i="64"/>
  <c r="AA62" i="64"/>
  <c r="AF62" i="64" s="1"/>
  <c r="Y62" i="38"/>
  <c r="X49" i="64"/>
  <c r="AN49" i="64" s="1"/>
  <c r="AN49" i="38" s="1"/>
  <c r="AA48" i="64"/>
  <c r="AF48" i="64" s="1"/>
  <c r="AA47" i="64"/>
  <c r="AA44" i="64"/>
  <c r="AF44" i="64" s="1"/>
  <c r="X41" i="64"/>
  <c r="AN41" i="64" s="1"/>
  <c r="AN41" i="38" s="1"/>
  <c r="W41" i="38"/>
  <c r="AA25" i="64"/>
  <c r="AF25" i="64" s="1"/>
  <c r="AA24" i="64"/>
  <c r="AF24" i="64" s="1"/>
  <c r="X15" i="64"/>
  <c r="AN15" i="64" s="1"/>
  <c r="AN15" i="38" s="1"/>
  <c r="X11" i="64"/>
  <c r="AN11" i="64" s="1"/>
  <c r="AN11" i="38" s="1"/>
  <c r="U10" i="64"/>
  <c r="AD10" i="64" s="1"/>
  <c r="U9" i="64"/>
  <c r="AD9" i="64" s="1"/>
  <c r="S57" i="38"/>
  <c r="S73" i="38"/>
  <c r="S89" i="38"/>
  <c r="V11" i="38"/>
  <c r="V77" i="38"/>
  <c r="W30" i="38"/>
  <c r="Y57" i="38"/>
  <c r="Y89" i="38"/>
  <c r="U70" i="64"/>
  <c r="AD70" i="64" s="1"/>
  <c r="T70" i="38"/>
  <c r="X42" i="64"/>
  <c r="AN42" i="64" s="1"/>
  <c r="AN42" i="38" s="1"/>
  <c r="V42" i="38"/>
  <c r="X104" i="64"/>
  <c r="AN104" i="64" s="1"/>
  <c r="AN104" i="38" s="1"/>
  <c r="X92" i="64"/>
  <c r="AN92" i="64" s="1"/>
  <c r="AN92" i="38" s="1"/>
  <c r="W92" i="38"/>
  <c r="U88" i="64"/>
  <c r="AD88" i="64" s="1"/>
  <c r="AA83" i="64"/>
  <c r="AF81" i="64"/>
  <c r="AA79" i="64"/>
  <c r="AF79" i="64" s="1"/>
  <c r="X72" i="64"/>
  <c r="AN72" i="64" s="1"/>
  <c r="AN72" i="38" s="1"/>
  <c r="X70" i="64"/>
  <c r="AN70" i="64" s="1"/>
  <c r="AN70" i="38" s="1"/>
  <c r="V70" i="38"/>
  <c r="U68" i="64"/>
  <c r="AD68" i="64" s="1"/>
  <c r="AA64" i="64"/>
  <c r="AF64" i="64" s="1"/>
  <c r="X60" i="64"/>
  <c r="AN60" i="64" s="1"/>
  <c r="AN60" i="38" s="1"/>
  <c r="X55" i="64"/>
  <c r="AN55" i="64" s="1"/>
  <c r="AN55" i="38" s="1"/>
  <c r="V55" i="38"/>
  <c r="U54" i="64"/>
  <c r="AD54" i="64" s="1"/>
  <c r="T54" i="38"/>
  <c r="X52" i="64"/>
  <c r="AN52" i="64" s="1"/>
  <c r="AN52" i="38" s="1"/>
  <c r="X50" i="64"/>
  <c r="AN50" i="64" s="1"/>
  <c r="AN50" i="38" s="1"/>
  <c r="V50" i="38"/>
  <c r="AA45" i="64"/>
  <c r="Y45" i="38"/>
  <c r="X34" i="64"/>
  <c r="AN34" i="64" s="1"/>
  <c r="AN34" i="38" s="1"/>
  <c r="V34" i="38"/>
  <c r="X33" i="64"/>
  <c r="AN33" i="64" s="1"/>
  <c r="AN33" i="38" s="1"/>
  <c r="V33" i="38"/>
  <c r="X32" i="64"/>
  <c r="AN32" i="64" s="1"/>
  <c r="AN32" i="38" s="1"/>
  <c r="V32" i="38"/>
  <c r="AA28" i="64"/>
  <c r="U19" i="64"/>
  <c r="AD19" i="64" s="1"/>
  <c r="X18" i="64"/>
  <c r="AN18" i="64" s="1"/>
  <c r="AN18" i="38" s="1"/>
  <c r="V18" i="38"/>
  <c r="X17" i="64"/>
  <c r="AN17" i="64" s="1"/>
  <c r="AN17" i="38" s="1"/>
  <c r="V17" i="38"/>
  <c r="X16" i="64"/>
  <c r="AN16" i="64" s="1"/>
  <c r="AN16" i="38" s="1"/>
  <c r="V16" i="38"/>
  <c r="V106" i="38" s="1"/>
  <c r="U14" i="64"/>
  <c r="AD14" i="64" s="1"/>
  <c r="AF9" i="64"/>
  <c r="AE9" i="38"/>
  <c r="AE106" i="38" s="1"/>
  <c r="AA5" i="64"/>
  <c r="Y5" i="38"/>
  <c r="S74" i="38"/>
  <c r="S82" i="38"/>
  <c r="S90" i="38"/>
  <c r="T30" i="38"/>
  <c r="T97" i="38"/>
  <c r="W31" i="38"/>
  <c r="Y26" i="38"/>
  <c r="Y58" i="38"/>
  <c r="Z84" i="38"/>
  <c r="AM106" i="38"/>
  <c r="AM106" i="64"/>
  <c r="T106" i="64"/>
  <c r="U3" i="64"/>
  <c r="AS3" i="64" s="1"/>
  <c r="AU92" i="64"/>
  <c r="AU3" i="64"/>
  <c r="AU21" i="64"/>
  <c r="AU90" i="64"/>
  <c r="AU60" i="64"/>
  <c r="AJ54" i="38"/>
  <c r="AU76" i="64"/>
  <c r="AJ106" i="64"/>
  <c r="AJ127" i="64" s="1"/>
  <c r="AJ8" i="38"/>
  <c r="AJ106" i="38" s="1"/>
  <c r="AI3" i="38"/>
  <c r="AI106" i="64"/>
  <c r="AI127" i="64" s="1"/>
  <c r="AH106" i="64"/>
  <c r="AH106" i="38"/>
  <c r="AE106" i="64"/>
  <c r="AF92" i="64"/>
  <c r="AF103" i="64"/>
  <c r="AF84" i="64"/>
  <c r="AF99" i="64"/>
  <c r="AF91" i="64"/>
  <c r="AF100" i="64"/>
  <c r="AF98" i="64"/>
  <c r="AF69" i="64"/>
  <c r="AF97" i="64"/>
  <c r="AF95" i="64"/>
  <c r="AF76" i="64"/>
  <c r="AF54" i="64"/>
  <c r="AF37" i="64"/>
  <c r="U91" i="64"/>
  <c r="AD91" i="64" s="1"/>
  <c r="X59" i="64"/>
  <c r="AN59" i="64" s="1"/>
  <c r="AN59" i="38" s="1"/>
  <c r="AF42" i="64"/>
  <c r="AF13" i="64"/>
  <c r="AF29" i="64"/>
  <c r="AF83" i="64"/>
  <c r="AF75" i="64"/>
  <c r="AA14" i="64"/>
  <c r="AQ14" i="64" s="1"/>
  <c r="AT47" i="64"/>
  <c r="AT101" i="64"/>
  <c r="AF101" i="64"/>
  <c r="AF93" i="64"/>
  <c r="AF86" i="64"/>
  <c r="AF78" i="64"/>
  <c r="AF71" i="64"/>
  <c r="AF67" i="64"/>
  <c r="AF61" i="64"/>
  <c r="AF47" i="64"/>
  <c r="AF27" i="64"/>
  <c r="AF26" i="64"/>
  <c r="AF19" i="64"/>
  <c r="AF53" i="64"/>
  <c r="AF49" i="64"/>
  <c r="AF63" i="64"/>
  <c r="AF102" i="64"/>
  <c r="AF94" i="64"/>
  <c r="AF57" i="64"/>
  <c r="AF41" i="64"/>
  <c r="U40" i="64"/>
  <c r="AD40" i="64" s="1"/>
  <c r="AF34" i="64"/>
  <c r="U32" i="64"/>
  <c r="AD32" i="64" s="1"/>
  <c r="U16" i="64"/>
  <c r="U8" i="64"/>
  <c r="AD8" i="64" s="1"/>
  <c r="U48" i="64"/>
  <c r="AD48" i="64" s="1"/>
  <c r="AU93" i="64"/>
  <c r="S106" i="64"/>
  <c r="X86" i="64"/>
  <c r="AN86" i="64" s="1"/>
  <c r="AN86" i="38" s="1"/>
  <c r="X83" i="64"/>
  <c r="AN83" i="64" s="1"/>
  <c r="AN83" i="38" s="1"/>
  <c r="AA74" i="64"/>
  <c r="AF58" i="64"/>
  <c r="AA46" i="64"/>
  <c r="X43" i="64"/>
  <c r="AN43" i="64" s="1"/>
  <c r="AN43" i="38" s="1"/>
  <c r="X27" i="64"/>
  <c r="AN27" i="64" s="1"/>
  <c r="AN27" i="38" s="1"/>
  <c r="AF23" i="64"/>
  <c r="AF20" i="64"/>
  <c r="X19" i="64"/>
  <c r="AN19" i="64" s="1"/>
  <c r="AN19" i="38" s="1"/>
  <c r="AF11" i="64"/>
  <c r="AF10" i="64"/>
  <c r="AF59" i="64"/>
  <c r="Y106" i="64"/>
  <c r="Y127" i="64" s="1"/>
  <c r="AF88" i="64"/>
  <c r="U64" i="64"/>
  <c r="AD64" i="64" s="1"/>
  <c r="AF55" i="64"/>
  <c r="AF50" i="64"/>
  <c r="AF39" i="64"/>
  <c r="AF31" i="64"/>
  <c r="AF28" i="64"/>
  <c r="AF22" i="64"/>
  <c r="AF7" i="64"/>
  <c r="AF4" i="64"/>
  <c r="AF5" i="64"/>
  <c r="AU94" i="64"/>
  <c r="V106" i="64"/>
  <c r="AF73" i="64"/>
  <c r="AF65" i="64"/>
  <c r="AF45" i="64"/>
  <c r="AF38" i="64"/>
  <c r="AF36" i="64"/>
  <c r="AF30" i="64"/>
  <c r="AF15" i="64"/>
  <c r="AF6" i="64"/>
  <c r="AF51" i="64"/>
  <c r="AF43" i="64"/>
  <c r="Q100" i="64"/>
  <c r="N106" i="64"/>
  <c r="N127" i="64" s="1"/>
  <c r="G126" i="62"/>
  <c r="H106" i="62"/>
  <c r="H127" i="62" s="1"/>
  <c r="G106" i="62"/>
  <c r="G127" i="62" s="1"/>
  <c r="F126" i="62"/>
  <c r="F106" i="62"/>
  <c r="F127" i="62" s="1"/>
  <c r="G45" i="64"/>
  <c r="G106" i="64" s="1"/>
  <c r="G127" i="64" s="1"/>
  <c r="H34" i="64"/>
  <c r="G29" i="64"/>
  <c r="E5" i="64"/>
  <c r="L5" i="64" s="1"/>
  <c r="I71" i="64"/>
  <c r="I106" i="64" s="1"/>
  <c r="I127" i="64" s="1"/>
  <c r="E13" i="64"/>
  <c r="L13" i="64" s="1"/>
  <c r="E30" i="64"/>
  <c r="L30" i="64" s="1"/>
  <c r="E15" i="64"/>
  <c r="L15" i="64" s="1"/>
  <c r="E21" i="64"/>
  <c r="L21" i="64" s="1"/>
  <c r="E39" i="64"/>
  <c r="L39" i="64" s="1"/>
  <c r="E103" i="64"/>
  <c r="L103" i="64" s="1"/>
  <c r="E66" i="64"/>
  <c r="L66" i="64" s="1"/>
  <c r="E63" i="64"/>
  <c r="L63" i="64" s="1"/>
  <c r="E55" i="64"/>
  <c r="L55" i="64" s="1"/>
  <c r="E87" i="64"/>
  <c r="L87" i="64" s="1"/>
  <c r="J106" i="64"/>
  <c r="E33" i="64"/>
  <c r="L33" i="64" s="1"/>
  <c r="E35" i="64"/>
  <c r="L35" i="64" s="1"/>
  <c r="E104" i="64"/>
  <c r="L104" i="64" s="1"/>
  <c r="E6" i="64"/>
  <c r="L6" i="64" s="1"/>
  <c r="E9" i="64"/>
  <c r="L9" i="64" s="1"/>
  <c r="E11" i="64"/>
  <c r="L11" i="64" s="1"/>
  <c r="E14" i="64"/>
  <c r="L14" i="64" s="1"/>
  <c r="E22" i="64"/>
  <c r="L22" i="64" s="1"/>
  <c r="E47" i="64"/>
  <c r="L47" i="64" s="1"/>
  <c r="F106" i="64"/>
  <c r="E25" i="64"/>
  <c r="L25" i="64" s="1"/>
  <c r="E27" i="64"/>
  <c r="L27" i="64" s="1"/>
  <c r="E41" i="64"/>
  <c r="L41" i="64" s="1"/>
  <c r="E43" i="64"/>
  <c r="L43" i="64" s="1"/>
  <c r="E49" i="64"/>
  <c r="L49" i="64" s="1"/>
  <c r="E51" i="64"/>
  <c r="L51" i="64" s="1"/>
  <c r="E54" i="64"/>
  <c r="L54" i="64" s="1"/>
  <c r="E57" i="64"/>
  <c r="L57" i="64" s="1"/>
  <c r="E59" i="64"/>
  <c r="L59" i="64" s="1"/>
  <c r="H106" i="64"/>
  <c r="E7" i="64"/>
  <c r="L7" i="64" s="1"/>
  <c r="E10" i="64"/>
  <c r="L10" i="64" s="1"/>
  <c r="E18" i="64"/>
  <c r="L18" i="64" s="1"/>
  <c r="E23" i="64"/>
  <c r="L23" i="64" s="1"/>
  <c r="E26" i="64"/>
  <c r="L26" i="64" s="1"/>
  <c r="E29" i="64"/>
  <c r="L29" i="64" s="1"/>
  <c r="E31" i="64"/>
  <c r="L31" i="64" s="1"/>
  <c r="E34" i="64"/>
  <c r="L34" i="64" s="1"/>
  <c r="E37" i="64"/>
  <c r="L37" i="64" s="1"/>
  <c r="E48" i="64"/>
  <c r="L48" i="64" s="1"/>
  <c r="E50" i="64"/>
  <c r="L50" i="64" s="1"/>
  <c r="E53" i="64"/>
  <c r="L53" i="64" s="1"/>
  <c r="E58" i="64"/>
  <c r="L58" i="64" s="1"/>
  <c r="E69" i="64"/>
  <c r="L69" i="64" s="1"/>
  <c r="E74" i="64"/>
  <c r="L74" i="64" s="1"/>
  <c r="E82" i="64"/>
  <c r="L82" i="64" s="1"/>
  <c r="E85" i="64"/>
  <c r="L85" i="64" s="1"/>
  <c r="E93" i="64"/>
  <c r="L93" i="64" s="1"/>
  <c r="E98" i="64"/>
  <c r="L98" i="64" s="1"/>
  <c r="R104" i="64"/>
  <c r="AQ104" i="64"/>
  <c r="AS104" i="64"/>
  <c r="AT104" i="64"/>
  <c r="R24" i="64"/>
  <c r="Q24" i="64"/>
  <c r="AQ24" i="64"/>
  <c r="Q102" i="64"/>
  <c r="R102" i="64"/>
  <c r="AU10" i="64"/>
  <c r="AT19" i="64"/>
  <c r="AU50" i="64"/>
  <c r="AU57" i="64"/>
  <c r="AT65" i="64"/>
  <c r="R80" i="64"/>
  <c r="R90" i="64"/>
  <c r="AT90" i="64"/>
  <c r="AT94" i="64"/>
  <c r="AS99" i="64"/>
  <c r="AT99" i="64"/>
  <c r="AU101" i="64"/>
  <c r="AU4" i="64"/>
  <c r="R11" i="64"/>
  <c r="AT12" i="64"/>
  <c r="AU13" i="64"/>
  <c r="AU18" i="64"/>
  <c r="AT24" i="64"/>
  <c r="Q37" i="64"/>
  <c r="AT37" i="64"/>
  <c r="AU41" i="64"/>
  <c r="AU52" i="64"/>
  <c r="AT69" i="64"/>
  <c r="AU73" i="64"/>
  <c r="AT74" i="64"/>
  <c r="AU77" i="64"/>
  <c r="AQ100" i="64"/>
  <c r="AU6" i="64"/>
  <c r="AT34" i="64"/>
  <c r="AU37" i="64"/>
  <c r="AT53" i="64"/>
  <c r="AQ58" i="64"/>
  <c r="AU69" i="64"/>
  <c r="R92" i="64"/>
  <c r="AT92" i="64"/>
  <c r="AU47" i="64"/>
  <c r="AU5" i="64"/>
  <c r="AR105" i="64"/>
  <c r="AU26" i="64"/>
  <c r="AT35" i="64"/>
  <c r="AU39" i="64"/>
  <c r="AT43" i="64"/>
  <c r="AT60" i="64"/>
  <c r="AU72" i="64"/>
  <c r="AU75" i="64"/>
  <c r="AU81" i="64"/>
  <c r="AT100" i="64"/>
  <c r="AT102" i="64"/>
  <c r="AU8" i="64"/>
  <c r="AU28" i="64"/>
  <c r="AT39" i="64"/>
  <c r="AU49" i="64"/>
  <c r="AU58" i="64"/>
  <c r="AU61" i="64"/>
  <c r="AT71" i="64"/>
  <c r="AT76" i="64"/>
  <c r="AT98" i="64"/>
  <c r="AU103" i="64"/>
  <c r="AK127" i="64"/>
  <c r="AU7" i="64"/>
  <c r="Q13" i="64"/>
  <c r="AT21" i="64"/>
  <c r="AS39" i="64"/>
  <c r="AU45" i="64"/>
  <c r="AU55" i="64"/>
  <c r="AS72" i="64"/>
  <c r="J127" i="64"/>
  <c r="E8" i="64"/>
  <c r="L8" i="64" s="1"/>
  <c r="E12" i="64"/>
  <c r="L12" i="64" s="1"/>
  <c r="E16" i="64"/>
  <c r="L16" i="64" s="1"/>
  <c r="E20" i="64"/>
  <c r="L20" i="64" s="1"/>
  <c r="E28" i="64"/>
  <c r="L28" i="64" s="1"/>
  <c r="E32" i="64"/>
  <c r="L32" i="64" s="1"/>
  <c r="E36" i="64"/>
  <c r="L36" i="64" s="1"/>
  <c r="E44" i="64"/>
  <c r="L44" i="64" s="1"/>
  <c r="E52" i="64"/>
  <c r="L52" i="64" s="1"/>
  <c r="E56" i="64"/>
  <c r="L56" i="64" s="1"/>
  <c r="E60" i="64"/>
  <c r="L60" i="64" s="1"/>
  <c r="E62" i="64"/>
  <c r="L62" i="64" s="1"/>
  <c r="E64" i="64"/>
  <c r="L64" i="64" s="1"/>
  <c r="E65" i="64"/>
  <c r="L65" i="64" s="1"/>
  <c r="E67" i="64"/>
  <c r="L67" i="64" s="1"/>
  <c r="E70" i="64"/>
  <c r="L70" i="64" s="1"/>
  <c r="E72" i="64"/>
  <c r="L72" i="64" s="1"/>
  <c r="E73" i="64"/>
  <c r="L73" i="64" s="1"/>
  <c r="E76" i="64"/>
  <c r="L76" i="64" s="1"/>
  <c r="E78" i="64"/>
  <c r="L78" i="64" s="1"/>
  <c r="E80" i="64"/>
  <c r="L80" i="64" s="1"/>
  <c r="E81" i="64"/>
  <c r="L81" i="64" s="1"/>
  <c r="E83" i="64"/>
  <c r="L83" i="64" s="1"/>
  <c r="E89" i="64"/>
  <c r="L89" i="64" s="1"/>
  <c r="E91" i="64"/>
  <c r="L91" i="64" s="1"/>
  <c r="E96" i="64"/>
  <c r="L96" i="64" s="1"/>
  <c r="E100" i="64"/>
  <c r="L100" i="64" s="1"/>
  <c r="AU9" i="64"/>
  <c r="AU30" i="64"/>
  <c r="AT32" i="64"/>
  <c r="AU51" i="64"/>
  <c r="AS63" i="64"/>
  <c r="AT63" i="64"/>
  <c r="R65" i="64"/>
  <c r="AT78" i="64"/>
  <c r="AU79" i="64"/>
  <c r="AU83" i="64"/>
  <c r="AT96" i="64"/>
  <c r="E4" i="64"/>
  <c r="L4" i="64" s="1"/>
  <c r="F127" i="64"/>
  <c r="R3" i="65"/>
  <c r="U131" i="65"/>
  <c r="AN3" i="65"/>
  <c r="AN110" i="65" s="1"/>
  <c r="AC26" i="3" s="1"/>
  <c r="AQ15" i="65"/>
  <c r="AQ17" i="65"/>
  <c r="AQ19" i="65"/>
  <c r="AW19" i="65" s="1"/>
  <c r="L28" i="65"/>
  <c r="AB131" i="65"/>
  <c r="AQ14" i="65"/>
  <c r="AQ16" i="65"/>
  <c r="AQ18" i="65"/>
  <c r="AQ20" i="65"/>
  <c r="U130" i="65"/>
  <c r="R28" i="65"/>
  <c r="AQ28" i="65"/>
  <c r="AS20" i="65"/>
  <c r="R27" i="65"/>
  <c r="AQ27" i="65"/>
  <c r="AW27" i="65" s="1"/>
  <c r="AS28" i="65"/>
  <c r="AS14" i="65"/>
  <c r="AS16" i="65"/>
  <c r="AS18" i="65"/>
  <c r="AQ21" i="65"/>
  <c r="R22" i="65"/>
  <c r="AQ22" i="65"/>
  <c r="R23" i="65"/>
  <c r="AQ23" i="65"/>
  <c r="AW23" i="65" s="1"/>
  <c r="R24" i="65"/>
  <c r="AQ24" i="65"/>
  <c r="R25" i="65"/>
  <c r="AQ25" i="65"/>
  <c r="AW25" i="65" s="1"/>
  <c r="R26" i="65"/>
  <c r="AQ26" i="65"/>
  <c r="AS27" i="65"/>
  <c r="AA130" i="65"/>
  <c r="AF130" i="65" s="1"/>
  <c r="X130" i="65"/>
  <c r="AQ32" i="65"/>
  <c r="AW32" i="65" s="1"/>
  <c r="AQ33" i="65"/>
  <c r="AS37" i="65"/>
  <c r="AQ49" i="65"/>
  <c r="AQ53" i="65"/>
  <c r="AQ67" i="65"/>
  <c r="AW67" i="65" s="1"/>
  <c r="AS68" i="65"/>
  <c r="R68" i="65"/>
  <c r="AS34" i="65"/>
  <c r="R36" i="65"/>
  <c r="R38" i="65"/>
  <c r="R40" i="65"/>
  <c r="R42" i="65"/>
  <c r="R44" i="65"/>
  <c r="AS49" i="65"/>
  <c r="AS53" i="65"/>
  <c r="AS73" i="65"/>
  <c r="AB130" i="65"/>
  <c r="AQ36" i="65"/>
  <c r="AW36" i="65" s="1"/>
  <c r="AQ38" i="65"/>
  <c r="AW38" i="65" s="1"/>
  <c r="AQ40" i="65"/>
  <c r="AQ42" i="65"/>
  <c r="AW42" i="65" s="1"/>
  <c r="AQ44" i="65"/>
  <c r="AQ46" i="65"/>
  <c r="AW46" i="65" s="1"/>
  <c r="AQ50" i="65"/>
  <c r="AQ54" i="65"/>
  <c r="AS54" i="65"/>
  <c r="AQ55" i="65"/>
  <c r="AW55" i="65" s="1"/>
  <c r="AS55" i="65"/>
  <c r="AQ56" i="65"/>
  <c r="AW56" i="65" s="1"/>
  <c r="AS56" i="65"/>
  <c r="AQ57" i="65"/>
  <c r="AW57" i="65" s="1"/>
  <c r="AS57" i="65"/>
  <c r="AQ58" i="65"/>
  <c r="AW58" i="65" s="1"/>
  <c r="AS58" i="65"/>
  <c r="AQ59" i="65"/>
  <c r="AW59" i="65" s="1"/>
  <c r="AS59" i="65"/>
  <c r="AQ60" i="65"/>
  <c r="AW60" i="65" s="1"/>
  <c r="AS60" i="65"/>
  <c r="AQ61" i="65"/>
  <c r="AW61" i="65" s="1"/>
  <c r="AS61" i="65"/>
  <c r="AQ62" i="65"/>
  <c r="AW62" i="65" s="1"/>
  <c r="AS62" i="65"/>
  <c r="AQ63" i="65"/>
  <c r="AW63" i="65" s="1"/>
  <c r="AS63" i="65"/>
  <c r="AO64" i="65"/>
  <c r="AQ64" i="65"/>
  <c r="AW64" i="65" s="1"/>
  <c r="AS64" i="65"/>
  <c r="AQ65" i="65"/>
  <c r="AS65" i="65"/>
  <c r="AQ66" i="65"/>
  <c r="AW66" i="65" s="1"/>
  <c r="AS66" i="65"/>
  <c r="AS67" i="65"/>
  <c r="AS72" i="65"/>
  <c r="R72" i="65"/>
  <c r="AS36" i="65"/>
  <c r="AS38" i="65"/>
  <c r="AS40" i="65"/>
  <c r="AS42" i="65"/>
  <c r="AS44" i="65"/>
  <c r="AQ47" i="65"/>
  <c r="AQ51" i="65"/>
  <c r="AW51" i="65" s="1"/>
  <c r="AS71" i="65"/>
  <c r="AS76" i="65"/>
  <c r="R76" i="65"/>
  <c r="Q130" i="65"/>
  <c r="R29" i="65"/>
  <c r="R30" i="65"/>
  <c r="R31" i="65"/>
  <c r="R32" i="65"/>
  <c r="R33" i="65"/>
  <c r="AV35" i="65" a="1"/>
  <c r="AV35" i="65" s="1"/>
  <c r="R37" i="65"/>
  <c r="R39" i="65"/>
  <c r="R41" i="65"/>
  <c r="R43" i="65"/>
  <c r="AQ69" i="65"/>
  <c r="AW69" i="65" s="1"/>
  <c r="AS70" i="65"/>
  <c r="R70" i="65"/>
  <c r="AQ37" i="65"/>
  <c r="AW37" i="65" s="1"/>
  <c r="AQ39" i="65"/>
  <c r="AQ41" i="65"/>
  <c r="AW41" i="65" s="1"/>
  <c r="AQ43" i="65"/>
  <c r="AQ45" i="65"/>
  <c r="AQ48" i="65"/>
  <c r="AQ52" i="65"/>
  <c r="AS75" i="65"/>
  <c r="AN130" i="65"/>
  <c r="AQ68" i="65"/>
  <c r="AW68" i="65" s="1"/>
  <c r="AS69" i="65"/>
  <c r="AS74" i="65"/>
  <c r="R74" i="65"/>
  <c r="AO104" i="65"/>
  <c r="AO80" i="65"/>
  <c r="AO96" i="65"/>
  <c r="AU131" i="65"/>
  <c r="AJ131" i="65"/>
  <c r="AE131" i="65"/>
  <c r="AF129" i="65"/>
  <c r="AO69" i="65"/>
  <c r="C92" i="67" s="1"/>
  <c r="AU110" i="65"/>
  <c r="AS77" i="65"/>
  <c r="AS78" i="65"/>
  <c r="AS79" i="65"/>
  <c r="AS80" i="65"/>
  <c r="AS81" i="65"/>
  <c r="AS82" i="65"/>
  <c r="AS83" i="65"/>
  <c r="AS84" i="65"/>
  <c r="AS85" i="65"/>
  <c r="AS86" i="65"/>
  <c r="AS87" i="65"/>
  <c r="AS88" i="65"/>
  <c r="AS89" i="65"/>
  <c r="AS90" i="65"/>
  <c r="AS91" i="65"/>
  <c r="AS92" i="65"/>
  <c r="AS93" i="65"/>
  <c r="AS94" i="65"/>
  <c r="AS95" i="65"/>
  <c r="AS96" i="65"/>
  <c r="AS97" i="65"/>
  <c r="AS98" i="65"/>
  <c r="AS99" i="65"/>
  <c r="AS100" i="65"/>
  <c r="AS101" i="65"/>
  <c r="AS102" i="65"/>
  <c r="AS103" i="65"/>
  <c r="AS104" i="65"/>
  <c r="AS11" i="64"/>
  <c r="Q11" i="64"/>
  <c r="AS19" i="64"/>
  <c r="AQ19" i="64"/>
  <c r="AW19" i="64" s="1"/>
  <c r="R19" i="64"/>
  <c r="AQ15" i="64"/>
  <c r="R15" i="64"/>
  <c r="AS15" i="64"/>
  <c r="Q15" i="64"/>
  <c r="AS35" i="64"/>
  <c r="R35" i="64"/>
  <c r="AQ35" i="64"/>
  <c r="AW35" i="64" s="1"/>
  <c r="AQ17" i="64"/>
  <c r="R17" i="64"/>
  <c r="Q17" i="64"/>
  <c r="AS17" i="64"/>
  <c r="AS23" i="64"/>
  <c r="AQ23" i="64"/>
  <c r="AW23" i="64" s="1"/>
  <c r="R23" i="64"/>
  <c r="AT3" i="64"/>
  <c r="V127" i="64"/>
  <c r="AS14" i="64"/>
  <c r="W127" i="64"/>
  <c r="AM127" i="64"/>
  <c r="AU16" i="64"/>
  <c r="AT22" i="64"/>
  <c r="AT26" i="64"/>
  <c r="AT27" i="64"/>
  <c r="E3" i="64"/>
  <c r="X3" i="64"/>
  <c r="AN3" i="64" s="1"/>
  <c r="AN3" i="38" s="1"/>
  <c r="AT15" i="64"/>
  <c r="AT20" i="64"/>
  <c r="AU20" i="64"/>
  <c r="AS24" i="64"/>
  <c r="AT25" i="64"/>
  <c r="AQ34" i="64"/>
  <c r="AU36" i="64"/>
  <c r="AT36" i="64"/>
  <c r="AU12" i="64"/>
  <c r="AQ13" i="64"/>
  <c r="R13" i="64"/>
  <c r="AU15" i="64"/>
  <c r="AS16" i="64"/>
  <c r="AT18" i="64"/>
  <c r="Q21" i="64"/>
  <c r="AU33" i="64"/>
  <c r="Z127" i="64"/>
  <c r="E24" i="64"/>
  <c r="L24" i="64" s="1"/>
  <c r="AS34" i="64"/>
  <c r="AT11" i="64"/>
  <c r="H127" i="64"/>
  <c r="R14" i="64"/>
  <c r="AT29" i="64"/>
  <c r="AU29" i="64"/>
  <c r="Q34" i="64"/>
  <c r="Q14" i="64"/>
  <c r="S127" i="64"/>
  <c r="AA3" i="64"/>
  <c r="AU11" i="64"/>
  <c r="AT17" i="64"/>
  <c r="AU24" i="64"/>
  <c r="T127" i="64"/>
  <c r="AB3" i="64"/>
  <c r="AS13" i="64"/>
  <c r="AU14" i="64"/>
  <c r="AQ16" i="64"/>
  <c r="E17" i="64"/>
  <c r="L17" i="64" s="1"/>
  <c r="AU17" i="64"/>
  <c r="AQ21" i="64"/>
  <c r="AT23" i="64"/>
  <c r="R34" i="64"/>
  <c r="E38" i="64"/>
  <c r="L38" i="64" s="1"/>
  <c r="Q16" i="64"/>
  <c r="AU23" i="64"/>
  <c r="E19" i="64"/>
  <c r="L19" i="64" s="1"/>
  <c r="AU22" i="64"/>
  <c r="R37" i="64"/>
  <c r="AU31" i="64"/>
  <c r="AT31" i="64"/>
  <c r="AQ63" i="64"/>
  <c r="AW63" i="64" s="1"/>
  <c r="R63" i="64"/>
  <c r="AS58" i="64"/>
  <c r="R58" i="64"/>
  <c r="Q58" i="64"/>
  <c r="E46" i="64"/>
  <c r="L46" i="64" s="1"/>
  <c r="AU48" i="64"/>
  <c r="AU38" i="64"/>
  <c r="AT38" i="64"/>
  <c r="E42" i="64"/>
  <c r="L42" i="64" s="1"/>
  <c r="AU44" i="64"/>
  <c r="AT44" i="64"/>
  <c r="E40" i="64"/>
  <c r="L40" i="64" s="1"/>
  <c r="AU42" i="64"/>
  <c r="AT42" i="64"/>
  <c r="AU40" i="64"/>
  <c r="AT40" i="64"/>
  <c r="Q43" i="64"/>
  <c r="AT45" i="64"/>
  <c r="Q41" i="64"/>
  <c r="AT46" i="64"/>
  <c r="AT48" i="64"/>
  <c r="AT50" i="64"/>
  <c r="AT52" i="64"/>
  <c r="AT54" i="64"/>
  <c r="AU56" i="64"/>
  <c r="AT62" i="64"/>
  <c r="AT67" i="64"/>
  <c r="E68" i="64"/>
  <c r="L68" i="64" s="1"/>
  <c r="AU63" i="64"/>
  <c r="AU66" i="64"/>
  <c r="AT66" i="64"/>
  <c r="AT70" i="64"/>
  <c r="E75" i="64"/>
  <c r="L75" i="64" s="1"/>
  <c r="AS78" i="64"/>
  <c r="R78" i="64"/>
  <c r="AQ78" i="64"/>
  <c r="Q78" i="64"/>
  <c r="AS65" i="64"/>
  <c r="Q65" i="64"/>
  <c r="AQ65" i="64"/>
  <c r="AW65" i="64" s="1"/>
  <c r="E61" i="64"/>
  <c r="L61" i="64" s="1"/>
  <c r="AU67" i="64"/>
  <c r="AT72" i="64"/>
  <c r="E77" i="64"/>
  <c r="L77" i="64" s="1"/>
  <c r="E79" i="64"/>
  <c r="L79" i="64" s="1"/>
  <c r="Q84" i="64"/>
  <c r="AQ84" i="64"/>
  <c r="R84" i="64"/>
  <c r="AS84" i="64"/>
  <c r="Q86" i="64"/>
  <c r="AQ86" i="64"/>
  <c r="R86" i="64"/>
  <c r="AS86" i="64"/>
  <c r="AT61" i="64"/>
  <c r="AT64" i="64"/>
  <c r="E84" i="64"/>
  <c r="L84" i="64" s="1"/>
  <c r="Q88" i="64"/>
  <c r="AQ88" i="64"/>
  <c r="R88" i="64"/>
  <c r="AS88" i="64"/>
  <c r="AT68" i="64"/>
  <c r="AU59" i="64"/>
  <c r="AQ72" i="64"/>
  <c r="R72" i="64"/>
  <c r="Q72" i="64"/>
  <c r="AS76" i="64"/>
  <c r="AQ76" i="64"/>
  <c r="R76" i="64"/>
  <c r="Q76" i="64"/>
  <c r="AU80" i="64"/>
  <c r="AS90" i="64"/>
  <c r="AS92" i="64"/>
  <c r="E97" i="64"/>
  <c r="L97" i="64" s="1"/>
  <c r="AU97" i="64"/>
  <c r="AT97" i="64"/>
  <c r="E95" i="64"/>
  <c r="L95" i="64" s="1"/>
  <c r="AU95" i="64"/>
  <c r="AT95" i="64"/>
  <c r="E101" i="64"/>
  <c r="L101" i="64" s="1"/>
  <c r="AQ101" i="64"/>
  <c r="AW101" i="64" s="1"/>
  <c r="Q80" i="64"/>
  <c r="AS96" i="64"/>
  <c r="AQ96" i="64"/>
  <c r="AW96" i="64" s="1"/>
  <c r="R96" i="64"/>
  <c r="AS100" i="64"/>
  <c r="R100" i="64"/>
  <c r="E102" i="64"/>
  <c r="L102" i="64" s="1"/>
  <c r="AU125" i="64"/>
  <c r="AT81" i="64"/>
  <c r="AU84" i="64"/>
  <c r="AU86" i="64"/>
  <c r="AU88" i="64"/>
  <c r="E99" i="64"/>
  <c r="L99" i="64" s="1"/>
  <c r="AU102" i="64"/>
  <c r="AT85" i="64"/>
  <c r="E86" i="64"/>
  <c r="L86" i="64" s="1"/>
  <c r="AT87" i="64"/>
  <c r="E88" i="64"/>
  <c r="L88" i="64" s="1"/>
  <c r="AT89" i="64"/>
  <c r="E90" i="64"/>
  <c r="L90" i="64" s="1"/>
  <c r="AT91" i="64"/>
  <c r="E92" i="64"/>
  <c r="L92" i="64" s="1"/>
  <c r="AT93" i="64"/>
  <c r="E94" i="64"/>
  <c r="L94" i="64" s="1"/>
  <c r="AS94" i="64"/>
  <c r="AQ94" i="64"/>
  <c r="R94" i="64"/>
  <c r="AQ99" i="64"/>
  <c r="AW99" i="64" s="1"/>
  <c r="R99" i="64"/>
  <c r="AU82" i="64"/>
  <c r="Q90" i="64"/>
  <c r="AQ90" i="64"/>
  <c r="Q98" i="64"/>
  <c r="R98" i="64"/>
  <c r="AQ98" i="64"/>
  <c r="AS102" i="64"/>
  <c r="AS98" i="64"/>
  <c r="Y38" i="57"/>
  <c r="W38" i="57"/>
  <c r="X38" i="57"/>
  <c r="AC24" i="57"/>
  <c r="Z24" i="57"/>
  <c r="Y24" i="57"/>
  <c r="X24" i="57"/>
  <c r="W24" i="57"/>
  <c r="U24" i="57"/>
  <c r="S24" i="57"/>
  <c r="R24" i="57"/>
  <c r="Q24" i="57"/>
  <c r="P24" i="57"/>
  <c r="N24" i="57"/>
  <c r="M24" i="57"/>
  <c r="O24" i="57" s="1"/>
  <c r="K24" i="57"/>
  <c r="L24" i="57" s="1"/>
  <c r="J24" i="57"/>
  <c r="I24" i="57"/>
  <c r="H24" i="57"/>
  <c r="G24" i="57"/>
  <c r="F23" i="57"/>
  <c r="AE23" i="57"/>
  <c r="J4" i="61"/>
  <c r="J10" i="61"/>
  <c r="J14" i="61"/>
  <c r="J12" i="61"/>
  <c r="J20" i="61"/>
  <c r="J6" i="61"/>
  <c r="J8" i="61"/>
  <c r="J13" i="61"/>
  <c r="J11" i="61"/>
  <c r="J5" i="61"/>
  <c r="J21" i="61"/>
  <c r="J15" i="61"/>
  <c r="J7" i="61"/>
  <c r="J17" i="61"/>
  <c r="J23" i="61"/>
  <c r="J57" i="61"/>
  <c r="J34" i="61"/>
  <c r="J27" i="61"/>
  <c r="J29" i="61"/>
  <c r="J58" i="61"/>
  <c r="J40" i="61"/>
  <c r="J59" i="61"/>
  <c r="J30" i="61"/>
  <c r="J41" i="61"/>
  <c r="J22" i="61"/>
  <c r="J60" i="61"/>
  <c r="J61" i="61"/>
  <c r="J62" i="61"/>
  <c r="J63" i="61"/>
  <c r="J35" i="61"/>
  <c r="J42" i="61"/>
  <c r="J64" i="61"/>
  <c r="J65" i="61"/>
  <c r="J66" i="61"/>
  <c r="J67" i="61"/>
  <c r="J43" i="61"/>
  <c r="J104" i="61"/>
  <c r="J44" i="61"/>
  <c r="J68" i="61"/>
  <c r="J36" i="61"/>
  <c r="J24" i="61"/>
  <c r="J25" i="61"/>
  <c r="J69" i="61"/>
  <c r="J32" i="61"/>
  <c r="J16" i="61"/>
  <c r="J19" i="61"/>
  <c r="J18" i="61"/>
  <c r="J70" i="61"/>
  <c r="J45" i="61"/>
  <c r="J71" i="61"/>
  <c r="J46" i="61"/>
  <c r="J72" i="61"/>
  <c r="J73" i="61"/>
  <c r="J74" i="61"/>
  <c r="J75" i="61"/>
  <c r="J76" i="61"/>
  <c r="J47" i="61"/>
  <c r="J105" i="61"/>
  <c r="J77" i="61"/>
  <c r="J78" i="61"/>
  <c r="J79" i="61"/>
  <c r="J80" i="61"/>
  <c r="J81" i="61"/>
  <c r="J82" i="61"/>
  <c r="J83" i="61"/>
  <c r="J48" i="61"/>
  <c r="J84" i="61"/>
  <c r="J85" i="61"/>
  <c r="J86" i="61"/>
  <c r="J49" i="61"/>
  <c r="J87" i="61"/>
  <c r="J50" i="61"/>
  <c r="J88" i="61"/>
  <c r="J51" i="61"/>
  <c r="J52" i="61"/>
  <c r="J28" i="61"/>
  <c r="J89" i="61"/>
  <c r="J90" i="61"/>
  <c r="J91" i="61"/>
  <c r="J92" i="61"/>
  <c r="J53" i="61"/>
  <c r="J93" i="61"/>
  <c r="J37" i="61"/>
  <c r="J31" i="61"/>
  <c r="J94" i="61"/>
  <c r="J54" i="61"/>
  <c r="J95" i="61"/>
  <c r="J55" i="61"/>
  <c r="J38" i="61"/>
  <c r="J96" i="61"/>
  <c r="J97" i="61"/>
  <c r="J98" i="61"/>
  <c r="J99" i="61"/>
  <c r="J100" i="61"/>
  <c r="J39" i="61"/>
  <c r="J101" i="61"/>
  <c r="J56" i="61"/>
  <c r="J102" i="61"/>
  <c r="J33" i="61"/>
  <c r="J103" i="61"/>
  <c r="J26" i="61"/>
  <c r="J9" i="61"/>
  <c r="C4" i="61"/>
  <c r="C8" i="61"/>
  <c r="C13" i="61"/>
  <c r="C9" i="61"/>
  <c r="C21" i="61"/>
  <c r="C7" i="61"/>
  <c r="C12" i="61"/>
  <c r="C14" i="61"/>
  <c r="C10" i="61"/>
  <c r="C6" i="61"/>
  <c r="C22" i="61"/>
  <c r="C15" i="61"/>
  <c r="C5" i="61"/>
  <c r="C17" i="61"/>
  <c r="C30" i="61"/>
  <c r="C49" i="61"/>
  <c r="C31" i="61"/>
  <c r="C24" i="61"/>
  <c r="C25" i="61"/>
  <c r="C50" i="61"/>
  <c r="C38" i="61"/>
  <c r="C51" i="61"/>
  <c r="C28" i="61"/>
  <c r="C82" i="61"/>
  <c r="C105" i="61"/>
  <c r="C52" i="61"/>
  <c r="C53" i="61"/>
  <c r="C54" i="61"/>
  <c r="C55" i="61"/>
  <c r="C36" i="61"/>
  <c r="C48" i="61"/>
  <c r="C56" i="61"/>
  <c r="C57" i="61"/>
  <c r="C86" i="61"/>
  <c r="C87" i="61"/>
  <c r="C44" i="61"/>
  <c r="C94" i="61"/>
  <c r="C39" i="61"/>
  <c r="C90" i="61"/>
  <c r="C32" i="61"/>
  <c r="C23" i="61"/>
  <c r="C104" i="61"/>
  <c r="C58" i="61"/>
  <c r="C27" i="61"/>
  <c r="C19" i="61"/>
  <c r="C20" i="61"/>
  <c r="C18" i="61"/>
  <c r="C76" i="61"/>
  <c r="C103" i="61"/>
  <c r="C95" i="61"/>
  <c r="C45" i="61"/>
  <c r="C77" i="61"/>
  <c r="C59" i="61"/>
  <c r="C60" i="61"/>
  <c r="C97" i="61"/>
  <c r="C61" i="61"/>
  <c r="C40" i="61"/>
  <c r="C93" i="61"/>
  <c r="C62" i="61"/>
  <c r="C63" i="61"/>
  <c r="C64" i="61"/>
  <c r="C78" i="61"/>
  <c r="C79" i="61"/>
  <c r="C65" i="61"/>
  <c r="C66" i="61"/>
  <c r="C42" i="61"/>
  <c r="C67" i="61"/>
  <c r="C85" i="61"/>
  <c r="C68" i="61"/>
  <c r="C43" i="61"/>
  <c r="C69" i="61"/>
  <c r="C83" i="61"/>
  <c r="C101" i="61"/>
  <c r="C96" i="61"/>
  <c r="C46" i="61"/>
  <c r="C29" i="61"/>
  <c r="C99" i="61"/>
  <c r="C81" i="61"/>
  <c r="C102" i="61"/>
  <c r="C88" i="61"/>
  <c r="C47" i="61"/>
  <c r="C98" i="61"/>
  <c r="C33" i="61"/>
  <c r="C26" i="61"/>
  <c r="C92" i="61"/>
  <c r="C35" i="61"/>
  <c r="C84" i="61"/>
  <c r="C100" i="61"/>
  <c r="C89" i="61"/>
  <c r="C91" i="61"/>
  <c r="C70" i="61"/>
  <c r="C71" i="61"/>
  <c r="C72" i="61"/>
  <c r="C80" i="61"/>
  <c r="C41" i="61"/>
  <c r="C73" i="61"/>
  <c r="C37" i="61"/>
  <c r="C74" i="61"/>
  <c r="C34" i="61"/>
  <c r="C75" i="61"/>
  <c r="C16" i="61"/>
  <c r="C11" i="61"/>
  <c r="C106" i="61" s="1"/>
  <c r="AI91" i="60"/>
  <c r="AI52" i="60"/>
  <c r="AI53" i="60"/>
  <c r="AI58" i="60"/>
  <c r="AI77" i="60"/>
  <c r="AI45" i="60"/>
  <c r="AI49" i="60"/>
  <c r="AI50" i="60"/>
  <c r="AI12" i="60"/>
  <c r="AI28" i="60"/>
  <c r="AI17" i="60"/>
  <c r="AI18" i="60"/>
  <c r="AI14" i="60"/>
  <c r="AI13" i="60"/>
  <c r="AI16" i="60"/>
  <c r="AI15" i="60"/>
  <c r="AI11" i="60"/>
  <c r="AI9" i="60"/>
  <c r="AI7" i="60"/>
  <c r="AI26" i="60"/>
  <c r="AI6" i="60"/>
  <c r="AI4" i="60"/>
  <c r="AI5" i="60"/>
  <c r="AI3" i="60"/>
  <c r="AI8" i="60"/>
  <c r="AH80" i="60"/>
  <c r="AH45" i="60"/>
  <c r="AH12" i="60"/>
  <c r="AH14" i="60"/>
  <c r="AH6" i="60"/>
  <c r="AB4" i="60"/>
  <c r="AB5" i="60"/>
  <c r="AB6" i="60"/>
  <c r="AB7" i="60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C90" i="67" l="1"/>
  <c r="AV42" i="65" a="1"/>
  <c r="AV42" i="65" s="1"/>
  <c r="AZ105" i="65"/>
  <c r="AX105" i="65"/>
  <c r="AV91" i="65" a="1"/>
  <c r="AV91" i="65" s="1"/>
  <c r="AZ91" i="65" s="1"/>
  <c r="C101" i="67"/>
  <c r="AV86" i="65" a="1"/>
  <c r="AV86" i="65" s="1"/>
  <c r="AZ86" i="65" s="1"/>
  <c r="C88" i="67"/>
  <c r="AV87" i="65" a="1"/>
  <c r="AV87" i="65" s="1"/>
  <c r="C41" i="67"/>
  <c r="AV38" i="65" a="1"/>
  <c r="AV38" i="65" s="1"/>
  <c r="C86" i="67"/>
  <c r="AV108" i="65" a="1"/>
  <c r="AV108" i="65" s="1"/>
  <c r="C76" i="67"/>
  <c r="AV43" i="65" a="1"/>
  <c r="AV43" i="65" s="1"/>
  <c r="C32" i="67"/>
  <c r="AV4" i="65" a="1"/>
  <c r="AV4" i="65" s="1"/>
  <c r="C4" i="67"/>
  <c r="AV94" i="65" a="1"/>
  <c r="AV94" i="65" s="1"/>
  <c r="C67" i="67"/>
  <c r="AV30" i="65" a="1"/>
  <c r="AV30" i="65" s="1"/>
  <c r="C48" i="67"/>
  <c r="AV100" i="65" a="1"/>
  <c r="AV100" i="65" s="1"/>
  <c r="C100" i="67"/>
  <c r="AV79" i="65" a="1"/>
  <c r="AV79" i="65" s="1"/>
  <c r="C29" i="67"/>
  <c r="AV107" i="65" a="1"/>
  <c r="AV107" i="65" s="1"/>
  <c r="C75" i="67"/>
  <c r="AV32" i="65" a="1"/>
  <c r="AV32" i="65" s="1"/>
  <c r="C50" i="67"/>
  <c r="AV6" i="65" a="1"/>
  <c r="AV6" i="65" s="1"/>
  <c r="C12" i="67"/>
  <c r="AV8" i="65" a="1"/>
  <c r="AV8" i="65" s="1"/>
  <c r="C16" i="67"/>
  <c r="AV31" i="65" a="1"/>
  <c r="AV31" i="65" s="1"/>
  <c r="C49" i="67"/>
  <c r="AV80" i="65" a="1"/>
  <c r="AV80" i="65" s="1"/>
  <c r="C36" i="67"/>
  <c r="AV64" i="65" a="1"/>
  <c r="AV64" i="65" s="1"/>
  <c r="C61" i="67"/>
  <c r="AV40" i="65" a="1"/>
  <c r="AV40" i="65" s="1"/>
  <c r="AW40" i="65" s="1"/>
  <c r="C35" i="67"/>
  <c r="AV104" i="65" a="1"/>
  <c r="AV104" i="65" s="1"/>
  <c r="C30" i="67"/>
  <c r="AV83" i="65" a="1"/>
  <c r="AV83" i="65" s="1"/>
  <c r="AZ83" i="65" s="1"/>
  <c r="C85" i="67"/>
  <c r="AV45" i="65" a="1"/>
  <c r="AV45" i="65" s="1"/>
  <c r="C19" i="67"/>
  <c r="AV106" i="65" a="1"/>
  <c r="AV106" i="65" s="1"/>
  <c r="C74" i="67"/>
  <c r="AV41" i="65" a="1"/>
  <c r="AV41" i="65" s="1"/>
  <c r="C84" i="67"/>
  <c r="AV96" i="65" a="1"/>
  <c r="AV96" i="65" s="1"/>
  <c r="AZ96" i="65" s="1"/>
  <c r="C69" i="67"/>
  <c r="AV78" i="65" a="1"/>
  <c r="AV78" i="65" s="1"/>
  <c r="AZ78" i="65" s="1"/>
  <c r="C83" i="67"/>
  <c r="AV37" i="65" a="1"/>
  <c r="AV37" i="65" s="1"/>
  <c r="C91" i="67"/>
  <c r="AV39" i="65" a="1"/>
  <c r="AV39" i="65" s="1"/>
  <c r="C40" i="67"/>
  <c r="AV7" i="65" a="1"/>
  <c r="AV7" i="65" s="1"/>
  <c r="C10" i="67"/>
  <c r="AV44" i="65" a="1"/>
  <c r="AV44" i="65" s="1"/>
  <c r="C23" i="67"/>
  <c r="AV33" i="65" a="1"/>
  <c r="AV33" i="65" s="1"/>
  <c r="C31" i="67"/>
  <c r="AV36" i="65" a="1"/>
  <c r="AV36" i="65" s="1"/>
  <c r="C53" i="67"/>
  <c r="AV9" i="65" a="1"/>
  <c r="AV9" i="65" s="1"/>
  <c r="C7" i="67"/>
  <c r="K109" i="67"/>
  <c r="K108" i="67"/>
  <c r="K107" i="67"/>
  <c r="K106" i="67"/>
  <c r="K102" i="67"/>
  <c r="K98" i="67"/>
  <c r="K94" i="67"/>
  <c r="K90" i="67"/>
  <c r="K86" i="67"/>
  <c r="K82" i="67"/>
  <c r="K78" i="67"/>
  <c r="K74" i="67"/>
  <c r="K70" i="67"/>
  <c r="K66" i="67"/>
  <c r="K62" i="67"/>
  <c r="K58" i="67"/>
  <c r="K54" i="67"/>
  <c r="K50" i="67"/>
  <c r="K46" i="67"/>
  <c r="K42" i="67"/>
  <c r="K38" i="67"/>
  <c r="K34" i="67"/>
  <c r="K30" i="67"/>
  <c r="K26" i="67"/>
  <c r="K22" i="67"/>
  <c r="K18" i="67"/>
  <c r="K14" i="67"/>
  <c r="K10" i="67"/>
  <c r="K6" i="67"/>
  <c r="K103" i="67"/>
  <c r="K101" i="67"/>
  <c r="K97" i="67"/>
  <c r="K93" i="67"/>
  <c r="K89" i="67"/>
  <c r="K85" i="67"/>
  <c r="K81" i="67"/>
  <c r="K77" i="67"/>
  <c r="K73" i="67"/>
  <c r="K69" i="67"/>
  <c r="K65" i="67"/>
  <c r="K61" i="67"/>
  <c r="K57" i="67"/>
  <c r="K53" i="67"/>
  <c r="K49" i="67"/>
  <c r="K45" i="67"/>
  <c r="K41" i="67"/>
  <c r="K37" i="67"/>
  <c r="K33" i="67"/>
  <c r="K29" i="67"/>
  <c r="K25" i="67"/>
  <c r="K21" i="67"/>
  <c r="K17" i="67"/>
  <c r="K13" i="67"/>
  <c r="K9" i="67"/>
  <c r="K5" i="67"/>
  <c r="K105" i="67"/>
  <c r="K100" i="67"/>
  <c r="K96" i="67"/>
  <c r="K92" i="67"/>
  <c r="K88" i="67"/>
  <c r="K84" i="67"/>
  <c r="K80" i="67"/>
  <c r="K76" i="67"/>
  <c r="K72" i="67"/>
  <c r="K68" i="67"/>
  <c r="K64" i="67"/>
  <c r="K60" i="67"/>
  <c r="K56" i="67"/>
  <c r="K52" i="67"/>
  <c r="K48" i="67"/>
  <c r="K44" i="67"/>
  <c r="K40" i="67"/>
  <c r="K36" i="67"/>
  <c r="K32" i="67"/>
  <c r="K28" i="67"/>
  <c r="K24" i="67"/>
  <c r="K20" i="67"/>
  <c r="K16" i="67"/>
  <c r="K12" i="67"/>
  <c r="K4" i="67"/>
  <c r="K104" i="67"/>
  <c r="K99" i="67"/>
  <c r="K95" i="67"/>
  <c r="K91" i="67"/>
  <c r="K87" i="67"/>
  <c r="K83" i="67"/>
  <c r="K79" i="67"/>
  <c r="K75" i="67"/>
  <c r="K71" i="67"/>
  <c r="K67" i="67"/>
  <c r="K63" i="67"/>
  <c r="K59" i="67"/>
  <c r="K55" i="67"/>
  <c r="K51" i="67"/>
  <c r="K47" i="67"/>
  <c r="K43" i="67"/>
  <c r="K39" i="67"/>
  <c r="K35" i="67"/>
  <c r="K31" i="67"/>
  <c r="K27" i="67"/>
  <c r="K23" i="67"/>
  <c r="K19" i="67"/>
  <c r="K15" i="67"/>
  <c r="K11" i="67"/>
  <c r="K7" i="67"/>
  <c r="AV5" i="65" a="1"/>
  <c r="AV5" i="65" s="1"/>
  <c r="AW5" i="65" s="1"/>
  <c r="C8" i="67"/>
  <c r="AV10" i="65" a="1"/>
  <c r="AV10" i="65" s="1"/>
  <c r="C11" i="67"/>
  <c r="AV12" i="65" a="1"/>
  <c r="AV12" i="65" s="1"/>
  <c r="AW12" i="65" s="1"/>
  <c r="C13" i="67"/>
  <c r="AV99" i="65" a="1"/>
  <c r="AV99" i="65" s="1"/>
  <c r="AZ99" i="65" s="1"/>
  <c r="C70" i="67"/>
  <c r="AV34" i="65" a="1"/>
  <c r="AV34" i="65" s="1"/>
  <c r="AX34" i="65" s="1"/>
  <c r="C51" i="67"/>
  <c r="AV93" i="65" a="1"/>
  <c r="AV93" i="65" s="1"/>
  <c r="AZ93" i="65" s="1"/>
  <c r="C99" i="67"/>
  <c r="AW33" i="65"/>
  <c r="AW44" i="65"/>
  <c r="AW45" i="65"/>
  <c r="AW43" i="65"/>
  <c r="AW39" i="65"/>
  <c r="AW9" i="65"/>
  <c r="AW87" i="65"/>
  <c r="AW80" i="65"/>
  <c r="AW10" i="65"/>
  <c r="AW6" i="65"/>
  <c r="AW8" i="65"/>
  <c r="AW4" i="65"/>
  <c r="AW104" i="65"/>
  <c r="AS109" i="65"/>
  <c r="AC75" i="65"/>
  <c r="AC107" i="65"/>
  <c r="AC74" i="65"/>
  <c r="AC99" i="65"/>
  <c r="AC106" i="65"/>
  <c r="AC97" i="65"/>
  <c r="AC98" i="65"/>
  <c r="AC83" i="65"/>
  <c r="AC89" i="65"/>
  <c r="AC90" i="65"/>
  <c r="AC108" i="65"/>
  <c r="AC66" i="65"/>
  <c r="AC81" i="65"/>
  <c r="AC82" i="65"/>
  <c r="AC60" i="65"/>
  <c r="AC85" i="65"/>
  <c r="AC33" i="65"/>
  <c r="AC15" i="65"/>
  <c r="AC79" i="65"/>
  <c r="AC8" i="65"/>
  <c r="AC72" i="65"/>
  <c r="AC32" i="65"/>
  <c r="AC5" i="65"/>
  <c r="AC52" i="65"/>
  <c r="AC84" i="65"/>
  <c r="AC44" i="65"/>
  <c r="AC70" i="65"/>
  <c r="AC100" i="65"/>
  <c r="AC28" i="65"/>
  <c r="AC95" i="65"/>
  <c r="AC58" i="65"/>
  <c r="AC29" i="65"/>
  <c r="AC4" i="65"/>
  <c r="AC36" i="65"/>
  <c r="AC91" i="65"/>
  <c r="AC54" i="65"/>
  <c r="AC30" i="65"/>
  <c r="AC11" i="65"/>
  <c r="AC56" i="65"/>
  <c r="AC61" i="65"/>
  <c r="AC73" i="65"/>
  <c r="AC68" i="65"/>
  <c r="AC67" i="65"/>
  <c r="AC59" i="65"/>
  <c r="AC101" i="65"/>
  <c r="AC94" i="65"/>
  <c r="AC102" i="65"/>
  <c r="AC7" i="65"/>
  <c r="AC104" i="65"/>
  <c r="AC71" i="65"/>
  <c r="AC63" i="65"/>
  <c r="AC76" i="65"/>
  <c r="AC39" i="65"/>
  <c r="AC24" i="65"/>
  <c r="AC25" i="65"/>
  <c r="AC31" i="65"/>
  <c r="AC96" i="65"/>
  <c r="AC26" i="65"/>
  <c r="AC93" i="65"/>
  <c r="AC64" i="65"/>
  <c r="AC53" i="65"/>
  <c r="AC21" i="65"/>
  <c r="AC92" i="65"/>
  <c r="AC27" i="65"/>
  <c r="AC65" i="65"/>
  <c r="AC47" i="65"/>
  <c r="AC41" i="65"/>
  <c r="AC38" i="65"/>
  <c r="AC78" i="65"/>
  <c r="AC86" i="65"/>
  <c r="AC57" i="65"/>
  <c r="AC20" i="65"/>
  <c r="AC46" i="65"/>
  <c r="AC51" i="65"/>
  <c r="AC19" i="65"/>
  <c r="AC22" i="65"/>
  <c r="AC23" i="65"/>
  <c r="AC13" i="65"/>
  <c r="AC34" i="65"/>
  <c r="AC62" i="65"/>
  <c r="AC42" i="65"/>
  <c r="AC50" i="65"/>
  <c r="AC14" i="65"/>
  <c r="AC12" i="65"/>
  <c r="AC80" i="65"/>
  <c r="AC49" i="65"/>
  <c r="AC45" i="65"/>
  <c r="AC17" i="65"/>
  <c r="AC6" i="65"/>
  <c r="AC88" i="65"/>
  <c r="AC77" i="65"/>
  <c r="AC35" i="65"/>
  <c r="AC18" i="65"/>
  <c r="AC37" i="65"/>
  <c r="AC10" i="65"/>
  <c r="AC48" i="65"/>
  <c r="AC40" i="65"/>
  <c r="AC43" i="65"/>
  <c r="AC16" i="65"/>
  <c r="AC9" i="65"/>
  <c r="AC103" i="65"/>
  <c r="AC69" i="65"/>
  <c r="AC87" i="65"/>
  <c r="AC55" i="65"/>
  <c r="AW79" i="65"/>
  <c r="AW7" i="65"/>
  <c r="AQ109" i="65"/>
  <c r="AW78" i="65"/>
  <c r="AW86" i="65"/>
  <c r="M13" i="69"/>
  <c r="G13" i="69" s="1"/>
  <c r="L14" i="69"/>
  <c r="F16" i="69"/>
  <c r="E17" i="69"/>
  <c r="L130" i="65"/>
  <c r="AX107" i="65"/>
  <c r="AZ107" i="65"/>
  <c r="AL110" i="65"/>
  <c r="S26" i="3" s="1"/>
  <c r="F26" i="3" s="1"/>
  <c r="AZ108" i="65"/>
  <c r="AX108" i="65"/>
  <c r="AZ106" i="65"/>
  <c r="AX106" i="65"/>
  <c r="AO75" i="65"/>
  <c r="L110" i="65"/>
  <c r="L131" i="65" s="1"/>
  <c r="AZ31" i="65"/>
  <c r="AX31" i="65"/>
  <c r="AO11" i="65"/>
  <c r="AO13" i="65"/>
  <c r="AO49" i="65"/>
  <c r="AO29" i="65"/>
  <c r="AO56" i="65"/>
  <c r="AO66" i="65"/>
  <c r="AO52" i="65"/>
  <c r="AO25" i="65"/>
  <c r="AO58" i="65"/>
  <c r="AO15" i="65"/>
  <c r="AO46" i="65"/>
  <c r="AO23" i="65"/>
  <c r="AO74" i="65"/>
  <c r="AO16" i="65"/>
  <c r="AO51" i="65"/>
  <c r="AO28" i="65"/>
  <c r="C27" i="67" s="1"/>
  <c r="AO18" i="65"/>
  <c r="AO62" i="65"/>
  <c r="AO59" i="65"/>
  <c r="AF131" i="65"/>
  <c r="AO26" i="65"/>
  <c r="AO17" i="65"/>
  <c r="AO19" i="65"/>
  <c r="AF110" i="65"/>
  <c r="AO24" i="65"/>
  <c r="AO22" i="65"/>
  <c r="AO60" i="65"/>
  <c r="AO72" i="65"/>
  <c r="AO61" i="65"/>
  <c r="AO63" i="65"/>
  <c r="AO20" i="65"/>
  <c r="AO48" i="65"/>
  <c r="AO65" i="65"/>
  <c r="AO54" i="65"/>
  <c r="R130" i="65"/>
  <c r="AO53" i="65"/>
  <c r="AO3" i="65"/>
  <c r="C5" i="67" s="1"/>
  <c r="AO55" i="65"/>
  <c r="AO57" i="65"/>
  <c r="AO50" i="65"/>
  <c r="AO27" i="65"/>
  <c r="AO47" i="65"/>
  <c r="AO21" i="65"/>
  <c r="AO14" i="65"/>
  <c r="AZ94" i="65"/>
  <c r="AX94" i="65"/>
  <c r="AZ36" i="65"/>
  <c r="AX36" i="65"/>
  <c r="AL130" i="65"/>
  <c r="AV69" i="65" a="1"/>
  <c r="AV69" i="65" s="1"/>
  <c r="AZ69" i="65" s="1"/>
  <c r="AZ44" i="65"/>
  <c r="AX44" i="65"/>
  <c r="AO84" i="65"/>
  <c r="AO90" i="65"/>
  <c r="AO71" i="65"/>
  <c r="AO85" i="65"/>
  <c r="AO67" i="65"/>
  <c r="AO97" i="65"/>
  <c r="AO70" i="65"/>
  <c r="AO101" i="65"/>
  <c r="AO68" i="65"/>
  <c r="AO82" i="65"/>
  <c r="AO89" i="65"/>
  <c r="AO103" i="65"/>
  <c r="AO88" i="65"/>
  <c r="AO77" i="65"/>
  <c r="AO98" i="65"/>
  <c r="AO95" i="65"/>
  <c r="AO92" i="65"/>
  <c r="AO102" i="65"/>
  <c r="AO81" i="65"/>
  <c r="AO73" i="65"/>
  <c r="AO76" i="65"/>
  <c r="AX78" i="65"/>
  <c r="G11" i="66"/>
  <c r="G6" i="66"/>
  <c r="F13" i="66"/>
  <c r="E14" i="66"/>
  <c r="L13" i="66"/>
  <c r="M12" i="66"/>
  <c r="T106" i="38"/>
  <c r="W106" i="38"/>
  <c r="Y106" i="38"/>
  <c r="Z106" i="38"/>
  <c r="S106" i="38"/>
  <c r="AQ82" i="64"/>
  <c r="AN106" i="38"/>
  <c r="AS82" i="64"/>
  <c r="R82" i="64"/>
  <c r="Q82" i="64"/>
  <c r="AS32" i="64"/>
  <c r="AQ30" i="64"/>
  <c r="R32" i="64"/>
  <c r="Q30" i="64"/>
  <c r="AQ32" i="64"/>
  <c r="AW32" i="64" s="1"/>
  <c r="R30" i="64"/>
  <c r="AS30" i="64"/>
  <c r="R3" i="64"/>
  <c r="Q3" i="64"/>
  <c r="U106" i="64"/>
  <c r="U127" i="64" s="1"/>
  <c r="AD3" i="64"/>
  <c r="AI106" i="38"/>
  <c r="AX83" i="65"/>
  <c r="AF14" i="64"/>
  <c r="AD16" i="64"/>
  <c r="AD106" i="64" s="1"/>
  <c r="R16" i="64"/>
  <c r="AF46" i="64"/>
  <c r="AA106" i="64"/>
  <c r="AF106" i="64" s="1"/>
  <c r="X106" i="64"/>
  <c r="AF74" i="64"/>
  <c r="AB106" i="64"/>
  <c r="AB127" i="64" s="1"/>
  <c r="E45" i="64"/>
  <c r="L45" i="64" s="1"/>
  <c r="E71" i="64"/>
  <c r="L71" i="64" s="1"/>
  <c r="AQ92" i="64"/>
  <c r="AS101" i="64"/>
  <c r="R41" i="64"/>
  <c r="R43" i="64"/>
  <c r="AQ37" i="64"/>
  <c r="AT105" i="64"/>
  <c r="Q39" i="64"/>
  <c r="AS21" i="64"/>
  <c r="R21" i="64"/>
  <c r="AQ41" i="64"/>
  <c r="AQ43" i="64"/>
  <c r="AS37" i="64"/>
  <c r="AU105" i="64"/>
  <c r="R39" i="64"/>
  <c r="AQ11" i="64"/>
  <c r="Q92" i="64"/>
  <c r="AS41" i="64"/>
  <c r="AS43" i="64"/>
  <c r="AQ39" i="64"/>
  <c r="AS80" i="64"/>
  <c r="R101" i="64"/>
  <c r="AZ32" i="65"/>
  <c r="AX32" i="65"/>
  <c r="AZ34" i="65"/>
  <c r="AZ64" i="65"/>
  <c r="AX64" i="65"/>
  <c r="AZ39" i="65"/>
  <c r="AX39" i="65"/>
  <c r="AX93" i="65"/>
  <c r="AZ7" i="65"/>
  <c r="AX7" i="65"/>
  <c r="AZ104" i="65"/>
  <c r="AX104" i="65"/>
  <c r="AX87" i="65"/>
  <c r="AZ87" i="65"/>
  <c r="AZ33" i="65"/>
  <c r="AX33" i="65"/>
  <c r="AZ40" i="65"/>
  <c r="AX40" i="65"/>
  <c r="AZ6" i="65"/>
  <c r="AX6" i="65"/>
  <c r="AZ80" i="65"/>
  <c r="AX80" i="65"/>
  <c r="AZ8" i="65"/>
  <c r="AX8" i="65"/>
  <c r="AZ100" i="65"/>
  <c r="AX100" i="65"/>
  <c r="AZ37" i="65"/>
  <c r="AX37" i="65"/>
  <c r="AZ42" i="65"/>
  <c r="AX42" i="65"/>
  <c r="AX86" i="65"/>
  <c r="AZ45" i="65"/>
  <c r="AX45" i="65"/>
  <c r="AX96" i="65"/>
  <c r="AD130" i="65"/>
  <c r="AC3" i="65"/>
  <c r="AZ12" i="65"/>
  <c r="AX12" i="65"/>
  <c r="AZ4" i="65"/>
  <c r="AX4" i="65"/>
  <c r="AX79" i="65"/>
  <c r="AZ79" i="65"/>
  <c r="AZ43" i="65"/>
  <c r="AX43" i="65"/>
  <c r="AZ35" i="65"/>
  <c r="AX35" i="65"/>
  <c r="AD131" i="65"/>
  <c r="AN131" i="65"/>
  <c r="AZ10" i="65"/>
  <c r="AX10" i="65"/>
  <c r="AZ30" i="65"/>
  <c r="AX30" i="65"/>
  <c r="AX91" i="65"/>
  <c r="AZ41" i="65"/>
  <c r="AX41" i="65"/>
  <c r="AZ38" i="65"/>
  <c r="AX38" i="65"/>
  <c r="AZ9" i="65"/>
  <c r="AX9" i="65"/>
  <c r="AS55" i="64"/>
  <c r="AQ55" i="64"/>
  <c r="AW55" i="64" s="1"/>
  <c r="R55" i="64"/>
  <c r="Q55" i="64"/>
  <c r="AQ77" i="64"/>
  <c r="R77" i="64"/>
  <c r="AS77" i="64"/>
  <c r="Q77" i="64"/>
  <c r="AS64" i="64"/>
  <c r="R64" i="64"/>
  <c r="AQ64" i="64"/>
  <c r="AW64" i="64" s="1"/>
  <c r="AS53" i="64"/>
  <c r="AQ53" i="64"/>
  <c r="R53" i="64"/>
  <c r="Q53" i="64"/>
  <c r="AS74" i="64"/>
  <c r="AQ74" i="64"/>
  <c r="AW74" i="64" s="1"/>
  <c r="R74" i="64"/>
  <c r="Q74" i="64"/>
  <c r="AQ57" i="64"/>
  <c r="AW57" i="64" s="1"/>
  <c r="R57" i="64"/>
  <c r="AS57" i="64"/>
  <c r="AS67" i="64"/>
  <c r="AQ67" i="64"/>
  <c r="R67" i="64"/>
  <c r="Q67" i="64"/>
  <c r="AS52" i="64"/>
  <c r="AQ52" i="64"/>
  <c r="R52" i="64"/>
  <c r="Q52" i="64"/>
  <c r="AS87" i="64"/>
  <c r="AQ87" i="64"/>
  <c r="R87" i="64"/>
  <c r="Q87" i="64"/>
  <c r="AQ75" i="64"/>
  <c r="R75" i="64"/>
  <c r="AS75" i="64"/>
  <c r="Q75" i="64"/>
  <c r="AS56" i="64"/>
  <c r="AQ56" i="64"/>
  <c r="AW56" i="64" s="1"/>
  <c r="R56" i="64"/>
  <c r="AS51" i="64"/>
  <c r="AQ51" i="64"/>
  <c r="R51" i="64"/>
  <c r="Q51" i="64"/>
  <c r="AS59" i="64"/>
  <c r="R59" i="64"/>
  <c r="AQ59" i="64"/>
  <c r="AW59" i="64" s="1"/>
  <c r="AS42" i="64"/>
  <c r="AQ42" i="64"/>
  <c r="R42" i="64"/>
  <c r="Q42" i="64"/>
  <c r="AF3" i="64"/>
  <c r="AS36" i="64"/>
  <c r="AQ36" i="64"/>
  <c r="AW36" i="64" s="1"/>
  <c r="R36" i="64"/>
  <c r="AQ10" i="64"/>
  <c r="R10" i="64"/>
  <c r="Q10" i="64"/>
  <c r="AS10" i="64"/>
  <c r="AS85" i="64"/>
  <c r="AQ85" i="64"/>
  <c r="R85" i="64"/>
  <c r="Q85" i="64"/>
  <c r="AQ73" i="64"/>
  <c r="R73" i="64"/>
  <c r="Q73" i="64"/>
  <c r="AS73" i="64"/>
  <c r="AQ97" i="64"/>
  <c r="R97" i="64"/>
  <c r="AS97" i="64"/>
  <c r="Q97" i="64"/>
  <c r="AS49" i="64"/>
  <c r="AQ49" i="64"/>
  <c r="R49" i="64"/>
  <c r="Q49" i="64"/>
  <c r="AS50" i="64"/>
  <c r="AQ50" i="64"/>
  <c r="Q50" i="64"/>
  <c r="R50" i="64"/>
  <c r="AQ33" i="64"/>
  <c r="R33" i="64"/>
  <c r="AS33" i="64"/>
  <c r="Q33" i="64"/>
  <c r="AS20" i="64"/>
  <c r="R20" i="64"/>
  <c r="Q20" i="64"/>
  <c r="AQ20" i="64"/>
  <c r="AQ8" i="64"/>
  <c r="R8" i="64"/>
  <c r="Q8" i="64"/>
  <c r="AS8" i="64"/>
  <c r="AS22" i="64"/>
  <c r="R22" i="64"/>
  <c r="Q22" i="64"/>
  <c r="AQ22" i="64"/>
  <c r="AQ83" i="64"/>
  <c r="R83" i="64"/>
  <c r="Q83" i="64"/>
  <c r="AS83" i="64"/>
  <c r="AQ38" i="64"/>
  <c r="Q38" i="64"/>
  <c r="AS38" i="64"/>
  <c r="R38" i="64"/>
  <c r="AE127" i="64"/>
  <c r="AQ6" i="64"/>
  <c r="R6" i="64"/>
  <c r="Q6" i="64"/>
  <c r="AS6" i="64"/>
  <c r="AQ71" i="64"/>
  <c r="R71" i="64"/>
  <c r="Q71" i="64"/>
  <c r="AS71" i="64"/>
  <c r="AQ102" i="64"/>
  <c r="AS95" i="64"/>
  <c r="AQ95" i="64"/>
  <c r="AW95" i="64" s="1"/>
  <c r="R95" i="64"/>
  <c r="AQ61" i="64"/>
  <c r="R61" i="64"/>
  <c r="Q61" i="64"/>
  <c r="AS61" i="64"/>
  <c r="AS48" i="64"/>
  <c r="Q48" i="64"/>
  <c r="AQ48" i="64"/>
  <c r="R48" i="64"/>
  <c r="R31" i="64"/>
  <c r="AS31" i="64"/>
  <c r="AQ31" i="64"/>
  <c r="AS18" i="64"/>
  <c r="R18" i="64"/>
  <c r="Q18" i="64"/>
  <c r="AQ18" i="64"/>
  <c r="AS9" i="64"/>
  <c r="AQ9" i="64"/>
  <c r="R9" i="64"/>
  <c r="Q9" i="64"/>
  <c r="AS29" i="64"/>
  <c r="R29" i="64"/>
  <c r="AQ29" i="64"/>
  <c r="AW29" i="64" s="1"/>
  <c r="AQ4" i="64"/>
  <c r="R4" i="64"/>
  <c r="Q4" i="64"/>
  <c r="AS4" i="64"/>
  <c r="AQ70" i="64"/>
  <c r="R70" i="64"/>
  <c r="Q70" i="64"/>
  <c r="AS70" i="64"/>
  <c r="AQ47" i="64"/>
  <c r="R47" i="64"/>
  <c r="Q47" i="64"/>
  <c r="AS47" i="64"/>
  <c r="AS60" i="64"/>
  <c r="Q60" i="64"/>
  <c r="R60" i="64"/>
  <c r="AQ60" i="64"/>
  <c r="AS103" i="64"/>
  <c r="AQ103" i="64"/>
  <c r="AW103" i="64" s="1"/>
  <c r="R103" i="64"/>
  <c r="AQ81" i="64"/>
  <c r="R81" i="64"/>
  <c r="Q81" i="64"/>
  <c r="AS81" i="64"/>
  <c r="AQ69" i="64"/>
  <c r="R69" i="64"/>
  <c r="AS69" i="64"/>
  <c r="Q69" i="64"/>
  <c r="AQ68" i="64"/>
  <c r="AW68" i="64" s="1"/>
  <c r="R68" i="64"/>
  <c r="AS68" i="64"/>
  <c r="AS40" i="64"/>
  <c r="AQ40" i="64"/>
  <c r="R40" i="64"/>
  <c r="Q40" i="64"/>
  <c r="AS44" i="64"/>
  <c r="AQ44" i="64"/>
  <c r="R44" i="64"/>
  <c r="Q44" i="64"/>
  <c r="AQ79" i="64"/>
  <c r="R79" i="64"/>
  <c r="Q79" i="64"/>
  <c r="AS79" i="64"/>
  <c r="AQ62" i="64"/>
  <c r="AW62" i="64" s="1"/>
  <c r="R62" i="64"/>
  <c r="AS62" i="64"/>
  <c r="AS66" i="64"/>
  <c r="AQ66" i="64"/>
  <c r="AW66" i="64" s="1"/>
  <c r="R66" i="64"/>
  <c r="R27" i="64"/>
  <c r="AS27" i="64"/>
  <c r="Q27" i="64"/>
  <c r="AQ27" i="64"/>
  <c r="AS7" i="64"/>
  <c r="R7" i="64"/>
  <c r="AQ7" i="64"/>
  <c r="Q7" i="64"/>
  <c r="AH127" i="64"/>
  <c r="AU127" i="64" s="1"/>
  <c r="AU106" i="64"/>
  <c r="AQ3" i="64"/>
  <c r="X127" i="64"/>
  <c r="AS93" i="64"/>
  <c r="AQ93" i="64"/>
  <c r="R93" i="64"/>
  <c r="Q93" i="64"/>
  <c r="AQ80" i="64"/>
  <c r="AS54" i="64"/>
  <c r="AQ54" i="64"/>
  <c r="R54" i="64"/>
  <c r="Q54" i="64"/>
  <c r="AS46" i="64"/>
  <c r="AQ46" i="64"/>
  <c r="AW46" i="64" s="1"/>
  <c r="R46" i="64"/>
  <c r="AS45" i="64"/>
  <c r="AQ45" i="64"/>
  <c r="R45" i="64"/>
  <c r="Q45" i="64"/>
  <c r="AS25" i="64"/>
  <c r="AQ25" i="64"/>
  <c r="AW25" i="64" s="1"/>
  <c r="R25" i="64"/>
  <c r="AS5" i="64"/>
  <c r="R5" i="64"/>
  <c r="AQ5" i="64"/>
  <c r="Q5" i="64"/>
  <c r="Q26" i="64"/>
  <c r="AS26" i="64"/>
  <c r="R26" i="64"/>
  <c r="AQ26" i="64"/>
  <c r="AS91" i="64"/>
  <c r="AQ91" i="64"/>
  <c r="R91" i="64"/>
  <c r="Q91" i="64"/>
  <c r="L3" i="64"/>
  <c r="Q28" i="64"/>
  <c r="AS28" i="64"/>
  <c r="R28" i="64"/>
  <c r="AQ28" i="64"/>
  <c r="AS89" i="64"/>
  <c r="AQ89" i="64"/>
  <c r="R89" i="64"/>
  <c r="Q89" i="64"/>
  <c r="AS12" i="64"/>
  <c r="R12" i="64"/>
  <c r="Q12" i="64"/>
  <c r="AQ12" i="64"/>
  <c r="AH24" i="57"/>
  <c r="AF24" i="57"/>
  <c r="AE24" i="57"/>
  <c r="F24" i="57"/>
  <c r="AK24" i="57"/>
  <c r="J106" i="61"/>
  <c r="AX5" i="65" l="1"/>
  <c r="AZ5" i="65"/>
  <c r="AX99" i="65"/>
  <c r="AV73" i="65" a="1"/>
  <c r="AV73" i="65" s="1"/>
  <c r="C78" i="67"/>
  <c r="AV103" i="65" a="1"/>
  <c r="AV103" i="65" s="1"/>
  <c r="C72" i="67"/>
  <c r="AV85" i="65" a="1"/>
  <c r="AV85" i="65" s="1"/>
  <c r="AW85" i="65" s="1"/>
  <c r="C93" i="67"/>
  <c r="AV50" i="65" a="1"/>
  <c r="AV50" i="65" s="1"/>
  <c r="AZ50" i="65" s="1"/>
  <c r="C20" i="67"/>
  <c r="AV48" i="65" a="1"/>
  <c r="AV48" i="65" s="1"/>
  <c r="AW48" i="65" s="1"/>
  <c r="C17" i="67"/>
  <c r="AV25" i="65" a="1"/>
  <c r="AV25" i="65" s="1"/>
  <c r="AZ25" i="65" s="1"/>
  <c r="C46" i="67"/>
  <c r="AV81" i="65" a="1"/>
  <c r="AV81" i="65" s="1"/>
  <c r="AX81" i="65" s="1"/>
  <c r="C82" i="67"/>
  <c r="AV89" i="65" a="1"/>
  <c r="AV89" i="65" s="1"/>
  <c r="AW89" i="65" s="1"/>
  <c r="C26" i="67"/>
  <c r="AV71" i="65" a="1"/>
  <c r="AV71" i="65" s="1"/>
  <c r="AW71" i="65" s="1"/>
  <c r="C43" i="67"/>
  <c r="AV57" i="65" a="1"/>
  <c r="AV57" i="65" s="1"/>
  <c r="AX57" i="65" s="1"/>
  <c r="C57" i="67"/>
  <c r="AV20" i="65" a="1"/>
  <c r="AV20" i="65" s="1"/>
  <c r="AW20" i="65" s="1"/>
  <c r="C106" i="67"/>
  <c r="AV19" i="65" a="1"/>
  <c r="AV19" i="65" s="1"/>
  <c r="C44" i="67"/>
  <c r="AV51" i="65" a="1"/>
  <c r="AV51" i="65" s="1"/>
  <c r="C77" i="67"/>
  <c r="AV52" i="65" a="1"/>
  <c r="AV52" i="65" s="1"/>
  <c r="AW52" i="65" s="1"/>
  <c r="C103" i="67"/>
  <c r="AV102" i="65" a="1"/>
  <c r="AV102" i="65" s="1"/>
  <c r="AZ102" i="65" s="1"/>
  <c r="C94" i="67"/>
  <c r="AV82" i="65" a="1"/>
  <c r="AV82" i="65" s="1"/>
  <c r="C102" i="67"/>
  <c r="AV90" i="65" a="1"/>
  <c r="AV90" i="65" s="1"/>
  <c r="C87" i="67"/>
  <c r="AV55" i="65" a="1"/>
  <c r="AV55" i="65" s="1"/>
  <c r="AZ55" i="65" s="1"/>
  <c r="C55" i="67"/>
  <c r="AV63" i="65" a="1"/>
  <c r="AV63" i="65" s="1"/>
  <c r="AZ63" i="65" s="1"/>
  <c r="C60" i="67"/>
  <c r="AV17" i="65" a="1"/>
  <c r="AV17" i="65" s="1"/>
  <c r="AW17" i="65" s="1"/>
  <c r="C24" i="67"/>
  <c r="AV16" i="65" a="1"/>
  <c r="AV16" i="65" s="1"/>
  <c r="AZ16" i="65" s="1"/>
  <c r="C9" i="67"/>
  <c r="AV66" i="65" a="1"/>
  <c r="AV66" i="65" s="1"/>
  <c r="C79" i="67"/>
  <c r="AV92" i="65" a="1"/>
  <c r="AV92" i="65" s="1"/>
  <c r="AW92" i="65" s="1"/>
  <c r="C42" i="67"/>
  <c r="AV68" i="65" a="1"/>
  <c r="AV68" i="65" s="1"/>
  <c r="C63" i="67"/>
  <c r="AV84" i="65" a="1"/>
  <c r="AV84" i="65" s="1"/>
  <c r="AW84" i="65" s="1"/>
  <c r="C37" i="67"/>
  <c r="AV61" i="65" a="1"/>
  <c r="AV61" i="65" s="1"/>
  <c r="AZ61" i="65" s="1"/>
  <c r="C98" i="67"/>
  <c r="AV26" i="65" a="1"/>
  <c r="AV26" i="65" s="1"/>
  <c r="AZ26" i="65" s="1"/>
  <c r="C28" i="67"/>
  <c r="AV74" i="65" a="1"/>
  <c r="AV74" i="65" s="1"/>
  <c r="AX74" i="65" s="1"/>
  <c r="C66" i="67"/>
  <c r="AV56" i="65" a="1"/>
  <c r="AV56" i="65" s="1"/>
  <c r="AZ56" i="65" s="1"/>
  <c r="C56" i="67"/>
  <c r="AV75" i="65" a="1"/>
  <c r="AV75" i="65" s="1"/>
  <c r="AX75" i="65" s="1"/>
  <c r="C38" i="67"/>
  <c r="AE26" i="3"/>
  <c r="K110" i="67"/>
  <c r="L4" i="67"/>
  <c r="AV95" i="65" a="1"/>
  <c r="AV95" i="65" s="1"/>
  <c r="C68" i="67"/>
  <c r="AV101" i="65" a="1"/>
  <c r="AV101" i="65" s="1"/>
  <c r="C71" i="67"/>
  <c r="AV14" i="65" a="1"/>
  <c r="AV14" i="65" s="1"/>
  <c r="AZ14" i="65" s="1"/>
  <c r="C15" i="67"/>
  <c r="AV53" i="65" a="1"/>
  <c r="AV53" i="65" s="1"/>
  <c r="AW53" i="65" s="1"/>
  <c r="C108" i="67"/>
  <c r="AV72" i="65" a="1"/>
  <c r="AV72" i="65" s="1"/>
  <c r="AZ72" i="65" s="1"/>
  <c r="C65" i="67"/>
  <c r="AV23" i="65" a="1"/>
  <c r="AV23" i="65" s="1"/>
  <c r="C45" i="67"/>
  <c r="AV29" i="65" a="1"/>
  <c r="AV29" i="65" s="1"/>
  <c r="AZ29" i="65" s="1"/>
  <c r="C47" i="67"/>
  <c r="AF26" i="3"/>
  <c r="AV98" i="65" a="1"/>
  <c r="AV98" i="65" s="1"/>
  <c r="C80" i="67"/>
  <c r="AV70" i="65" a="1"/>
  <c r="AV70" i="65" s="1"/>
  <c r="AZ70" i="65" s="1"/>
  <c r="C64" i="67"/>
  <c r="AV21" i="65" a="1"/>
  <c r="AV21" i="65" s="1"/>
  <c r="AZ21" i="65" s="1"/>
  <c r="C109" i="67"/>
  <c r="AV60" i="65" a="1"/>
  <c r="AV60" i="65" s="1"/>
  <c r="AZ60" i="65" s="1"/>
  <c r="C95" i="67"/>
  <c r="AV59" i="65" a="1"/>
  <c r="AV59" i="65" s="1"/>
  <c r="AZ59" i="65" s="1"/>
  <c r="C58" i="67"/>
  <c r="AV46" i="65" a="1"/>
  <c r="AV46" i="65" s="1"/>
  <c r="AZ46" i="65" s="1"/>
  <c r="C54" i="67"/>
  <c r="AV49" i="65" a="1"/>
  <c r="AV49" i="65" s="1"/>
  <c r="AX49" i="65" s="1"/>
  <c r="C21" i="67"/>
  <c r="AV77" i="65" a="1"/>
  <c r="AV77" i="65" s="1"/>
  <c r="AZ77" i="65" s="1"/>
  <c r="C107" i="67"/>
  <c r="AV97" i="65" a="1"/>
  <c r="AV97" i="65" s="1"/>
  <c r="C89" i="67"/>
  <c r="AV47" i="65" a="1"/>
  <c r="AV47" i="65" s="1"/>
  <c r="AW47" i="65" s="1"/>
  <c r="C25" i="67"/>
  <c r="AV54" i="65" a="1"/>
  <c r="AV54" i="65" s="1"/>
  <c r="AZ54" i="65" s="1"/>
  <c r="C34" i="67"/>
  <c r="AV22" i="65" a="1"/>
  <c r="AV22" i="65" s="1"/>
  <c r="AZ22" i="65" s="1"/>
  <c r="C105" i="67"/>
  <c r="AV62" i="65" a="1"/>
  <c r="AV62" i="65" s="1"/>
  <c r="AZ62" i="65" s="1"/>
  <c r="C59" i="67"/>
  <c r="AV15" i="65" a="1"/>
  <c r="AV15" i="65" s="1"/>
  <c r="AZ15" i="65" s="1"/>
  <c r="C18" i="67"/>
  <c r="AV13" i="65" a="1"/>
  <c r="AV13" i="65" s="1"/>
  <c r="AW13" i="65" s="1"/>
  <c r="C6" i="67"/>
  <c r="AV76" i="65" a="1"/>
  <c r="AV76" i="65" s="1"/>
  <c r="AZ76" i="65" s="1"/>
  <c r="C81" i="67"/>
  <c r="AV88" i="65" a="1"/>
  <c r="AV88" i="65" s="1"/>
  <c r="AZ88" i="65" s="1"/>
  <c r="C97" i="67"/>
  <c r="AV67" i="65" a="1"/>
  <c r="AV67" i="65" s="1"/>
  <c r="AX67" i="65" s="1"/>
  <c r="C62" i="67"/>
  <c r="AV27" i="65" a="1"/>
  <c r="AV27" i="65" s="1"/>
  <c r="AZ27" i="65" s="1"/>
  <c r="C96" i="67"/>
  <c r="AV65" i="65" a="1"/>
  <c r="AV65" i="65" s="1"/>
  <c r="AZ65" i="65" s="1"/>
  <c r="C39" i="67"/>
  <c r="AV24" i="65" a="1"/>
  <c r="AV24" i="65" s="1"/>
  <c r="AZ24" i="65" s="1"/>
  <c r="C33" i="67"/>
  <c r="AV18" i="65" a="1"/>
  <c r="AV18" i="65" s="1"/>
  <c r="AZ18" i="65" s="1"/>
  <c r="C22" i="67"/>
  <c r="AV58" i="65" a="1"/>
  <c r="AV58" i="65" s="1"/>
  <c r="AZ58" i="65" s="1"/>
  <c r="C104" i="67"/>
  <c r="AV11" i="65" a="1"/>
  <c r="AV11" i="65" s="1"/>
  <c r="AX11" i="65" s="1"/>
  <c r="C14" i="67"/>
  <c r="AW50" i="65"/>
  <c r="AW14" i="65"/>
  <c r="AZ13" i="65"/>
  <c r="AW49" i="65"/>
  <c r="AW75" i="65"/>
  <c r="AW15" i="65"/>
  <c r="AW16" i="65"/>
  <c r="AZ57" i="65"/>
  <c r="F17" i="69"/>
  <c r="E18" i="69"/>
  <c r="M14" i="69"/>
  <c r="G14" i="69" s="1"/>
  <c r="L15" i="69"/>
  <c r="AC110" i="65"/>
  <c r="AC131" i="65" s="1"/>
  <c r="AZ49" i="65"/>
  <c r="AO110" i="65"/>
  <c r="AO131" i="65" s="1"/>
  <c r="AX21" i="65"/>
  <c r="AX69" i="65"/>
  <c r="AX66" i="65"/>
  <c r="AZ66" i="65"/>
  <c r="AX61" i="65"/>
  <c r="AZ74" i="65"/>
  <c r="AX59" i="65"/>
  <c r="AX25" i="65"/>
  <c r="AX55" i="65"/>
  <c r="AZ51" i="65"/>
  <c r="AX51" i="65"/>
  <c r="AZ23" i="65"/>
  <c r="AX23" i="65"/>
  <c r="AZ17" i="65"/>
  <c r="AX17" i="65"/>
  <c r="AZ52" i="65"/>
  <c r="AX52" i="65"/>
  <c r="AZ75" i="65"/>
  <c r="AX50" i="65"/>
  <c r="AX29" i="65"/>
  <c r="AX16" i="65"/>
  <c r="AX47" i="65"/>
  <c r="AX20" i="65"/>
  <c r="AX72" i="65"/>
  <c r="AX18" i="65"/>
  <c r="AZ53" i="65"/>
  <c r="AX53" i="65"/>
  <c r="AX48" i="65"/>
  <c r="AZ48" i="65"/>
  <c r="AZ19" i="65"/>
  <c r="AX19" i="65"/>
  <c r="AX14" i="65"/>
  <c r="AX89" i="65"/>
  <c r="AZ89" i="65"/>
  <c r="AX71" i="65"/>
  <c r="AZ71" i="65"/>
  <c r="AZ95" i="65"/>
  <c r="AX95" i="65"/>
  <c r="AZ82" i="65"/>
  <c r="AX82" i="65"/>
  <c r="AZ73" i="65"/>
  <c r="AX73" i="65"/>
  <c r="AX98" i="65"/>
  <c r="AZ98" i="65"/>
  <c r="AZ68" i="65"/>
  <c r="AX68" i="65"/>
  <c r="AZ101" i="65"/>
  <c r="AX101" i="65"/>
  <c r="AX90" i="65"/>
  <c r="AZ90" i="65"/>
  <c r="AX85" i="65"/>
  <c r="AX70" i="65"/>
  <c r="AZ84" i="65"/>
  <c r="AX84" i="65"/>
  <c r="AZ97" i="65"/>
  <c r="AX97" i="65"/>
  <c r="AZ103" i="65"/>
  <c r="AX103" i="65"/>
  <c r="AX88" i="65"/>
  <c r="AZ67" i="65"/>
  <c r="AX102" i="65"/>
  <c r="G12" i="66"/>
  <c r="M13" i="66"/>
  <c r="G13" i="66" s="1"/>
  <c r="L14" i="66"/>
  <c r="F14" i="66"/>
  <c r="E15" i="66"/>
  <c r="AA127" i="64"/>
  <c r="AF127" i="64" s="1"/>
  <c r="AC71" i="64"/>
  <c r="AC57" i="64"/>
  <c r="AC9" i="64"/>
  <c r="AC17" i="64"/>
  <c r="AC33" i="64"/>
  <c r="AC89" i="64"/>
  <c r="AC25" i="64"/>
  <c r="AC87" i="64"/>
  <c r="AC65" i="64"/>
  <c r="AC62" i="64"/>
  <c r="AC47" i="64"/>
  <c r="AC26" i="64"/>
  <c r="AC73" i="64"/>
  <c r="AC76" i="64"/>
  <c r="AC77" i="64"/>
  <c r="AC29" i="64"/>
  <c r="AC36" i="64"/>
  <c r="AC53" i="64"/>
  <c r="AC82" i="64"/>
  <c r="AC56" i="64"/>
  <c r="AC16" i="64"/>
  <c r="AC101" i="64"/>
  <c r="AC99" i="64"/>
  <c r="AC37" i="64"/>
  <c r="AC19" i="64"/>
  <c r="AC34" i="64"/>
  <c r="AC23" i="64"/>
  <c r="AC50" i="64"/>
  <c r="AC30" i="64"/>
  <c r="AC6" i="64"/>
  <c r="AC8" i="64"/>
  <c r="AC43" i="64"/>
  <c r="AC97" i="64"/>
  <c r="AC83" i="64"/>
  <c r="AC61" i="64"/>
  <c r="AC35" i="64"/>
  <c r="AC70" i="64"/>
  <c r="AC49" i="64"/>
  <c r="AC80" i="64"/>
  <c r="AC22" i="64"/>
  <c r="AC5" i="64"/>
  <c r="AC63" i="64"/>
  <c r="AC94" i="64"/>
  <c r="AC54" i="64"/>
  <c r="AC42" i="64"/>
  <c r="AC31" i="64"/>
  <c r="AC103" i="64"/>
  <c r="AC91" i="64"/>
  <c r="AC98" i="64"/>
  <c r="AC95" i="64"/>
  <c r="AC93" i="64"/>
  <c r="AC4" i="64"/>
  <c r="AC58" i="64"/>
  <c r="AC27" i="64"/>
  <c r="AC51" i="64"/>
  <c r="AC59" i="64"/>
  <c r="AC45" i="64"/>
  <c r="AC48" i="64"/>
  <c r="AC66" i="64"/>
  <c r="AC15" i="64"/>
  <c r="AC85" i="64"/>
  <c r="AC79" i="64"/>
  <c r="AC13" i="64"/>
  <c r="AC75" i="64"/>
  <c r="AC52" i="64"/>
  <c r="AC11" i="64"/>
  <c r="AC60" i="64"/>
  <c r="AC68" i="64"/>
  <c r="AC21" i="64"/>
  <c r="AC69" i="64"/>
  <c r="AC44" i="64"/>
  <c r="AC84" i="64"/>
  <c r="AC67" i="64"/>
  <c r="AC12" i="64"/>
  <c r="AC39" i="64"/>
  <c r="AC38" i="64"/>
  <c r="AC40" i="64"/>
  <c r="AC102" i="64"/>
  <c r="AC32" i="64"/>
  <c r="AC7" i="64"/>
  <c r="AC14" i="64"/>
  <c r="E106" i="64"/>
  <c r="E127" i="64" s="1"/>
  <c r="L106" i="64"/>
  <c r="L127" i="64" s="1"/>
  <c r="AO130" i="65"/>
  <c r="AV28" i="65"/>
  <c r="AV3" i="65"/>
  <c r="AW3" i="65" s="1"/>
  <c r="AC130" i="65"/>
  <c r="AS105" i="64"/>
  <c r="AD127" i="64"/>
  <c r="AQ105" i="64"/>
  <c r="AI24" i="57"/>
  <c r="AJ24" i="57"/>
  <c r="AA104" i="60"/>
  <c r="AF104" i="60" s="1"/>
  <c r="X104" i="60"/>
  <c r="U104" i="60"/>
  <c r="AD104" i="60" s="1"/>
  <c r="AX76" i="65" l="1"/>
  <c r="AZ85" i="65"/>
  <c r="AZ20" i="65"/>
  <c r="AZ11" i="65"/>
  <c r="AX60" i="65"/>
  <c r="AX13" i="65"/>
  <c r="AW77" i="65"/>
  <c r="AW26" i="65"/>
  <c r="C110" i="67"/>
  <c r="D52" i="67" s="1"/>
  <c r="AZ81" i="65"/>
  <c r="AX26" i="65"/>
  <c r="AZ47" i="65"/>
  <c r="AX56" i="65"/>
  <c r="AX27" i="65"/>
  <c r="AW22" i="65"/>
  <c r="AX92" i="65"/>
  <c r="AW102" i="65"/>
  <c r="AZ92" i="65"/>
  <c r="AX15" i="65"/>
  <c r="AW54" i="65"/>
  <c r="AX46" i="65"/>
  <c r="AW11" i="65"/>
  <c r="AX24" i="65"/>
  <c r="AX77" i="65"/>
  <c r="AX54" i="65"/>
  <c r="AX63" i="65"/>
  <c r="AX22" i="65"/>
  <c r="AX65" i="65"/>
  <c r="AW21" i="65"/>
  <c r="AW76" i="65"/>
  <c r="D109" i="67"/>
  <c r="D73" i="67"/>
  <c r="D90" i="67"/>
  <c r="D92" i="67"/>
  <c r="D86" i="67"/>
  <c r="D70" i="67"/>
  <c r="D10" i="67"/>
  <c r="D36" i="67"/>
  <c r="D23" i="67"/>
  <c r="D19" i="67"/>
  <c r="D5" i="67"/>
  <c r="D61" i="67"/>
  <c r="D50" i="67"/>
  <c r="D27" i="67"/>
  <c r="D83" i="67"/>
  <c r="D41" i="67"/>
  <c r="D12" i="67"/>
  <c r="D48" i="67"/>
  <c r="D31" i="67"/>
  <c r="D35" i="67"/>
  <c r="D100" i="67"/>
  <c r="D13" i="67"/>
  <c r="D99" i="67"/>
  <c r="D91" i="67"/>
  <c r="D16" i="67"/>
  <c r="D69" i="67"/>
  <c r="D11" i="67"/>
  <c r="D30" i="67"/>
  <c r="D51" i="67"/>
  <c r="D29" i="67"/>
  <c r="D85" i="67"/>
  <c r="D84" i="67"/>
  <c r="D49" i="67"/>
  <c r="D8" i="67"/>
  <c r="D32" i="67"/>
  <c r="D53" i="67"/>
  <c r="D76" i="67"/>
  <c r="D75" i="67"/>
  <c r="D74" i="67"/>
  <c r="D4" i="67"/>
  <c r="D7" i="67"/>
  <c r="D88" i="67"/>
  <c r="D40" i="67"/>
  <c r="D101" i="67"/>
  <c r="D67" i="67"/>
  <c r="D104" i="67"/>
  <c r="D96" i="67"/>
  <c r="D95" i="67"/>
  <c r="D45" i="67"/>
  <c r="D71" i="67"/>
  <c r="D66" i="67"/>
  <c r="D79" i="67"/>
  <c r="D55" i="67"/>
  <c r="D20" i="67"/>
  <c r="D59" i="67"/>
  <c r="D89" i="67"/>
  <c r="L5" i="67"/>
  <c r="M4" i="67"/>
  <c r="G4" i="67" s="1"/>
  <c r="D63" i="67"/>
  <c r="D77" i="67"/>
  <c r="D43" i="67"/>
  <c r="AX58" i="65"/>
  <c r="AW18" i="65"/>
  <c r="AW24" i="65"/>
  <c r="AW65" i="65"/>
  <c r="D22" i="67"/>
  <c r="D62" i="67"/>
  <c r="D21" i="67"/>
  <c r="D65" i="67"/>
  <c r="D68" i="67"/>
  <c r="D28" i="67"/>
  <c r="D9" i="67"/>
  <c r="D87" i="67"/>
  <c r="D93" i="67"/>
  <c r="D105" i="67"/>
  <c r="D107" i="67"/>
  <c r="D42" i="67"/>
  <c r="D44" i="67"/>
  <c r="D26" i="67"/>
  <c r="D46" i="67"/>
  <c r="D33" i="67"/>
  <c r="D97" i="67"/>
  <c r="D54" i="67"/>
  <c r="D64" i="67"/>
  <c r="D108" i="67"/>
  <c r="D38" i="67"/>
  <c r="D98" i="67"/>
  <c r="D24" i="67"/>
  <c r="D102" i="67"/>
  <c r="D72" i="67"/>
  <c r="D6" i="67"/>
  <c r="D34" i="67"/>
  <c r="D106" i="67"/>
  <c r="D82" i="67"/>
  <c r="AX62" i="65"/>
  <c r="D14" i="67"/>
  <c r="D39" i="67"/>
  <c r="D81" i="67"/>
  <c r="D58" i="67"/>
  <c r="D80" i="67"/>
  <c r="D47" i="67"/>
  <c r="D15" i="67"/>
  <c r="D56" i="67"/>
  <c r="D60" i="67"/>
  <c r="D94" i="67"/>
  <c r="D17" i="67"/>
  <c r="D78" i="67"/>
  <c r="D18" i="67"/>
  <c r="D25" i="67"/>
  <c r="D37" i="67"/>
  <c r="D103" i="67"/>
  <c r="D57" i="67"/>
  <c r="AV109" i="65"/>
  <c r="AW28" i="65"/>
  <c r="AW109" i="65" s="1"/>
  <c r="L16" i="69"/>
  <c r="M15" i="69"/>
  <c r="G15" i="69" s="1"/>
  <c r="F18" i="69"/>
  <c r="E19" i="69"/>
  <c r="E16" i="66"/>
  <c r="F15" i="66"/>
  <c r="M14" i="66"/>
  <c r="L15" i="66"/>
  <c r="AC96" i="64"/>
  <c r="AC81" i="64"/>
  <c r="AC72" i="64"/>
  <c r="AC92" i="64"/>
  <c r="AC104" i="64"/>
  <c r="AC18" i="64"/>
  <c r="AC10" i="64"/>
  <c r="AC24" i="64"/>
  <c r="AC106" i="64" s="1"/>
  <c r="AC127" i="64" s="1"/>
  <c r="AC78" i="64"/>
  <c r="AC55" i="64"/>
  <c r="AC3" i="64"/>
  <c r="AC88" i="64"/>
  <c r="AC90" i="64"/>
  <c r="AC100" i="64"/>
  <c r="AC20" i="64"/>
  <c r="AC28" i="64"/>
  <c r="AC64" i="64"/>
  <c r="AC41" i="64"/>
  <c r="AC86" i="64"/>
  <c r="AC74" i="64"/>
  <c r="AC46" i="64"/>
  <c r="AN106" i="64"/>
  <c r="AN127" i="64" s="1"/>
  <c r="AZ3" i="65"/>
  <c r="AX3" i="65"/>
  <c r="AZ28" i="65"/>
  <c r="AX28" i="65"/>
  <c r="AW67" i="64"/>
  <c r="AW51" i="64"/>
  <c r="AW94" i="64"/>
  <c r="AW30" i="64"/>
  <c r="AW37" i="64"/>
  <c r="X99" i="60"/>
  <c r="AA99" i="60"/>
  <c r="AF99" i="60" s="1"/>
  <c r="U100" i="60"/>
  <c r="AD100" i="60" s="1"/>
  <c r="X100" i="60"/>
  <c r="AA100" i="60"/>
  <c r="U101" i="60"/>
  <c r="AD101" i="60" s="1"/>
  <c r="AA101" i="60"/>
  <c r="AF101" i="60" s="1"/>
  <c r="U102" i="60"/>
  <c r="AD102" i="60" s="1"/>
  <c r="X102" i="60"/>
  <c r="AA102" i="60"/>
  <c r="AF102" i="60" s="1"/>
  <c r="U103" i="60"/>
  <c r="AD103" i="60" s="1"/>
  <c r="X103" i="60"/>
  <c r="AX109" i="65" l="1"/>
  <c r="L6" i="67"/>
  <c r="M5" i="67"/>
  <c r="D110" i="67"/>
  <c r="E4" i="67"/>
  <c r="E20" i="69"/>
  <c r="F19" i="69"/>
  <c r="L17" i="69"/>
  <c r="M16" i="69"/>
  <c r="G16" i="69" s="1"/>
  <c r="AZ110" i="65"/>
  <c r="AZ131" i="65" s="1"/>
  <c r="G14" i="66"/>
  <c r="G7" i="66"/>
  <c r="M15" i="66"/>
  <c r="L16" i="66"/>
  <c r="E17" i="66"/>
  <c r="F16" i="66"/>
  <c r="AF100" i="60"/>
  <c r="X101" i="60"/>
  <c r="AA103" i="60"/>
  <c r="AF103" i="60" s="1"/>
  <c r="U99" i="60"/>
  <c r="AD99" i="60" s="1"/>
  <c r="F4" i="67" l="1"/>
  <c r="E5" i="67"/>
  <c r="G6" i="67"/>
  <c r="M6" i="67"/>
  <c r="G7" i="67" s="1"/>
  <c r="L7" i="67"/>
  <c r="M17" i="69"/>
  <c r="G17" i="69" s="1"/>
  <c r="L18" i="69"/>
  <c r="E21" i="69"/>
  <c r="F20" i="69"/>
  <c r="F17" i="66"/>
  <c r="E18" i="66"/>
  <c r="M16" i="66"/>
  <c r="G16" i="66" s="1"/>
  <c r="L17" i="66"/>
  <c r="U49" i="60"/>
  <c r="AD49" i="60" s="1"/>
  <c r="X49" i="60"/>
  <c r="U50" i="60"/>
  <c r="AD50" i="60" s="1"/>
  <c r="X50" i="60"/>
  <c r="AA51" i="60"/>
  <c r="AF51" i="60" s="1"/>
  <c r="U52" i="60"/>
  <c r="AD52" i="60" s="1"/>
  <c r="X52" i="60"/>
  <c r="U53" i="60"/>
  <c r="AD53" i="60" s="1"/>
  <c r="AA53" i="60"/>
  <c r="AF53" i="60" s="1"/>
  <c r="X54" i="60"/>
  <c r="U55" i="60"/>
  <c r="AD55" i="60" s="1"/>
  <c r="AA55" i="60"/>
  <c r="AF55" i="60" s="1"/>
  <c r="X56" i="60"/>
  <c r="U57" i="60"/>
  <c r="AD57" i="60" s="1"/>
  <c r="AA57" i="60"/>
  <c r="AF57" i="60" s="1"/>
  <c r="X58" i="60"/>
  <c r="U59" i="60"/>
  <c r="AD59" i="60" s="1"/>
  <c r="AA59" i="60"/>
  <c r="AF59" i="60" s="1"/>
  <c r="X60" i="60"/>
  <c r="U61" i="60"/>
  <c r="AD61" i="60" s="1"/>
  <c r="AA61" i="60"/>
  <c r="X62" i="60"/>
  <c r="U63" i="60"/>
  <c r="AD63" i="60" s="1"/>
  <c r="AA63" i="60"/>
  <c r="AF63" i="60" s="1"/>
  <c r="X64" i="60"/>
  <c r="X66" i="60"/>
  <c r="AA67" i="60"/>
  <c r="AF67" i="60" s="1"/>
  <c r="X68" i="60"/>
  <c r="U69" i="60"/>
  <c r="AD69" i="60" s="1"/>
  <c r="X70" i="60"/>
  <c r="U71" i="60"/>
  <c r="AD71" i="60" s="1"/>
  <c r="AA71" i="60"/>
  <c r="AF71" i="60" s="1"/>
  <c r="X72" i="60"/>
  <c r="U73" i="60"/>
  <c r="AD73" i="60" s="1"/>
  <c r="AA73" i="60"/>
  <c r="L8" i="67" l="1"/>
  <c r="M7" i="67"/>
  <c r="G8" i="67" s="1"/>
  <c r="F5" i="67"/>
  <c r="E6" i="67"/>
  <c r="F21" i="69"/>
  <c r="E22" i="69"/>
  <c r="M18" i="69"/>
  <c r="G18" i="69" s="1"/>
  <c r="L19" i="69"/>
  <c r="L18" i="66"/>
  <c r="M17" i="66"/>
  <c r="G17" i="66" s="1"/>
  <c r="F18" i="66"/>
  <c r="E19" i="66"/>
  <c r="U72" i="60"/>
  <c r="AD72" i="60" s="1"/>
  <c r="X71" i="60"/>
  <c r="AA70" i="60"/>
  <c r="AF70" i="60" s="1"/>
  <c r="U68" i="60"/>
  <c r="AD68" i="60" s="1"/>
  <c r="X67" i="60"/>
  <c r="AA66" i="60"/>
  <c r="AF66" i="60" s="1"/>
  <c r="U64" i="60"/>
  <c r="AD64" i="60" s="1"/>
  <c r="X63" i="60"/>
  <c r="AA62" i="60"/>
  <c r="AF62" i="60" s="1"/>
  <c r="U60" i="60"/>
  <c r="AD60" i="60" s="1"/>
  <c r="X59" i="60"/>
  <c r="AA58" i="60"/>
  <c r="AF58" i="60" s="1"/>
  <c r="U56" i="60"/>
  <c r="AD56" i="60" s="1"/>
  <c r="X55" i="60"/>
  <c r="AA54" i="60"/>
  <c r="AF54" i="60" s="1"/>
  <c r="X51" i="60"/>
  <c r="AA50" i="60"/>
  <c r="AF50" i="60" s="1"/>
  <c r="U67" i="60"/>
  <c r="AD67" i="60" s="1"/>
  <c r="U51" i="60"/>
  <c r="AD51" i="60" s="1"/>
  <c r="AA49" i="60"/>
  <c r="AF49" i="60" s="1"/>
  <c r="AA69" i="60"/>
  <c r="AF69" i="60" s="1"/>
  <c r="AA65" i="60"/>
  <c r="AF65" i="60" s="1"/>
  <c r="AF61" i="60"/>
  <c r="AA74" i="60"/>
  <c r="AF74" i="60" s="1"/>
  <c r="AF73" i="60"/>
  <c r="X74" i="60"/>
  <c r="U74" i="60"/>
  <c r="AD74" i="60" s="1"/>
  <c r="X73" i="60"/>
  <c r="AA72" i="60"/>
  <c r="AF72" i="60" s="1"/>
  <c r="U70" i="60"/>
  <c r="AD70" i="60" s="1"/>
  <c r="X69" i="60"/>
  <c r="AA68" i="60"/>
  <c r="AF68" i="60" s="1"/>
  <c r="U66" i="60"/>
  <c r="AD66" i="60" s="1"/>
  <c r="X65" i="60"/>
  <c r="AA64" i="60"/>
  <c r="AF64" i="60" s="1"/>
  <c r="U62" i="60"/>
  <c r="AD62" i="60" s="1"/>
  <c r="X61" i="60"/>
  <c r="AA60" i="60"/>
  <c r="AF60" i="60" s="1"/>
  <c r="U58" i="60"/>
  <c r="AD58" i="60" s="1"/>
  <c r="X57" i="60"/>
  <c r="AA56" i="60"/>
  <c r="AF56" i="60" s="1"/>
  <c r="U54" i="60"/>
  <c r="AD54" i="60" s="1"/>
  <c r="X53" i="60"/>
  <c r="AA52" i="60"/>
  <c r="AF52" i="60" s="1"/>
  <c r="U65" i="60"/>
  <c r="AD65" i="60" s="1"/>
  <c r="U89" i="60"/>
  <c r="AD89" i="60" s="1"/>
  <c r="X89" i="60"/>
  <c r="AA89" i="60"/>
  <c r="U90" i="60"/>
  <c r="AD90" i="60" s="1"/>
  <c r="X90" i="60"/>
  <c r="U91" i="60"/>
  <c r="AD91" i="60" s="1"/>
  <c r="U93" i="60"/>
  <c r="AD93" i="60" s="1"/>
  <c r="X93" i="60"/>
  <c r="AA93" i="60"/>
  <c r="AF93" i="60" s="1"/>
  <c r="X35" i="60"/>
  <c r="U36" i="60"/>
  <c r="AD36" i="60" s="1"/>
  <c r="U38" i="60"/>
  <c r="AD38" i="60" s="1"/>
  <c r="X38" i="60"/>
  <c r="AA38" i="60"/>
  <c r="AF38" i="60" s="1"/>
  <c r="U39" i="60"/>
  <c r="AD39" i="60" s="1"/>
  <c r="X39" i="60"/>
  <c r="AA39" i="60"/>
  <c r="U40" i="60"/>
  <c r="AD40" i="60" s="1"/>
  <c r="X40" i="60"/>
  <c r="F6" i="67" l="1"/>
  <c r="E7" i="67"/>
  <c r="L9" i="67"/>
  <c r="M8" i="67"/>
  <c r="G5" i="67" s="1"/>
  <c r="M19" i="69"/>
  <c r="G19" i="69" s="1"/>
  <c r="L20" i="69"/>
  <c r="F22" i="69"/>
  <c r="E23" i="69"/>
  <c r="E20" i="66"/>
  <c r="F19" i="66"/>
  <c r="M18" i="66"/>
  <c r="L19" i="66"/>
  <c r="U35" i="60"/>
  <c r="AD35" i="60" s="1"/>
  <c r="AA37" i="60"/>
  <c r="AF37" i="60" s="1"/>
  <c r="AA92" i="60"/>
  <c r="AF92" i="60" s="1"/>
  <c r="X37" i="60"/>
  <c r="AA36" i="60"/>
  <c r="AF36" i="60" s="1"/>
  <c r="X92" i="60"/>
  <c r="AA91" i="60"/>
  <c r="AF91" i="60" s="1"/>
  <c r="AA40" i="60"/>
  <c r="AF40" i="60" s="1"/>
  <c r="U37" i="60"/>
  <c r="AD37" i="60" s="1"/>
  <c r="X36" i="60"/>
  <c r="AA35" i="60"/>
  <c r="AF35" i="60" s="1"/>
  <c r="U92" i="60"/>
  <c r="AD92" i="60" s="1"/>
  <c r="X91" i="60"/>
  <c r="AA90" i="60"/>
  <c r="AF90" i="60" s="1"/>
  <c r="AF39" i="60"/>
  <c r="AF89" i="60"/>
  <c r="M9" i="67" l="1"/>
  <c r="L10" i="67"/>
  <c r="E8" i="67"/>
  <c r="F7" i="67"/>
  <c r="F23" i="69"/>
  <c r="E24" i="69"/>
  <c r="M20" i="69"/>
  <c r="G20" i="69" s="1"/>
  <c r="L21" i="69"/>
  <c r="G15" i="66"/>
  <c r="F20" i="66"/>
  <c r="E21" i="66"/>
  <c r="L20" i="66"/>
  <c r="M19" i="66"/>
  <c r="U4" i="60"/>
  <c r="AD4" i="60" s="1"/>
  <c r="X4" i="60"/>
  <c r="AA4" i="60"/>
  <c r="AF4" i="60" s="1"/>
  <c r="U5" i="60"/>
  <c r="AD5" i="60" s="1"/>
  <c r="X5" i="60"/>
  <c r="AA5" i="60"/>
  <c r="U6" i="60"/>
  <c r="AD6" i="60" s="1"/>
  <c r="X6" i="60"/>
  <c r="AA6" i="60"/>
  <c r="U7" i="60"/>
  <c r="AD7" i="60" s="1"/>
  <c r="X7" i="60"/>
  <c r="AA7" i="60"/>
  <c r="U8" i="60"/>
  <c r="AD8" i="60" s="1"/>
  <c r="X8" i="60"/>
  <c r="AA8" i="60"/>
  <c r="AF8" i="60" s="1"/>
  <c r="U9" i="60"/>
  <c r="AD9" i="60" s="1"/>
  <c r="X9" i="60"/>
  <c r="AA9" i="60"/>
  <c r="AF9" i="60" s="1"/>
  <c r="U10" i="60"/>
  <c r="AD10" i="60" s="1"/>
  <c r="X10" i="60"/>
  <c r="AA10" i="60"/>
  <c r="AF10" i="60" s="1"/>
  <c r="U11" i="60"/>
  <c r="AD11" i="60" s="1"/>
  <c r="X11" i="60"/>
  <c r="AA11" i="60"/>
  <c r="AF11" i="60" s="1"/>
  <c r="U12" i="60"/>
  <c r="AD12" i="60" s="1"/>
  <c r="X12" i="60"/>
  <c r="AA12" i="60"/>
  <c r="AF12" i="60" s="1"/>
  <c r="U13" i="60"/>
  <c r="AD13" i="60" s="1"/>
  <c r="X13" i="60"/>
  <c r="AA13" i="60"/>
  <c r="AF13" i="60" s="1"/>
  <c r="U14" i="60"/>
  <c r="AD14" i="60" s="1"/>
  <c r="X14" i="60"/>
  <c r="AA14" i="60"/>
  <c r="U15" i="60"/>
  <c r="AD15" i="60" s="1"/>
  <c r="X15" i="60"/>
  <c r="AA15" i="60"/>
  <c r="U16" i="60"/>
  <c r="AD16" i="60" s="1"/>
  <c r="X16" i="60"/>
  <c r="AA16" i="60"/>
  <c r="U17" i="60"/>
  <c r="AD17" i="60" s="1"/>
  <c r="X17" i="60"/>
  <c r="AA17" i="60"/>
  <c r="AF17" i="60" s="1"/>
  <c r="U18" i="60"/>
  <c r="AD18" i="60" s="1"/>
  <c r="X18" i="60"/>
  <c r="AA18" i="60"/>
  <c r="AF18" i="60" s="1"/>
  <c r="U19" i="60"/>
  <c r="AD19" i="60" s="1"/>
  <c r="X19" i="60"/>
  <c r="AA19" i="60"/>
  <c r="AF19" i="60" s="1"/>
  <c r="U20" i="60"/>
  <c r="AD20" i="60" s="1"/>
  <c r="X20" i="60"/>
  <c r="AA20" i="60"/>
  <c r="AF20" i="60" s="1"/>
  <c r="U21" i="60"/>
  <c r="AD21" i="60" s="1"/>
  <c r="X21" i="60"/>
  <c r="AA21" i="60"/>
  <c r="AF21" i="60" s="1"/>
  <c r="U22" i="60"/>
  <c r="AD22" i="60" s="1"/>
  <c r="X22" i="60"/>
  <c r="AA22" i="60"/>
  <c r="U23" i="60"/>
  <c r="AD23" i="60" s="1"/>
  <c r="X23" i="60"/>
  <c r="AA23" i="60"/>
  <c r="AF23" i="60" s="1"/>
  <c r="U24" i="60"/>
  <c r="AD24" i="60" s="1"/>
  <c r="X24" i="60"/>
  <c r="AA24" i="60"/>
  <c r="U25" i="60"/>
  <c r="AD25" i="60" s="1"/>
  <c r="X25" i="60"/>
  <c r="AA25" i="60"/>
  <c r="AF25" i="60" s="1"/>
  <c r="U26" i="60"/>
  <c r="AD26" i="60" s="1"/>
  <c r="X26" i="60"/>
  <c r="AA26" i="60"/>
  <c r="AF26" i="60" s="1"/>
  <c r="U27" i="60"/>
  <c r="AD27" i="60" s="1"/>
  <c r="X27" i="60"/>
  <c r="AA27" i="60"/>
  <c r="AF27" i="60" s="1"/>
  <c r="U28" i="60"/>
  <c r="AD28" i="60" s="1"/>
  <c r="X28" i="60"/>
  <c r="AA28" i="60"/>
  <c r="AF28" i="60" s="1"/>
  <c r="U29" i="60"/>
  <c r="AD29" i="60" s="1"/>
  <c r="X29" i="60"/>
  <c r="AA29" i="60"/>
  <c r="AF29" i="60" s="1"/>
  <c r="U30" i="60"/>
  <c r="AD30" i="60" s="1"/>
  <c r="X30" i="60"/>
  <c r="AA30" i="60"/>
  <c r="AF30" i="60" s="1"/>
  <c r="U31" i="60"/>
  <c r="AD31" i="60" s="1"/>
  <c r="X31" i="60"/>
  <c r="AA31" i="60"/>
  <c r="AF31" i="60" s="1"/>
  <c r="U32" i="60"/>
  <c r="AD32" i="60" s="1"/>
  <c r="X32" i="60"/>
  <c r="AA32" i="60"/>
  <c r="AF32" i="60" s="1"/>
  <c r="U33" i="60"/>
  <c r="AD33" i="60" s="1"/>
  <c r="X33" i="60"/>
  <c r="AA33" i="60"/>
  <c r="AF33" i="60" s="1"/>
  <c r="U34" i="60"/>
  <c r="AD34" i="60" s="1"/>
  <c r="X34" i="60"/>
  <c r="AA34" i="60"/>
  <c r="AF34" i="60" s="1"/>
  <c r="U41" i="60"/>
  <c r="AD41" i="60" s="1"/>
  <c r="X41" i="60"/>
  <c r="AA41" i="60"/>
  <c r="AF41" i="60" s="1"/>
  <c r="U42" i="60"/>
  <c r="AD42" i="60" s="1"/>
  <c r="X42" i="60"/>
  <c r="AA42" i="60"/>
  <c r="AF42" i="60" s="1"/>
  <c r="U43" i="60"/>
  <c r="AD43" i="60" s="1"/>
  <c r="X43" i="60"/>
  <c r="AA43" i="60"/>
  <c r="AF43" i="60" s="1"/>
  <c r="U44" i="60"/>
  <c r="AD44" i="60" s="1"/>
  <c r="X44" i="60"/>
  <c r="AA44" i="60"/>
  <c r="AF44" i="60" s="1"/>
  <c r="U45" i="60"/>
  <c r="AD45" i="60" s="1"/>
  <c r="X45" i="60"/>
  <c r="AA45" i="60"/>
  <c r="AF45" i="60" s="1"/>
  <c r="U46" i="60"/>
  <c r="AD46" i="60" s="1"/>
  <c r="X46" i="60"/>
  <c r="AA46" i="60"/>
  <c r="AF46" i="60" s="1"/>
  <c r="U47" i="60"/>
  <c r="AD47" i="60" s="1"/>
  <c r="X47" i="60"/>
  <c r="AA47" i="60"/>
  <c r="U48" i="60"/>
  <c r="AD48" i="60" s="1"/>
  <c r="X48" i="60"/>
  <c r="AA48" i="60"/>
  <c r="U75" i="60"/>
  <c r="AD75" i="60" s="1"/>
  <c r="X75" i="60"/>
  <c r="AA75" i="60"/>
  <c r="U76" i="60"/>
  <c r="AD76" i="60" s="1"/>
  <c r="X76" i="60"/>
  <c r="AA76" i="60"/>
  <c r="AF76" i="60" s="1"/>
  <c r="U77" i="60"/>
  <c r="AD77" i="60" s="1"/>
  <c r="X77" i="60"/>
  <c r="AA77" i="60"/>
  <c r="AF77" i="60" s="1"/>
  <c r="U78" i="60"/>
  <c r="AD78" i="60" s="1"/>
  <c r="X78" i="60"/>
  <c r="AA78" i="60"/>
  <c r="AF78" i="60" s="1"/>
  <c r="U79" i="60"/>
  <c r="AD79" i="60" s="1"/>
  <c r="X79" i="60"/>
  <c r="AA79" i="60"/>
  <c r="AF79" i="60" s="1"/>
  <c r="U80" i="60"/>
  <c r="AD80" i="60" s="1"/>
  <c r="X80" i="60"/>
  <c r="AA80" i="60"/>
  <c r="AF80" i="60" s="1"/>
  <c r="U81" i="60"/>
  <c r="AD81" i="60" s="1"/>
  <c r="X81" i="60"/>
  <c r="AA81" i="60"/>
  <c r="AF81" i="60" s="1"/>
  <c r="U82" i="60"/>
  <c r="AD82" i="60" s="1"/>
  <c r="X82" i="60"/>
  <c r="AA82" i="60"/>
  <c r="AF82" i="60" s="1"/>
  <c r="U83" i="60"/>
  <c r="AD83" i="60" s="1"/>
  <c r="X83" i="60"/>
  <c r="AA83" i="60"/>
  <c r="AF83" i="60" s="1"/>
  <c r="U84" i="60"/>
  <c r="AD84" i="60" s="1"/>
  <c r="X84" i="60"/>
  <c r="AA84" i="60"/>
  <c r="U85" i="60"/>
  <c r="AD85" i="60" s="1"/>
  <c r="X85" i="60"/>
  <c r="AA85" i="60"/>
  <c r="AF85" i="60" s="1"/>
  <c r="U86" i="60"/>
  <c r="AD86" i="60" s="1"/>
  <c r="X86" i="60"/>
  <c r="AA86" i="60"/>
  <c r="AF86" i="60" s="1"/>
  <c r="U87" i="60"/>
  <c r="AD87" i="60" s="1"/>
  <c r="X87" i="60"/>
  <c r="AA87" i="60"/>
  <c r="AF87" i="60" s="1"/>
  <c r="U88" i="60"/>
  <c r="AD88" i="60" s="1"/>
  <c r="X88" i="60"/>
  <c r="AA88" i="60"/>
  <c r="AF88" i="60" s="1"/>
  <c r="U94" i="60"/>
  <c r="AD94" i="60" s="1"/>
  <c r="X94" i="60"/>
  <c r="AA94" i="60"/>
  <c r="AF94" i="60" s="1"/>
  <c r="U95" i="60"/>
  <c r="AD95" i="60" s="1"/>
  <c r="X95" i="60"/>
  <c r="AA95" i="60"/>
  <c r="AF95" i="60" s="1"/>
  <c r="U96" i="60"/>
  <c r="AD96" i="60" s="1"/>
  <c r="X96" i="60"/>
  <c r="AA96" i="60"/>
  <c r="AF96" i="60" s="1"/>
  <c r="U97" i="60"/>
  <c r="AD97" i="60" s="1"/>
  <c r="X97" i="60"/>
  <c r="AA97" i="60"/>
  <c r="AF97" i="60" s="1"/>
  <c r="U98" i="60"/>
  <c r="AD98" i="60" s="1"/>
  <c r="X98" i="60"/>
  <c r="AA98" i="60"/>
  <c r="AF98" i="60" s="1"/>
  <c r="E9" i="67" l="1"/>
  <c r="F8" i="67"/>
  <c r="L11" i="67"/>
  <c r="M10" i="67"/>
  <c r="G10" i="67" s="1"/>
  <c r="M21" i="69"/>
  <c r="G21" i="69" s="1"/>
  <c r="L22" i="69"/>
  <c r="F24" i="69"/>
  <c r="E25" i="69"/>
  <c r="L21" i="66"/>
  <c r="M20" i="66"/>
  <c r="E22" i="66"/>
  <c r="F21" i="66"/>
  <c r="AF47" i="60"/>
  <c r="AF22" i="60"/>
  <c r="AF14" i="60"/>
  <c r="AF6" i="60"/>
  <c r="AF48" i="60"/>
  <c r="AF15" i="60"/>
  <c r="AF7" i="60"/>
  <c r="AF75" i="60"/>
  <c r="AF24" i="60"/>
  <c r="AF16" i="60"/>
  <c r="AF84" i="60"/>
  <c r="AF5" i="60"/>
  <c r="L12" i="67" l="1"/>
  <c r="M11" i="67"/>
  <c r="G11" i="67" s="1"/>
  <c r="E10" i="67"/>
  <c r="F9" i="67"/>
  <c r="G9" i="67"/>
  <c r="F25" i="69"/>
  <c r="E26" i="69"/>
  <c r="M22" i="69"/>
  <c r="G22" i="69" s="1"/>
  <c r="L23" i="69"/>
  <c r="F22" i="66"/>
  <c r="E23" i="66"/>
  <c r="M21" i="66"/>
  <c r="L22" i="66"/>
  <c r="Y24" i="3"/>
  <c r="AJ10" i="60"/>
  <c r="AJ28" i="60"/>
  <c r="AI80" i="60"/>
  <c r="H106" i="60"/>
  <c r="H127" i="60" s="1"/>
  <c r="G106" i="60"/>
  <c r="G127" i="60" s="1"/>
  <c r="F106" i="60"/>
  <c r="F127" i="60" s="1"/>
  <c r="G126" i="60"/>
  <c r="H126" i="60"/>
  <c r="F126" i="60"/>
  <c r="F114" i="60"/>
  <c r="G114" i="60"/>
  <c r="H114" i="60"/>
  <c r="F125" i="60"/>
  <c r="G125" i="60"/>
  <c r="H125" i="60"/>
  <c r="J106" i="60"/>
  <c r="J127" i="60" s="1"/>
  <c r="I106" i="60"/>
  <c r="I127" i="60" s="1"/>
  <c r="I114" i="60"/>
  <c r="J114" i="60"/>
  <c r="I125" i="60"/>
  <c r="J125" i="60"/>
  <c r="I126" i="60"/>
  <c r="J126" i="60"/>
  <c r="F10" i="67" l="1"/>
  <c r="E11" i="67"/>
  <c r="L13" i="67"/>
  <c r="M12" i="67"/>
  <c r="L24" i="69"/>
  <c r="M23" i="69"/>
  <c r="G23" i="69" s="1"/>
  <c r="F26" i="69"/>
  <c r="E27" i="69"/>
  <c r="G9" i="66"/>
  <c r="M22" i="66"/>
  <c r="L23" i="66"/>
  <c r="E24" i="66"/>
  <c r="F23" i="66"/>
  <c r="K101" i="63"/>
  <c r="D105" i="63"/>
  <c r="K105" i="63"/>
  <c r="G105" i="63"/>
  <c r="K102" i="63"/>
  <c r="K100" i="63"/>
  <c r="K99" i="63"/>
  <c r="K98" i="63"/>
  <c r="K97" i="63"/>
  <c r="K96" i="63"/>
  <c r="K95" i="63"/>
  <c r="K94" i="63"/>
  <c r="K93" i="63"/>
  <c r="K92" i="63"/>
  <c r="K91" i="63"/>
  <c r="K90" i="63"/>
  <c r="K89" i="63"/>
  <c r="K88" i="63"/>
  <c r="K87" i="63"/>
  <c r="K86" i="63"/>
  <c r="K85" i="63"/>
  <c r="K84" i="63"/>
  <c r="K83" i="63"/>
  <c r="K82" i="63"/>
  <c r="K81" i="63"/>
  <c r="K80" i="63"/>
  <c r="K79" i="63"/>
  <c r="K78" i="63"/>
  <c r="K77" i="63"/>
  <c r="K76" i="63"/>
  <c r="K75" i="63"/>
  <c r="K74" i="63"/>
  <c r="K73" i="63"/>
  <c r="K72" i="63"/>
  <c r="K71" i="63"/>
  <c r="K70" i="63"/>
  <c r="K69" i="63"/>
  <c r="K68" i="63"/>
  <c r="K67" i="63"/>
  <c r="K66" i="63"/>
  <c r="K65" i="63"/>
  <c r="K64" i="63"/>
  <c r="K63" i="63"/>
  <c r="K62" i="63"/>
  <c r="K61" i="63"/>
  <c r="K60" i="63"/>
  <c r="K59" i="63"/>
  <c r="K58" i="63"/>
  <c r="K57" i="63"/>
  <c r="K56" i="63"/>
  <c r="K55" i="63"/>
  <c r="K54" i="63"/>
  <c r="K53" i="63"/>
  <c r="K52" i="63"/>
  <c r="K51" i="63"/>
  <c r="K50" i="63"/>
  <c r="K49" i="63"/>
  <c r="K48" i="63"/>
  <c r="K47" i="63"/>
  <c r="K46" i="63"/>
  <c r="K45" i="63"/>
  <c r="K44" i="63"/>
  <c r="K43" i="63"/>
  <c r="K42" i="63"/>
  <c r="K41" i="63"/>
  <c r="K40" i="63"/>
  <c r="K39" i="63"/>
  <c r="K38" i="63"/>
  <c r="K37" i="63"/>
  <c r="K36" i="63"/>
  <c r="K35" i="63"/>
  <c r="K34" i="63"/>
  <c r="K33" i="63"/>
  <c r="K32" i="63"/>
  <c r="K31" i="63"/>
  <c r="K30" i="63"/>
  <c r="K29" i="63"/>
  <c r="K28" i="63"/>
  <c r="K27" i="63"/>
  <c r="K26" i="63"/>
  <c r="K25" i="63"/>
  <c r="K24" i="63"/>
  <c r="K23" i="63"/>
  <c r="K22" i="63"/>
  <c r="K21" i="63"/>
  <c r="K20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K5" i="63"/>
  <c r="K4" i="63"/>
  <c r="L14" i="67" l="1"/>
  <c r="M13" i="67"/>
  <c r="F11" i="67"/>
  <c r="E12" i="67"/>
  <c r="E28" i="69"/>
  <c r="F27" i="69"/>
  <c r="L25" i="69"/>
  <c r="M24" i="69"/>
  <c r="G24" i="69" s="1"/>
  <c r="G19" i="66"/>
  <c r="L4" i="63"/>
  <c r="D23" i="63"/>
  <c r="D31" i="63"/>
  <c r="D43" i="63"/>
  <c r="D59" i="63"/>
  <c r="D12" i="63"/>
  <c r="D20" i="63"/>
  <c r="D24" i="63"/>
  <c r="D32" i="63"/>
  <c r="D36" i="63"/>
  <c r="D40" i="63"/>
  <c r="D44" i="63"/>
  <c r="D48" i="63"/>
  <c r="D52" i="63"/>
  <c r="D56" i="63"/>
  <c r="D60" i="63"/>
  <c r="D64" i="63"/>
  <c r="D4" i="63"/>
  <c r="D19" i="63"/>
  <c r="D35" i="63"/>
  <c r="D47" i="63"/>
  <c r="D63" i="63"/>
  <c r="D8" i="63"/>
  <c r="D16" i="63"/>
  <c r="D28" i="63"/>
  <c r="D102" i="63"/>
  <c r="D65" i="63"/>
  <c r="D5" i="63"/>
  <c r="D17" i="63"/>
  <c r="D29" i="63"/>
  <c r="D41" i="63"/>
  <c r="D49" i="63"/>
  <c r="D57" i="63"/>
  <c r="D61" i="63"/>
  <c r="D103" i="63"/>
  <c r="D15" i="63"/>
  <c r="D13" i="63"/>
  <c r="D25" i="63"/>
  <c r="D37" i="63"/>
  <c r="D45" i="63"/>
  <c r="D6" i="63"/>
  <c r="D14" i="63"/>
  <c r="D18" i="63"/>
  <c r="D22" i="63"/>
  <c r="D30" i="63"/>
  <c r="D34" i="63"/>
  <c r="D38" i="63"/>
  <c r="D42" i="63"/>
  <c r="D46" i="63"/>
  <c r="D50" i="63"/>
  <c r="D54" i="63"/>
  <c r="D58" i="63"/>
  <c r="D62" i="63"/>
  <c r="D66" i="63"/>
  <c r="D7" i="63"/>
  <c r="D9" i="63"/>
  <c r="D21" i="63"/>
  <c r="D33" i="63"/>
  <c r="D53" i="63"/>
  <c r="D10" i="63"/>
  <c r="D26" i="63"/>
  <c r="D11" i="63"/>
  <c r="D27" i="63"/>
  <c r="D39" i="63"/>
  <c r="D51" i="63"/>
  <c r="D55" i="63"/>
  <c r="D67" i="63"/>
  <c r="D70" i="63"/>
  <c r="D74" i="63"/>
  <c r="D78" i="63"/>
  <c r="D82" i="63"/>
  <c r="D86" i="63"/>
  <c r="D90" i="63"/>
  <c r="D94" i="63"/>
  <c r="D98" i="63"/>
  <c r="D71" i="63"/>
  <c r="D75" i="63"/>
  <c r="D79" i="63"/>
  <c r="D83" i="63"/>
  <c r="D87" i="63"/>
  <c r="D91" i="63"/>
  <c r="D95" i="63"/>
  <c r="D99" i="63"/>
  <c r="D104" i="63"/>
  <c r="D68" i="63"/>
  <c r="D72" i="63"/>
  <c r="D76" i="63"/>
  <c r="D80" i="63"/>
  <c r="D84" i="63"/>
  <c r="D88" i="63"/>
  <c r="D92" i="63"/>
  <c r="D96" i="63"/>
  <c r="D100" i="63"/>
  <c r="D69" i="63"/>
  <c r="D73" i="63"/>
  <c r="D77" i="63"/>
  <c r="D81" i="63"/>
  <c r="D85" i="63"/>
  <c r="D89" i="63"/>
  <c r="D93" i="63"/>
  <c r="D97" i="63"/>
  <c r="D101" i="63"/>
  <c r="E25" i="66"/>
  <c r="F24" i="66"/>
  <c r="L24" i="66"/>
  <c r="M23" i="66"/>
  <c r="K104" i="63"/>
  <c r="K103" i="63"/>
  <c r="K106" i="63" s="1"/>
  <c r="E4" i="63"/>
  <c r="Z24" i="3"/>
  <c r="AM126" i="62"/>
  <c r="U25" i="57" s="1"/>
  <c r="AK126" i="62"/>
  <c r="AJ126" i="62"/>
  <c r="AI126" i="62"/>
  <c r="AH126" i="62"/>
  <c r="AG126" i="62"/>
  <c r="Q25" i="57" s="1"/>
  <c r="AE126" i="62"/>
  <c r="R25" i="57" s="1"/>
  <c r="Z126" i="62"/>
  <c r="N25" i="57" s="1"/>
  <c r="Y126" i="62"/>
  <c r="M25" i="57" s="1"/>
  <c r="W126" i="62"/>
  <c r="K25" i="57" s="1"/>
  <c r="V126" i="62"/>
  <c r="J25" i="57" s="1"/>
  <c r="L25" i="57" s="1"/>
  <c r="T126" i="62"/>
  <c r="I25" i="57" s="1"/>
  <c r="S126" i="62"/>
  <c r="H25" i="57" s="1"/>
  <c r="N126" i="62"/>
  <c r="M126" i="62"/>
  <c r="AM126" i="60"/>
  <c r="AK126" i="60"/>
  <c r="AJ126" i="60"/>
  <c r="AI126" i="60"/>
  <c r="AH126" i="60"/>
  <c r="AG126" i="60"/>
  <c r="AE126" i="60"/>
  <c r="Z126" i="60"/>
  <c r="Y126" i="60"/>
  <c r="W126" i="60"/>
  <c r="V126" i="60"/>
  <c r="T126" i="60"/>
  <c r="S126" i="60"/>
  <c r="N126" i="60"/>
  <c r="M126" i="60"/>
  <c r="R127" i="62"/>
  <c r="Q127" i="62"/>
  <c r="P127" i="62"/>
  <c r="O127" i="62"/>
  <c r="M127" i="62"/>
  <c r="K127" i="62"/>
  <c r="AZ125" i="62"/>
  <c r="AO125" i="62"/>
  <c r="AN125" i="62"/>
  <c r="AM125" i="62"/>
  <c r="AL125" i="62"/>
  <c r="AK125" i="62"/>
  <c r="AJ125" i="62"/>
  <c r="AI125" i="62"/>
  <c r="AH125" i="62"/>
  <c r="AU125" i="62" s="1"/>
  <c r="AG125" i="62"/>
  <c r="AF125" i="62"/>
  <c r="AE125" i="62"/>
  <c r="AD125" i="62"/>
  <c r="AC125" i="62"/>
  <c r="AB125" i="62"/>
  <c r="AA125" i="62"/>
  <c r="Z125" i="62"/>
  <c r="Y125" i="62"/>
  <c r="X125" i="62"/>
  <c r="W125" i="62"/>
  <c r="V125" i="62"/>
  <c r="U125" i="62"/>
  <c r="T125" i="62"/>
  <c r="S125" i="62"/>
  <c r="N125" i="62"/>
  <c r="L125" i="62"/>
  <c r="E125" i="62"/>
  <c r="AX124" i="62"/>
  <c r="AW124" i="62"/>
  <c r="AV124" i="62"/>
  <c r="AU124" i="62"/>
  <c r="AT124" i="62"/>
  <c r="AS124" i="62"/>
  <c r="AR124" i="62"/>
  <c r="AQ124" i="62"/>
  <c r="AZ114" i="62"/>
  <c r="AO114" i="62"/>
  <c r="AN114" i="62"/>
  <c r="AM114" i="62"/>
  <c r="AL114" i="62"/>
  <c r="AK114" i="62"/>
  <c r="AJ114" i="62"/>
  <c r="AI114" i="62"/>
  <c r="AH114" i="62"/>
  <c r="AG114" i="62"/>
  <c r="AE114" i="62"/>
  <c r="AD114" i="62"/>
  <c r="AC114" i="62"/>
  <c r="AB114" i="62"/>
  <c r="AA114" i="62"/>
  <c r="Z114" i="62"/>
  <c r="Y114" i="62"/>
  <c r="X114" i="62"/>
  <c r="W114" i="62"/>
  <c r="V114" i="62"/>
  <c r="U114" i="62"/>
  <c r="T114" i="62"/>
  <c r="S114" i="62"/>
  <c r="N114" i="62"/>
  <c r="L114" i="62"/>
  <c r="E114" i="62"/>
  <c r="AX113" i="62"/>
  <c r="AW113" i="62"/>
  <c r="AV113" i="62"/>
  <c r="AU113" i="62"/>
  <c r="AT113" i="62"/>
  <c r="AS113" i="62"/>
  <c r="AR113" i="62"/>
  <c r="AQ113" i="62"/>
  <c r="AM106" i="62"/>
  <c r="AK106" i="62"/>
  <c r="AK127" i="62" s="1"/>
  <c r="AJ106" i="62"/>
  <c r="AJ127" i="62" s="1"/>
  <c r="AI106" i="62"/>
  <c r="AH106" i="62"/>
  <c r="AG106" i="62"/>
  <c r="Q25" i="3" s="1"/>
  <c r="Q48" i="3" s="1"/>
  <c r="AE106" i="62"/>
  <c r="R25" i="3" s="1"/>
  <c r="R48" i="3" s="1"/>
  <c r="Z106" i="62"/>
  <c r="N25" i="3" s="1"/>
  <c r="N48" i="3" s="1"/>
  <c r="Y106" i="62"/>
  <c r="W106" i="62"/>
  <c r="V106" i="62"/>
  <c r="J25" i="3" s="1"/>
  <c r="T106" i="62"/>
  <c r="S106" i="62"/>
  <c r="N106" i="62"/>
  <c r="AL78" i="62"/>
  <c r="AU104" i="62"/>
  <c r="AT104" i="62"/>
  <c r="AR104" i="62"/>
  <c r="AN104" i="62"/>
  <c r="AF104" i="62"/>
  <c r="Q104" i="62"/>
  <c r="E104" i="62"/>
  <c r="L104" i="62" s="1"/>
  <c r="AU103" i="62"/>
  <c r="AT103" i="62"/>
  <c r="AR103" i="62"/>
  <c r="AN103" i="62"/>
  <c r="AF103" i="62"/>
  <c r="Q103" i="62"/>
  <c r="E103" i="62"/>
  <c r="L103" i="62" s="1"/>
  <c r="AU102" i="62"/>
  <c r="AT102" i="62"/>
  <c r="AR102" i="62"/>
  <c r="AN102" i="62"/>
  <c r="AF102" i="62"/>
  <c r="Q102" i="62"/>
  <c r="E102" i="62"/>
  <c r="L102" i="62" s="1"/>
  <c r="AU101" i="62"/>
  <c r="AT101" i="62"/>
  <c r="AR101" i="62"/>
  <c r="AN101" i="62"/>
  <c r="AF101" i="62"/>
  <c r="Q101" i="62"/>
  <c r="E101" i="62"/>
  <c r="L101" i="62" s="1"/>
  <c r="AU100" i="62"/>
  <c r="AT100" i="62"/>
  <c r="AR100" i="62"/>
  <c r="AN100" i="62"/>
  <c r="AF100" i="62"/>
  <c r="Q100" i="62"/>
  <c r="E100" i="62"/>
  <c r="L100" i="62" s="1"/>
  <c r="AU99" i="62"/>
  <c r="AT99" i="62"/>
  <c r="AR99" i="62"/>
  <c r="AN99" i="62"/>
  <c r="AF99" i="62"/>
  <c r="Q99" i="62"/>
  <c r="E99" i="62"/>
  <c r="L99" i="62" s="1"/>
  <c r="AU98" i="62"/>
  <c r="AT98" i="62"/>
  <c r="AR98" i="62"/>
  <c r="AN98" i="62"/>
  <c r="AF98" i="62"/>
  <c r="Q98" i="62"/>
  <c r="E98" i="62"/>
  <c r="L98" i="62" s="1"/>
  <c r="AU97" i="62"/>
  <c r="AT97" i="62"/>
  <c r="AR97" i="62"/>
  <c r="AN97" i="62"/>
  <c r="AF97" i="62"/>
  <c r="Q97" i="62"/>
  <c r="E97" i="62"/>
  <c r="L97" i="62" s="1"/>
  <c r="AU96" i="62"/>
  <c r="AT96" i="62"/>
  <c r="AR96" i="62"/>
  <c r="AN96" i="62"/>
  <c r="AF96" i="62"/>
  <c r="Q96" i="62"/>
  <c r="E96" i="62"/>
  <c r="L96" i="62" s="1"/>
  <c r="AU95" i="62"/>
  <c r="AT95" i="62"/>
  <c r="AR95" i="62"/>
  <c r="AN95" i="62"/>
  <c r="AF95" i="62"/>
  <c r="Q95" i="62"/>
  <c r="E95" i="62"/>
  <c r="L95" i="62" s="1"/>
  <c r="AU94" i="62"/>
  <c r="AT94" i="62"/>
  <c r="AR94" i="62"/>
  <c r="AN94" i="62"/>
  <c r="AF94" i="62"/>
  <c r="Q94" i="62"/>
  <c r="E94" i="62"/>
  <c r="L94" i="62" s="1"/>
  <c r="AU93" i="62"/>
  <c r="AT93" i="62"/>
  <c r="AR93" i="62"/>
  <c r="AN93" i="62"/>
  <c r="AF93" i="62"/>
  <c r="Q93" i="62"/>
  <c r="E93" i="62"/>
  <c r="L93" i="62" s="1"/>
  <c r="AU92" i="62"/>
  <c r="AT92" i="62"/>
  <c r="AR92" i="62"/>
  <c r="AN92" i="62"/>
  <c r="AF92" i="62"/>
  <c r="Q92" i="62"/>
  <c r="E92" i="62"/>
  <c r="L92" i="62" s="1"/>
  <c r="AU91" i="62"/>
  <c r="AT91" i="62"/>
  <c r="AR91" i="62"/>
  <c r="AN91" i="62"/>
  <c r="AF91" i="62"/>
  <c r="Q91" i="62"/>
  <c r="E91" i="62"/>
  <c r="L91" i="62" s="1"/>
  <c r="AU90" i="62"/>
  <c r="AT90" i="62"/>
  <c r="AR90" i="62"/>
  <c r="AN90" i="62"/>
  <c r="AF90" i="62"/>
  <c r="Q90" i="62"/>
  <c r="E90" i="62"/>
  <c r="L90" i="62" s="1"/>
  <c r="AU89" i="62"/>
  <c r="AT89" i="62"/>
  <c r="AR89" i="62"/>
  <c r="AN89" i="62"/>
  <c r="AF89" i="62"/>
  <c r="Q89" i="62"/>
  <c r="E89" i="62"/>
  <c r="L89" i="62" s="1"/>
  <c r="AU88" i="62"/>
  <c r="AT88" i="62"/>
  <c r="AR88" i="62"/>
  <c r="AN88" i="62"/>
  <c r="AF88" i="62"/>
  <c r="Q88" i="62"/>
  <c r="E88" i="62"/>
  <c r="L88" i="62" s="1"/>
  <c r="AU87" i="62"/>
  <c r="AT87" i="62"/>
  <c r="AR87" i="62"/>
  <c r="AF87" i="62"/>
  <c r="AN87" i="62"/>
  <c r="Q87" i="62"/>
  <c r="E87" i="62"/>
  <c r="L87" i="62" s="1"/>
  <c r="AU86" i="62"/>
  <c r="AT86" i="62"/>
  <c r="AR86" i="62"/>
  <c r="AN86" i="62"/>
  <c r="AF86" i="62"/>
  <c r="Q86" i="62"/>
  <c r="E86" i="62"/>
  <c r="L86" i="62" s="1"/>
  <c r="AU85" i="62"/>
  <c r="AT85" i="62"/>
  <c r="AR85" i="62"/>
  <c r="AN85" i="62"/>
  <c r="AF85" i="62"/>
  <c r="AS85" i="62"/>
  <c r="Q85" i="62"/>
  <c r="E85" i="62"/>
  <c r="L85" i="62" s="1"/>
  <c r="AU84" i="62"/>
  <c r="AT84" i="62"/>
  <c r="AS84" i="62"/>
  <c r="AR84" i="62"/>
  <c r="AF84" i="62"/>
  <c r="AN84" i="62"/>
  <c r="Q84" i="62"/>
  <c r="E84" i="62"/>
  <c r="L84" i="62" s="1"/>
  <c r="AU83" i="62"/>
  <c r="AT83" i="62"/>
  <c r="AR83" i="62"/>
  <c r="AN83" i="62"/>
  <c r="AF83" i="62"/>
  <c r="Q83" i="62"/>
  <c r="E83" i="62"/>
  <c r="L83" i="62" s="1"/>
  <c r="AU82" i="62"/>
  <c r="AT82" i="62"/>
  <c r="AS82" i="62"/>
  <c r="AR82" i="62"/>
  <c r="AF82" i="62"/>
  <c r="AN82" i="62"/>
  <c r="Q82" i="62"/>
  <c r="E82" i="62"/>
  <c r="L82" i="62" s="1"/>
  <c r="AU81" i="62"/>
  <c r="AT81" i="62"/>
  <c r="AR81" i="62"/>
  <c r="AN81" i="62"/>
  <c r="AF81" i="62"/>
  <c r="Q81" i="62"/>
  <c r="E81" i="62"/>
  <c r="L81" i="62" s="1"/>
  <c r="AU80" i="62"/>
  <c r="AT80" i="62"/>
  <c r="AR80" i="62"/>
  <c r="AF80" i="62"/>
  <c r="AN80" i="62"/>
  <c r="Q80" i="62"/>
  <c r="E80" i="62"/>
  <c r="L80" i="62" s="1"/>
  <c r="AU79" i="62"/>
  <c r="AT79" i="62"/>
  <c r="AS79" i="62"/>
  <c r="AR79" i="62"/>
  <c r="AQ79" i="62"/>
  <c r="AN79" i="62"/>
  <c r="Q79" i="62"/>
  <c r="E79" i="62"/>
  <c r="L79" i="62" s="1"/>
  <c r="AU78" i="62"/>
  <c r="AT78" i="62"/>
  <c r="AR78" i="62"/>
  <c r="AF78" i="62"/>
  <c r="AN78" i="62"/>
  <c r="Q78" i="62"/>
  <c r="E78" i="62"/>
  <c r="L78" i="62" s="1"/>
  <c r="AU77" i="62"/>
  <c r="AT77" i="62"/>
  <c r="AS77" i="62"/>
  <c r="AR77" i="62"/>
  <c r="AF77" i="62"/>
  <c r="AN77" i="62"/>
  <c r="AQ77" i="62"/>
  <c r="AW77" i="62" s="1"/>
  <c r="R77" i="62"/>
  <c r="Q77" i="62"/>
  <c r="E77" i="62"/>
  <c r="L77" i="62" s="1"/>
  <c r="AU76" i="62"/>
  <c r="AT76" i="62"/>
  <c r="AS76" i="62"/>
  <c r="AR76" i="62"/>
  <c r="AL76" i="62"/>
  <c r="AF76" i="62"/>
  <c r="AN76" i="62"/>
  <c r="AQ76" i="62"/>
  <c r="R76" i="62"/>
  <c r="Q76" i="62"/>
  <c r="E76" i="62"/>
  <c r="L76" i="62" s="1"/>
  <c r="AU75" i="62"/>
  <c r="AT75" i="62"/>
  <c r="AS75" i="62"/>
  <c r="AR75" i="62"/>
  <c r="AN75" i="62"/>
  <c r="AF75" i="62"/>
  <c r="AQ75" i="62"/>
  <c r="R75" i="62"/>
  <c r="Q75" i="62"/>
  <c r="E75" i="62"/>
  <c r="L75" i="62" s="1"/>
  <c r="AU74" i="62"/>
  <c r="AT74" i="62"/>
  <c r="AR74" i="62"/>
  <c r="AL74" i="62"/>
  <c r="AF74" i="62"/>
  <c r="AN74" i="62"/>
  <c r="Q74" i="62"/>
  <c r="E74" i="62"/>
  <c r="L74" i="62" s="1"/>
  <c r="AU73" i="62"/>
  <c r="AT73" i="62"/>
  <c r="AS73" i="62"/>
  <c r="AR73" i="62"/>
  <c r="AL73" i="62"/>
  <c r="AF73" i="62"/>
  <c r="AN73" i="62"/>
  <c r="AQ73" i="62"/>
  <c r="AW73" i="62" s="1"/>
  <c r="R73" i="62"/>
  <c r="Q73" i="62"/>
  <c r="E73" i="62"/>
  <c r="L73" i="62" s="1"/>
  <c r="AU72" i="62"/>
  <c r="AT72" i="62"/>
  <c r="AS72" i="62"/>
  <c r="AR72" i="62"/>
  <c r="AL72" i="62"/>
  <c r="AF72" i="62"/>
  <c r="AN72" i="62"/>
  <c r="AQ72" i="62"/>
  <c r="AW72" i="62" s="1"/>
  <c r="R72" i="62"/>
  <c r="Q72" i="62"/>
  <c r="E72" i="62"/>
  <c r="L72" i="62" s="1"/>
  <c r="AU71" i="62"/>
  <c r="AT71" i="62"/>
  <c r="AS71" i="62"/>
  <c r="AR71" i="62"/>
  <c r="AN71" i="62"/>
  <c r="AF71" i="62"/>
  <c r="AQ71" i="62"/>
  <c r="AW71" i="62" s="1"/>
  <c r="R71" i="62"/>
  <c r="Q71" i="62"/>
  <c r="E71" i="62"/>
  <c r="L71" i="62" s="1"/>
  <c r="AU70" i="62"/>
  <c r="AT70" i="62"/>
  <c r="AR70" i="62"/>
  <c r="AN70" i="62"/>
  <c r="AL70" i="62"/>
  <c r="AF70" i="62"/>
  <c r="Q70" i="62"/>
  <c r="E70" i="62"/>
  <c r="L70" i="62" s="1"/>
  <c r="AU69" i="62"/>
  <c r="AT69" i="62"/>
  <c r="AS69" i="62"/>
  <c r="AR69" i="62"/>
  <c r="AF69" i="62"/>
  <c r="AN69" i="62"/>
  <c r="AQ69" i="62"/>
  <c r="AW69" i="62" s="1"/>
  <c r="R69" i="62"/>
  <c r="Q69" i="62"/>
  <c r="E69" i="62"/>
  <c r="L69" i="62" s="1"/>
  <c r="AU68" i="62"/>
  <c r="AT68" i="62"/>
  <c r="AS68" i="62"/>
  <c r="AR68" i="62"/>
  <c r="AL68" i="62"/>
  <c r="AF68" i="62"/>
  <c r="AN68" i="62"/>
  <c r="AQ68" i="62"/>
  <c r="AW68" i="62" s="1"/>
  <c r="R68" i="62"/>
  <c r="Q68" i="62"/>
  <c r="E68" i="62"/>
  <c r="L68" i="62" s="1"/>
  <c r="AU67" i="62"/>
  <c r="AT67" i="62"/>
  <c r="AS67" i="62"/>
  <c r="AR67" i="62"/>
  <c r="AN67" i="62"/>
  <c r="AL67" i="62"/>
  <c r="AF67" i="62"/>
  <c r="AQ67" i="62"/>
  <c r="AW67" i="62" s="1"/>
  <c r="R67" i="62"/>
  <c r="Q67" i="62"/>
  <c r="E67" i="62"/>
  <c r="L67" i="62" s="1"/>
  <c r="AU66" i="62"/>
  <c r="AT66" i="62"/>
  <c r="AR66" i="62"/>
  <c r="AL66" i="62"/>
  <c r="AF66" i="62"/>
  <c r="AN66" i="62"/>
  <c r="Q66" i="62"/>
  <c r="E66" i="62"/>
  <c r="L66" i="62" s="1"/>
  <c r="AU65" i="62"/>
  <c r="AT65" i="62"/>
  <c r="AS65" i="62"/>
  <c r="AR65" i="62"/>
  <c r="AL65" i="62"/>
  <c r="AF65" i="62"/>
  <c r="AN65" i="62"/>
  <c r="AQ65" i="62"/>
  <c r="AW65" i="62" s="1"/>
  <c r="R65" i="62"/>
  <c r="Q65" i="62"/>
  <c r="E65" i="62"/>
  <c r="L65" i="62" s="1"/>
  <c r="AU64" i="62"/>
  <c r="AT64" i="62"/>
  <c r="AS64" i="62"/>
  <c r="AR64" i="62"/>
  <c r="AL64" i="62"/>
  <c r="AF64" i="62"/>
  <c r="AN64" i="62"/>
  <c r="AQ64" i="62"/>
  <c r="AW64" i="62" s="1"/>
  <c r="R64" i="62"/>
  <c r="Q64" i="62"/>
  <c r="E64" i="62"/>
  <c r="L64" i="62" s="1"/>
  <c r="AU63" i="62"/>
  <c r="AT63" i="62"/>
  <c r="AS63" i="62"/>
  <c r="AR63" i="62"/>
  <c r="AN63" i="62"/>
  <c r="AL63" i="62"/>
  <c r="AF63" i="62"/>
  <c r="AQ63" i="62"/>
  <c r="AW63" i="62" s="1"/>
  <c r="R63" i="62"/>
  <c r="Q63" i="62"/>
  <c r="E63" i="62"/>
  <c r="L63" i="62" s="1"/>
  <c r="AU62" i="62"/>
  <c r="AT62" i="62"/>
  <c r="AR62" i="62"/>
  <c r="AN62" i="62"/>
  <c r="AL62" i="62"/>
  <c r="AF62" i="62"/>
  <c r="Q62" i="62"/>
  <c r="E62" i="62"/>
  <c r="L62" i="62" s="1"/>
  <c r="AU61" i="62"/>
  <c r="AT61" i="62"/>
  <c r="AS61" i="62"/>
  <c r="AR61" i="62"/>
  <c r="AL61" i="62"/>
  <c r="AF61" i="62"/>
  <c r="AN61" i="62"/>
  <c r="AQ61" i="62"/>
  <c r="AW61" i="62" s="1"/>
  <c r="R61" i="62"/>
  <c r="Q61" i="62"/>
  <c r="E61" i="62"/>
  <c r="L61" i="62" s="1"/>
  <c r="AU60" i="62"/>
  <c r="AT60" i="62"/>
  <c r="AS60" i="62"/>
  <c r="AR60" i="62"/>
  <c r="AF60" i="62"/>
  <c r="AN60" i="62"/>
  <c r="AQ60" i="62"/>
  <c r="AW60" i="62" s="1"/>
  <c r="R60" i="62"/>
  <c r="Q60" i="62"/>
  <c r="E60" i="62"/>
  <c r="L60" i="62" s="1"/>
  <c r="AU59" i="62"/>
  <c r="AT59" i="62"/>
  <c r="AS59" i="62"/>
  <c r="AR59" i="62"/>
  <c r="AN59" i="62"/>
  <c r="AF59" i="62"/>
  <c r="AQ59" i="62"/>
  <c r="AW59" i="62" s="1"/>
  <c r="R59" i="62"/>
  <c r="Q59" i="62"/>
  <c r="E59" i="62"/>
  <c r="L59" i="62" s="1"/>
  <c r="AU58" i="62"/>
  <c r="AT58" i="62"/>
  <c r="AR58" i="62"/>
  <c r="AN58" i="62"/>
  <c r="AL58" i="62"/>
  <c r="AF58" i="62"/>
  <c r="Q58" i="62"/>
  <c r="E58" i="62"/>
  <c r="L58" i="62" s="1"/>
  <c r="AU57" i="62"/>
  <c r="AT57" i="62"/>
  <c r="AS57" i="62"/>
  <c r="AR57" i="62"/>
  <c r="AL57" i="62"/>
  <c r="AF57" i="62"/>
  <c r="AN57" i="62"/>
  <c r="AQ57" i="62"/>
  <c r="AW57" i="62" s="1"/>
  <c r="R57" i="62"/>
  <c r="Q57" i="62"/>
  <c r="E57" i="62"/>
  <c r="L57" i="62" s="1"/>
  <c r="AU56" i="62"/>
  <c r="AT56" i="62"/>
  <c r="AS56" i="62"/>
  <c r="AR56" i="62"/>
  <c r="AL56" i="62"/>
  <c r="AF56" i="62"/>
  <c r="AN56" i="62"/>
  <c r="AQ56" i="62"/>
  <c r="AW56" i="62" s="1"/>
  <c r="R56" i="62"/>
  <c r="Q56" i="62"/>
  <c r="E56" i="62"/>
  <c r="L56" i="62" s="1"/>
  <c r="AU55" i="62"/>
  <c r="AT55" i="62"/>
  <c r="AS55" i="62"/>
  <c r="AR55" i="62"/>
  <c r="AN55" i="62"/>
  <c r="AF55" i="62"/>
  <c r="AQ55" i="62"/>
  <c r="AW55" i="62" s="1"/>
  <c r="R55" i="62"/>
  <c r="Q55" i="62"/>
  <c r="E55" i="62"/>
  <c r="L55" i="62" s="1"/>
  <c r="AU54" i="62"/>
  <c r="AT54" i="62"/>
  <c r="AR54" i="62"/>
  <c r="AL54" i="62"/>
  <c r="AF54" i="62"/>
  <c r="AN54" i="62"/>
  <c r="Q54" i="62"/>
  <c r="E54" i="62"/>
  <c r="L54" i="62" s="1"/>
  <c r="AU53" i="62"/>
  <c r="AT53" i="62"/>
  <c r="AS53" i="62"/>
  <c r="AR53" i="62"/>
  <c r="AL53" i="62"/>
  <c r="AF53" i="62"/>
  <c r="AN53" i="62"/>
  <c r="AQ53" i="62"/>
  <c r="AW53" i="62" s="1"/>
  <c r="R53" i="62"/>
  <c r="Q53" i="62"/>
  <c r="E53" i="62"/>
  <c r="L53" i="62" s="1"/>
  <c r="AU52" i="62"/>
  <c r="AT52" i="62"/>
  <c r="AS52" i="62"/>
  <c r="AR52" i="62"/>
  <c r="AQ52" i="62"/>
  <c r="AN52" i="62"/>
  <c r="AL52" i="62"/>
  <c r="AF52" i="62"/>
  <c r="Q52" i="62"/>
  <c r="E52" i="62"/>
  <c r="L52" i="62" s="1"/>
  <c r="AU51" i="62"/>
  <c r="AT51" i="62"/>
  <c r="AS51" i="62"/>
  <c r="AR51" i="62"/>
  <c r="AQ51" i="62"/>
  <c r="AW51" i="62" s="1"/>
  <c r="AN51" i="62"/>
  <c r="AL51" i="62"/>
  <c r="R51" i="62"/>
  <c r="Q51" i="62"/>
  <c r="E51" i="62"/>
  <c r="L51" i="62" s="1"/>
  <c r="AU50" i="62"/>
  <c r="AT50" i="62"/>
  <c r="AS50" i="62"/>
  <c r="AR50" i="62"/>
  <c r="AQ50" i="62"/>
  <c r="AN50" i="62"/>
  <c r="AL50" i="62"/>
  <c r="R50" i="62"/>
  <c r="Q50" i="62"/>
  <c r="E50" i="62"/>
  <c r="L50" i="62" s="1"/>
  <c r="AU49" i="62"/>
  <c r="AT49" i="62"/>
  <c r="AS49" i="62"/>
  <c r="AR49" i="62"/>
  <c r="AQ49" i="62"/>
  <c r="AN49" i="62"/>
  <c r="AL49" i="62"/>
  <c r="R49" i="62"/>
  <c r="Q49" i="62"/>
  <c r="E49" i="62"/>
  <c r="L49" i="62" s="1"/>
  <c r="AU48" i="62"/>
  <c r="AT48" i="62"/>
  <c r="AS48" i="62"/>
  <c r="AR48" i="62"/>
  <c r="AQ48" i="62"/>
  <c r="AN48" i="62"/>
  <c r="AL48" i="62"/>
  <c r="R48" i="62"/>
  <c r="Q48" i="62"/>
  <c r="E48" i="62"/>
  <c r="L48" i="62" s="1"/>
  <c r="AU47" i="62"/>
  <c r="AT47" i="62"/>
  <c r="AS47" i="62"/>
  <c r="AR47" i="62"/>
  <c r="AQ47" i="62"/>
  <c r="AN47" i="62"/>
  <c r="AL47" i="62"/>
  <c r="AF47" i="62"/>
  <c r="R47" i="62"/>
  <c r="Q47" i="62"/>
  <c r="E47" i="62"/>
  <c r="L47" i="62" s="1"/>
  <c r="AU46" i="62"/>
  <c r="AT46" i="62"/>
  <c r="AS46" i="62"/>
  <c r="AR46" i="62"/>
  <c r="AQ46" i="62"/>
  <c r="AW46" i="62" s="1"/>
  <c r="AN46" i="62"/>
  <c r="AL46" i="62"/>
  <c r="R46" i="62"/>
  <c r="Q46" i="62"/>
  <c r="E46" i="62"/>
  <c r="L46" i="62" s="1"/>
  <c r="AU45" i="62"/>
  <c r="AT45" i="62"/>
  <c r="AS45" i="62"/>
  <c r="AR45" i="62"/>
  <c r="AQ45" i="62"/>
  <c r="AN45" i="62"/>
  <c r="AL45" i="62"/>
  <c r="R45" i="62"/>
  <c r="Q45" i="62"/>
  <c r="E45" i="62"/>
  <c r="L45" i="62" s="1"/>
  <c r="AU44" i="62"/>
  <c r="AT44" i="62"/>
  <c r="AS44" i="62"/>
  <c r="AR44" i="62"/>
  <c r="AQ44" i="62"/>
  <c r="AN44" i="62"/>
  <c r="AL44" i="62"/>
  <c r="AF44" i="62"/>
  <c r="R44" i="62"/>
  <c r="Q44" i="62"/>
  <c r="E44" i="62"/>
  <c r="L44" i="62" s="1"/>
  <c r="AU43" i="62"/>
  <c r="AT43" i="62"/>
  <c r="AS43" i="62"/>
  <c r="AR43" i="62"/>
  <c r="AQ43" i="62"/>
  <c r="AW43" i="62" s="1"/>
  <c r="AN43" i="62"/>
  <c r="AL43" i="62"/>
  <c r="R43" i="62"/>
  <c r="Q43" i="62"/>
  <c r="E43" i="62"/>
  <c r="L43" i="62" s="1"/>
  <c r="AU42" i="62"/>
  <c r="AT42" i="62"/>
  <c r="AS42" i="62"/>
  <c r="AR42" i="62"/>
  <c r="AQ42" i="62"/>
  <c r="AN42" i="62"/>
  <c r="AL42" i="62"/>
  <c r="R42" i="62"/>
  <c r="Q42" i="62"/>
  <c r="E42" i="62"/>
  <c r="L42" i="62" s="1"/>
  <c r="AU41" i="62"/>
  <c r="AT41" i="62"/>
  <c r="AS41" i="62"/>
  <c r="AR41" i="62"/>
  <c r="AQ41" i="62"/>
  <c r="AW41" i="62" s="1"/>
  <c r="AN41" i="62"/>
  <c r="AL41" i="62"/>
  <c r="R41" i="62"/>
  <c r="Q41" i="62"/>
  <c r="E41" i="62"/>
  <c r="L41" i="62" s="1"/>
  <c r="AU40" i="62"/>
  <c r="AT40" i="62"/>
  <c r="AS40" i="62"/>
  <c r="AR40" i="62"/>
  <c r="AQ40" i="62"/>
  <c r="AW40" i="62" s="1"/>
  <c r="AN40" i="62"/>
  <c r="AL40" i="62"/>
  <c r="AF40" i="62"/>
  <c r="R40" i="62"/>
  <c r="Q40" i="62"/>
  <c r="E40" i="62"/>
  <c r="L40" i="62" s="1"/>
  <c r="AU39" i="62"/>
  <c r="AT39" i="62"/>
  <c r="AS39" i="62"/>
  <c r="AR39" i="62"/>
  <c r="AQ39" i="62"/>
  <c r="AW39" i="62" s="1"/>
  <c r="AN39" i="62"/>
  <c r="AL39" i="62"/>
  <c r="R39" i="62"/>
  <c r="Q39" i="62"/>
  <c r="E39" i="62"/>
  <c r="L39" i="62" s="1"/>
  <c r="AU38" i="62"/>
  <c r="AT38" i="62"/>
  <c r="AS38" i="62"/>
  <c r="AR38" i="62"/>
  <c r="AQ38" i="62"/>
  <c r="AW38" i="62" s="1"/>
  <c r="AN38" i="62"/>
  <c r="AL38" i="62"/>
  <c r="AF38" i="62"/>
  <c r="R38" i="62"/>
  <c r="Q38" i="62"/>
  <c r="E38" i="62"/>
  <c r="L38" i="62" s="1"/>
  <c r="AU37" i="62"/>
  <c r="AT37" i="62"/>
  <c r="AS37" i="62"/>
  <c r="AR37" i="62"/>
  <c r="AQ37" i="62"/>
  <c r="AW37" i="62" s="1"/>
  <c r="AN37" i="62"/>
  <c r="AL37" i="62"/>
  <c r="R37" i="62"/>
  <c r="Q37" i="62"/>
  <c r="E37" i="62"/>
  <c r="L37" i="62" s="1"/>
  <c r="AU36" i="62"/>
  <c r="AT36" i="62"/>
  <c r="AS36" i="62"/>
  <c r="AR36" i="62"/>
  <c r="AQ36" i="62"/>
  <c r="AW36" i="62" s="1"/>
  <c r="AN36" i="62"/>
  <c r="AL36" i="62"/>
  <c r="AF36" i="62"/>
  <c r="R36" i="62"/>
  <c r="Q36" i="62"/>
  <c r="E36" i="62"/>
  <c r="L36" i="62" s="1"/>
  <c r="AU35" i="62"/>
  <c r="AT35" i="62"/>
  <c r="AS35" i="62"/>
  <c r="AR35" i="62"/>
  <c r="AQ35" i="62"/>
  <c r="AW35" i="62" s="1"/>
  <c r="AN35" i="62"/>
  <c r="AL35" i="62"/>
  <c r="R35" i="62"/>
  <c r="Q35" i="62"/>
  <c r="E35" i="62"/>
  <c r="L35" i="62" s="1"/>
  <c r="AU34" i="62"/>
  <c r="AT34" i="62"/>
  <c r="AS34" i="62"/>
  <c r="AR34" i="62"/>
  <c r="AQ34" i="62"/>
  <c r="AW34" i="62" s="1"/>
  <c r="AN34" i="62"/>
  <c r="AL34" i="62"/>
  <c r="AF34" i="62"/>
  <c r="R34" i="62"/>
  <c r="Q34" i="62"/>
  <c r="E34" i="62"/>
  <c r="L34" i="62" s="1"/>
  <c r="AU33" i="62"/>
  <c r="AT33" i="62"/>
  <c r="AS33" i="62"/>
  <c r="AR33" i="62"/>
  <c r="AQ33" i="62"/>
  <c r="AN33" i="62"/>
  <c r="AL33" i="62"/>
  <c r="AF33" i="62"/>
  <c r="R33" i="62"/>
  <c r="Q33" i="62"/>
  <c r="E33" i="62"/>
  <c r="L33" i="62" s="1"/>
  <c r="AU32" i="62"/>
  <c r="AT32" i="62"/>
  <c r="AS32" i="62"/>
  <c r="AR32" i="62"/>
  <c r="AQ32" i="62"/>
  <c r="AW32" i="62" s="1"/>
  <c r="AN32" i="62"/>
  <c r="AL32" i="62"/>
  <c r="AF32" i="62"/>
  <c r="R32" i="62"/>
  <c r="Q32" i="62"/>
  <c r="E32" i="62"/>
  <c r="L32" i="62" s="1"/>
  <c r="AU31" i="62"/>
  <c r="AT31" i="62"/>
  <c r="AS31" i="62"/>
  <c r="AR31" i="62"/>
  <c r="AQ31" i="62"/>
  <c r="AW31" i="62" s="1"/>
  <c r="AN31" i="62"/>
  <c r="AL31" i="62"/>
  <c r="AF31" i="62"/>
  <c r="R31" i="62"/>
  <c r="Q31" i="62"/>
  <c r="E31" i="62"/>
  <c r="L31" i="62" s="1"/>
  <c r="AU30" i="62"/>
  <c r="AT30" i="62"/>
  <c r="AR30" i="62"/>
  <c r="AN30" i="62"/>
  <c r="AL30" i="62"/>
  <c r="Q30" i="62"/>
  <c r="E30" i="62"/>
  <c r="L30" i="62" s="1"/>
  <c r="AU29" i="62"/>
  <c r="AT29" i="62"/>
  <c r="AS29" i="62"/>
  <c r="AR29" i="62"/>
  <c r="AQ29" i="62"/>
  <c r="AW29" i="62" s="1"/>
  <c r="AL29" i="62"/>
  <c r="AN29" i="62"/>
  <c r="R29" i="62"/>
  <c r="Q29" i="62"/>
  <c r="E29" i="62"/>
  <c r="L29" i="62" s="1"/>
  <c r="AU28" i="62"/>
  <c r="AT28" i="62"/>
  <c r="AR28" i="62"/>
  <c r="AL28" i="62"/>
  <c r="AF28" i="62"/>
  <c r="AN28" i="62"/>
  <c r="Q28" i="62"/>
  <c r="E28" i="62"/>
  <c r="L28" i="62" s="1"/>
  <c r="AU27" i="62"/>
  <c r="AT27" i="62"/>
  <c r="AR27" i="62"/>
  <c r="AN27" i="62"/>
  <c r="AL27" i="62"/>
  <c r="Q27" i="62"/>
  <c r="E27" i="62"/>
  <c r="L27" i="62" s="1"/>
  <c r="AU26" i="62"/>
  <c r="AT26" i="62"/>
  <c r="AR26" i="62"/>
  <c r="AN26" i="62"/>
  <c r="AL26" i="62"/>
  <c r="Q26" i="62"/>
  <c r="E26" i="62"/>
  <c r="L26" i="62" s="1"/>
  <c r="AU25" i="62"/>
  <c r="AT25" i="62"/>
  <c r="AR25" i="62"/>
  <c r="AN25" i="62"/>
  <c r="AL25" i="62"/>
  <c r="AF25" i="62"/>
  <c r="Q25" i="62"/>
  <c r="E25" i="62"/>
  <c r="L25" i="62" s="1"/>
  <c r="AW24" i="62"/>
  <c r="AU24" i="62"/>
  <c r="AT24" i="62"/>
  <c r="AR24" i="62"/>
  <c r="AQ24" i="62"/>
  <c r="AL24" i="62"/>
  <c r="AF24" i="62"/>
  <c r="AN24" i="62"/>
  <c r="Q24" i="62"/>
  <c r="E24" i="62"/>
  <c r="L24" i="62" s="1"/>
  <c r="AU23" i="62"/>
  <c r="AT23" i="62"/>
  <c r="AR23" i="62"/>
  <c r="AN23" i="62"/>
  <c r="AL23" i="62"/>
  <c r="Q23" i="62"/>
  <c r="E23" i="62"/>
  <c r="L23" i="62" s="1"/>
  <c r="AU22" i="62"/>
  <c r="AT22" i="62"/>
  <c r="AR22" i="62"/>
  <c r="AL22" i="62"/>
  <c r="AN22" i="62"/>
  <c r="Q22" i="62"/>
  <c r="E22" i="62"/>
  <c r="L22" i="62" s="1"/>
  <c r="AU21" i="62"/>
  <c r="AT21" i="62"/>
  <c r="AR21" i="62"/>
  <c r="AN21" i="62"/>
  <c r="AL21" i="62"/>
  <c r="AF21" i="62"/>
  <c r="Q21" i="62"/>
  <c r="E21" i="62"/>
  <c r="L21" i="62" s="1"/>
  <c r="AU20" i="62"/>
  <c r="AT20" i="62"/>
  <c r="AR20" i="62"/>
  <c r="AL20" i="62"/>
  <c r="AF20" i="62"/>
  <c r="AN20" i="62"/>
  <c r="Q20" i="62"/>
  <c r="E20" i="62"/>
  <c r="L20" i="62" s="1"/>
  <c r="AU19" i="62"/>
  <c r="AT19" i="62"/>
  <c r="AR19" i="62"/>
  <c r="AN19" i="62"/>
  <c r="AL19" i="62"/>
  <c r="AF19" i="62"/>
  <c r="Q19" i="62"/>
  <c r="E19" i="62"/>
  <c r="L19" i="62" s="1"/>
  <c r="AU18" i="62"/>
  <c r="AT18" i="62"/>
  <c r="AR18" i="62"/>
  <c r="AN18" i="62"/>
  <c r="AL18" i="62"/>
  <c r="Q18" i="62"/>
  <c r="E18" i="62"/>
  <c r="L18" i="62" s="1"/>
  <c r="AU17" i="62"/>
  <c r="AT17" i="62"/>
  <c r="AR17" i="62"/>
  <c r="AN17" i="62"/>
  <c r="AL17" i="62"/>
  <c r="AF17" i="62"/>
  <c r="AQ17" i="62"/>
  <c r="Q17" i="62"/>
  <c r="E17" i="62"/>
  <c r="L17" i="62" s="1"/>
  <c r="AU16" i="62"/>
  <c r="AT16" i="62"/>
  <c r="AR16" i="62"/>
  <c r="AL16" i="62"/>
  <c r="AF16" i="62"/>
  <c r="AN16" i="62"/>
  <c r="Q16" i="62"/>
  <c r="E16" i="62"/>
  <c r="L16" i="62" s="1"/>
  <c r="AU15" i="62"/>
  <c r="AT15" i="62"/>
  <c r="AR15" i="62"/>
  <c r="AN15" i="62"/>
  <c r="AL15" i="62"/>
  <c r="Q15" i="62"/>
  <c r="E15" i="62"/>
  <c r="L15" i="62" s="1"/>
  <c r="AU14" i="62"/>
  <c r="AT14" i="62"/>
  <c r="AR14" i="62"/>
  <c r="AL14" i="62"/>
  <c r="AF14" i="62"/>
  <c r="AN14" i="62"/>
  <c r="Q14" i="62"/>
  <c r="E14" i="62"/>
  <c r="L14" i="62" s="1"/>
  <c r="AU13" i="62"/>
  <c r="AT13" i="62"/>
  <c r="AR13" i="62"/>
  <c r="AN13" i="62"/>
  <c r="AL13" i="62"/>
  <c r="Q13" i="62"/>
  <c r="E13" i="62"/>
  <c r="L13" i="62" s="1"/>
  <c r="AU12" i="62"/>
  <c r="AT12" i="62"/>
  <c r="AR12" i="62"/>
  <c r="AL12" i="62"/>
  <c r="AF12" i="62"/>
  <c r="AN12" i="62"/>
  <c r="Q12" i="62"/>
  <c r="E12" i="62"/>
  <c r="L12" i="62" s="1"/>
  <c r="AU11" i="62"/>
  <c r="AT11" i="62"/>
  <c r="AR11" i="62"/>
  <c r="AN11" i="62"/>
  <c r="AL11" i="62"/>
  <c r="AF11" i="62"/>
  <c r="Q11" i="62"/>
  <c r="E11" i="62"/>
  <c r="L11" i="62" s="1"/>
  <c r="AU10" i="62"/>
  <c r="AT10" i="62"/>
  <c r="AR10" i="62"/>
  <c r="AN10" i="62"/>
  <c r="AL10" i="62"/>
  <c r="Q10" i="62"/>
  <c r="E10" i="62"/>
  <c r="L10" i="62" s="1"/>
  <c r="AU9" i="62"/>
  <c r="AT9" i="62"/>
  <c r="AR9" i="62"/>
  <c r="AN9" i="62"/>
  <c r="AL9" i="62"/>
  <c r="AF9" i="62"/>
  <c r="Q9" i="62"/>
  <c r="E9" i="62"/>
  <c r="L9" i="62" s="1"/>
  <c r="AU8" i="62"/>
  <c r="AT8" i="62"/>
  <c r="AR8" i="62"/>
  <c r="AL8" i="62"/>
  <c r="AF8" i="62"/>
  <c r="AN8" i="62"/>
  <c r="Q8" i="62"/>
  <c r="E8" i="62"/>
  <c r="L8" i="62" s="1"/>
  <c r="AU7" i="62"/>
  <c r="AT7" i="62"/>
  <c r="AR7" i="62"/>
  <c r="AN7" i="62"/>
  <c r="AL7" i="62"/>
  <c r="AF7" i="62"/>
  <c r="AQ7" i="62"/>
  <c r="Q7" i="62"/>
  <c r="E7" i="62"/>
  <c r="L7" i="62" s="1"/>
  <c r="AU6" i="62"/>
  <c r="AT6" i="62"/>
  <c r="AR6" i="62"/>
  <c r="AN6" i="62"/>
  <c r="AL6" i="62"/>
  <c r="Q6" i="62"/>
  <c r="E6" i="62"/>
  <c r="L6" i="62" s="1"/>
  <c r="AU5" i="62"/>
  <c r="AT5" i="62"/>
  <c r="AR5" i="62"/>
  <c r="AN5" i="62"/>
  <c r="AL5" i="62"/>
  <c r="AF5" i="62"/>
  <c r="R5" i="62"/>
  <c r="Q5" i="62"/>
  <c r="E5" i="62"/>
  <c r="L5" i="62" s="1"/>
  <c r="AU4" i="62"/>
  <c r="AT4" i="62"/>
  <c r="AR4" i="62"/>
  <c r="AN4" i="62"/>
  <c r="AL4" i="62"/>
  <c r="AF4" i="62"/>
  <c r="AQ4" i="62"/>
  <c r="Q4" i="62"/>
  <c r="E4" i="62"/>
  <c r="L4" i="62" s="1"/>
  <c r="AU3" i="62"/>
  <c r="AT3" i="62"/>
  <c r="AR3" i="62"/>
  <c r="AL3" i="62"/>
  <c r="AB3" i="62"/>
  <c r="AA3" i="62"/>
  <c r="AA126" i="62" s="1"/>
  <c r="X3" i="62"/>
  <c r="X126" i="62" s="1"/>
  <c r="U3" i="62"/>
  <c r="AD3" i="62" s="1"/>
  <c r="AD126" i="62" s="1"/>
  <c r="P25" i="57" s="1"/>
  <c r="Q3" i="62"/>
  <c r="E3" i="62"/>
  <c r="F12" i="67" l="1"/>
  <c r="E13" i="67"/>
  <c r="G13" i="67"/>
  <c r="G14" i="67"/>
  <c r="L15" i="67"/>
  <c r="M14" i="67"/>
  <c r="G12" i="67" s="1"/>
  <c r="M25" i="69"/>
  <c r="G25" i="69" s="1"/>
  <c r="L26" i="69"/>
  <c r="E29" i="69"/>
  <c r="F28" i="69"/>
  <c r="G18" i="66"/>
  <c r="L5" i="63"/>
  <c r="M4" i="63"/>
  <c r="D106" i="63"/>
  <c r="M24" i="66"/>
  <c r="L25" i="66"/>
  <c r="F25" i="66"/>
  <c r="E26" i="66"/>
  <c r="O25" i="57"/>
  <c r="AH25" i="57"/>
  <c r="S127" i="62"/>
  <c r="H25" i="3"/>
  <c r="H48" i="3" s="1"/>
  <c r="T127" i="62"/>
  <c r="I25" i="3"/>
  <c r="I48" i="3" s="1"/>
  <c r="J48" i="3"/>
  <c r="W127" i="62"/>
  <c r="K25" i="3"/>
  <c r="K48" i="3" s="1"/>
  <c r="Y127" i="62"/>
  <c r="M25" i="3"/>
  <c r="AM127" i="62"/>
  <c r="U25" i="3"/>
  <c r="U48" i="3" s="1"/>
  <c r="Z127" i="62"/>
  <c r="AF126" i="62"/>
  <c r="V127" i="62"/>
  <c r="AN3" i="62"/>
  <c r="AN126" i="62" s="1"/>
  <c r="AC25" i="57" s="1"/>
  <c r="U126" i="62"/>
  <c r="R3" i="62"/>
  <c r="AL31" i="64"/>
  <c r="AO31" i="62"/>
  <c r="AV31" i="62" s="1" a="1"/>
  <c r="AV31" i="62" s="1"/>
  <c r="AL62" i="64"/>
  <c r="AO62" i="62"/>
  <c r="AV62" i="62" s="1" a="1"/>
  <c r="AV62" i="62" s="1"/>
  <c r="AZ62" i="62" s="1"/>
  <c r="AO8" i="62"/>
  <c r="AL8" i="64"/>
  <c r="AL13" i="64"/>
  <c r="AO13" i="62"/>
  <c r="AO45" i="62"/>
  <c r="AL45" i="64"/>
  <c r="AL56" i="64"/>
  <c r="AO56" i="62"/>
  <c r="AV56" i="62" s="1" a="1"/>
  <c r="AV56" i="62" s="1"/>
  <c r="AZ56" i="62" s="1"/>
  <c r="AO34" i="62"/>
  <c r="AL34" i="64"/>
  <c r="AL47" i="64"/>
  <c r="AO47" i="62"/>
  <c r="AV47" i="62" s="1" a="1"/>
  <c r="AV47" i="62" s="1"/>
  <c r="AW47" i="62" s="1"/>
  <c r="AL6" i="64"/>
  <c r="AO6" i="62"/>
  <c r="AV6" i="62" s="1" a="1"/>
  <c r="AV6" i="62" s="1"/>
  <c r="AO16" i="62"/>
  <c r="AV16" i="62" s="1" a="1"/>
  <c r="AV16" i="62" s="1"/>
  <c r="AL16" i="64"/>
  <c r="AL21" i="64"/>
  <c r="AO21" i="62"/>
  <c r="AL28" i="64"/>
  <c r="AO28" i="62"/>
  <c r="AL30" i="64"/>
  <c r="AO30" i="62"/>
  <c r="AV30" i="62" s="1" a="1"/>
  <c r="AV30" i="62" s="1"/>
  <c r="AO43" i="62"/>
  <c r="AV43" i="62" s="1" a="1"/>
  <c r="AV43" i="62" s="1"/>
  <c r="AZ43" i="62" s="1"/>
  <c r="AL43" i="64"/>
  <c r="AO44" i="62"/>
  <c r="AL44" i="64"/>
  <c r="AO65" i="62"/>
  <c r="AV65" i="62" s="1" a="1"/>
  <c r="AV65" i="62" s="1"/>
  <c r="AZ65" i="62" s="1"/>
  <c r="AL65" i="64"/>
  <c r="AO68" i="62"/>
  <c r="AV68" i="62" s="1" a="1"/>
  <c r="AV68" i="62" s="1"/>
  <c r="AL68" i="64"/>
  <c r="AO74" i="62"/>
  <c r="AV74" i="62" s="1" a="1"/>
  <c r="AV74" i="62" s="1"/>
  <c r="AL74" i="64"/>
  <c r="AO78" i="62"/>
  <c r="AL78" i="64"/>
  <c r="AL18" i="64"/>
  <c r="AO18" i="62"/>
  <c r="AV18" i="62" s="1" a="1"/>
  <c r="AV18" i="62" s="1"/>
  <c r="AO25" i="62"/>
  <c r="AL25" i="64"/>
  <c r="AL46" i="64"/>
  <c r="AO46" i="62"/>
  <c r="AV46" i="62" s="1" a="1"/>
  <c r="AV46" i="62" s="1"/>
  <c r="AO11" i="62"/>
  <c r="AL11" i="64"/>
  <c r="AO24" i="62"/>
  <c r="AV24" i="62" s="1" a="1"/>
  <c r="AV24" i="62" s="1"/>
  <c r="AL24" i="64"/>
  <c r="AO26" i="62"/>
  <c r="AL26" i="64"/>
  <c r="AO42" i="62"/>
  <c r="AV42" i="62" s="1" a="1"/>
  <c r="AV42" i="62" s="1"/>
  <c r="AL42" i="64"/>
  <c r="AL52" i="64"/>
  <c r="AO52" i="62"/>
  <c r="AV52" i="62" s="1" a="1"/>
  <c r="AV52" i="62" s="1"/>
  <c r="AW52" i="62" s="1"/>
  <c r="AL53" i="64"/>
  <c r="AO53" i="62"/>
  <c r="AL58" i="64"/>
  <c r="AO58" i="62"/>
  <c r="AV58" i="62" s="1" a="1"/>
  <c r="AV58" i="62" s="1"/>
  <c r="AL61" i="64"/>
  <c r="AO61" i="62"/>
  <c r="AV61" i="62" s="1" a="1"/>
  <c r="AV61" i="62" s="1"/>
  <c r="AZ61" i="62" s="1"/>
  <c r="AO67" i="62"/>
  <c r="AL67" i="64"/>
  <c r="AL20" i="64"/>
  <c r="AO20" i="62"/>
  <c r="AL32" i="64"/>
  <c r="AO32" i="62"/>
  <c r="AO4" i="62"/>
  <c r="AV4" i="62" s="1" a="1"/>
  <c r="AV4" i="62" s="1"/>
  <c r="AW4" i="62" s="1"/>
  <c r="AL4" i="64"/>
  <c r="AO9" i="62"/>
  <c r="AL9" i="64"/>
  <c r="AL14" i="64"/>
  <c r="AO14" i="62"/>
  <c r="AV14" i="62" s="1" a="1"/>
  <c r="AV14" i="62" s="1"/>
  <c r="AO19" i="62"/>
  <c r="AL19" i="64"/>
  <c r="AO41" i="62"/>
  <c r="AV41" i="62" s="1" a="1"/>
  <c r="AV41" i="62" s="1"/>
  <c r="AL41" i="64"/>
  <c r="AO51" i="62"/>
  <c r="AL51" i="64"/>
  <c r="AL64" i="64"/>
  <c r="AO64" i="62"/>
  <c r="AV64" i="62" s="1" a="1"/>
  <c r="AV64" i="62" s="1"/>
  <c r="AL70" i="64"/>
  <c r="AO70" i="62"/>
  <c r="AV70" i="62" s="1" a="1"/>
  <c r="AV70" i="62" s="1"/>
  <c r="AO76" i="62"/>
  <c r="AV76" i="62" s="1" a="1"/>
  <c r="AV76" i="62" s="1"/>
  <c r="AL76" i="64"/>
  <c r="AO7" i="62"/>
  <c r="AV7" i="62" s="1" a="1"/>
  <c r="AV7" i="62" s="1"/>
  <c r="AL7" i="64"/>
  <c r="AO17" i="62"/>
  <c r="AV17" i="62" s="1" a="1"/>
  <c r="AV17" i="62" s="1"/>
  <c r="AW17" i="62" s="1"/>
  <c r="AL17" i="64"/>
  <c r="AL22" i="64"/>
  <c r="AO22" i="62"/>
  <c r="AV22" i="62" s="1" a="1"/>
  <c r="AV22" i="62" s="1"/>
  <c r="AL39" i="64"/>
  <c r="AO39" i="62"/>
  <c r="AV39" i="62" s="1" a="1"/>
  <c r="AV39" i="62" s="1"/>
  <c r="AL40" i="64"/>
  <c r="AO40" i="62"/>
  <c r="AV40" i="62" s="1" a="1"/>
  <c r="AV40" i="62" s="1"/>
  <c r="AZ40" i="62" s="1"/>
  <c r="AO50" i="62"/>
  <c r="AL50" i="64"/>
  <c r="AL63" i="64"/>
  <c r="AO63" i="62"/>
  <c r="AO73" i="62"/>
  <c r="AV73" i="62" s="1" a="1"/>
  <c r="AV73" i="62" s="1"/>
  <c r="AZ73" i="62" s="1"/>
  <c r="AL73" i="64"/>
  <c r="AO33" i="62"/>
  <c r="AL33" i="64"/>
  <c r="AL15" i="64"/>
  <c r="AO15" i="62"/>
  <c r="AV15" i="62" s="1" a="1"/>
  <c r="AV15" i="62" s="1"/>
  <c r="AO27" i="62"/>
  <c r="AL27" i="64"/>
  <c r="AL29" i="64"/>
  <c r="AO29" i="62"/>
  <c r="AV29" i="62" s="1" a="1"/>
  <c r="AV29" i="62" s="1"/>
  <c r="AL37" i="64"/>
  <c r="AO37" i="62"/>
  <c r="AV37" i="62" s="1" a="1"/>
  <c r="AV37" i="62" s="1"/>
  <c r="AZ37" i="62" s="1"/>
  <c r="AL38" i="64"/>
  <c r="AO38" i="62"/>
  <c r="AV38" i="62" s="1" a="1"/>
  <c r="AV38" i="62" s="1"/>
  <c r="AO49" i="62"/>
  <c r="AL49" i="64"/>
  <c r="AO3" i="62"/>
  <c r="AL3" i="64"/>
  <c r="AO5" i="62"/>
  <c r="AL5" i="64"/>
  <c r="AL10" i="64"/>
  <c r="AO10" i="62"/>
  <c r="AL12" i="64"/>
  <c r="AO12" i="62"/>
  <c r="AV12" i="62" s="1" a="1"/>
  <c r="AV12" i="62" s="1"/>
  <c r="AL23" i="64"/>
  <c r="AO23" i="62"/>
  <c r="AV23" i="62" s="1" a="1"/>
  <c r="AV23" i="62" s="1"/>
  <c r="AO35" i="62"/>
  <c r="AL35" i="64"/>
  <c r="AO36" i="62"/>
  <c r="AV36" i="62" s="1" a="1"/>
  <c r="AV36" i="62" s="1"/>
  <c r="AL36" i="64"/>
  <c r="AL48" i="64"/>
  <c r="AO48" i="62"/>
  <c r="AV48" i="62" s="1" a="1"/>
  <c r="AV48" i="62" s="1"/>
  <c r="AW48" i="62" s="1"/>
  <c r="AL54" i="64"/>
  <c r="AO54" i="62"/>
  <c r="AV54" i="62" s="1" a="1"/>
  <c r="AV54" i="62" s="1"/>
  <c r="AO57" i="62"/>
  <c r="AL57" i="64"/>
  <c r="AO66" i="62"/>
  <c r="AL66" i="64"/>
  <c r="AL72" i="64"/>
  <c r="AO72" i="62"/>
  <c r="AV72" i="62" s="1" a="1"/>
  <c r="AV72" i="62" s="1"/>
  <c r="AI127" i="62"/>
  <c r="AH127" i="62"/>
  <c r="Q126" i="62"/>
  <c r="AB126" i="62"/>
  <c r="N127" i="62"/>
  <c r="AV53" i="62" a="1"/>
  <c r="AV53" i="62" s="1"/>
  <c r="AZ53" i="62" s="1"/>
  <c r="AL71" i="62"/>
  <c r="AL75" i="62"/>
  <c r="E106" i="62"/>
  <c r="E127" i="62" s="1"/>
  <c r="AL55" i="62"/>
  <c r="AL59" i="62"/>
  <c r="AL60" i="62"/>
  <c r="AL69" i="62"/>
  <c r="AL126" i="62"/>
  <c r="AL77" i="62"/>
  <c r="E126" i="62"/>
  <c r="L3" i="62"/>
  <c r="L126" i="62" s="1"/>
  <c r="F4" i="63"/>
  <c r="E5" i="63"/>
  <c r="AG127" i="62"/>
  <c r="AW7" i="62"/>
  <c r="R13" i="62"/>
  <c r="AS13" i="62"/>
  <c r="R21" i="62"/>
  <c r="AS21" i="62"/>
  <c r="AV35" i="62" a="1"/>
  <c r="AV35" i="62" s="1"/>
  <c r="AZ35" i="62" s="1"/>
  <c r="AF35" i="62"/>
  <c r="AB106" i="62"/>
  <c r="AB127" i="62" s="1"/>
  <c r="AF6" i="62"/>
  <c r="AV11" i="62" a="1"/>
  <c r="AV11" i="62" s="1"/>
  <c r="AF13" i="62"/>
  <c r="AF27" i="62"/>
  <c r="R6" i="62"/>
  <c r="AS6" i="62"/>
  <c r="AV19" i="62" a="1"/>
  <c r="AV19" i="62" s="1"/>
  <c r="R15" i="62"/>
  <c r="AS15" i="62"/>
  <c r="AD106" i="62"/>
  <c r="AS4" i="62"/>
  <c r="R4" i="62"/>
  <c r="R7" i="62"/>
  <c r="AS7" i="62"/>
  <c r="AQ15" i="62"/>
  <c r="AQ6" i="62"/>
  <c r="AQ13" i="62"/>
  <c r="AQ21" i="62"/>
  <c r="AQ86" i="62"/>
  <c r="R86" i="62"/>
  <c r="AS86" i="62"/>
  <c r="U106" i="62"/>
  <c r="U127" i="62" s="1"/>
  <c r="R16" i="62"/>
  <c r="AS16" i="62"/>
  <c r="AV51" i="62" a="1"/>
  <c r="AV51" i="62" s="1"/>
  <c r="X106" i="62"/>
  <c r="X127" i="62" s="1"/>
  <c r="R25" i="62"/>
  <c r="AS25" i="62"/>
  <c r="AQ25" i="62"/>
  <c r="AW25" i="62" s="1"/>
  <c r="AF29" i="62"/>
  <c r="AA106" i="62"/>
  <c r="AA127" i="62" s="1"/>
  <c r="AQ3" i="62"/>
  <c r="AU105" i="62"/>
  <c r="R10" i="62"/>
  <c r="AS10" i="62"/>
  <c r="AQ10" i="62"/>
  <c r="R18" i="62"/>
  <c r="AS18" i="62"/>
  <c r="AQ18" i="62"/>
  <c r="AF22" i="62"/>
  <c r="R26" i="62"/>
  <c r="AV26" i="62" a="1"/>
  <c r="AV26" i="62" s="1"/>
  <c r="AS26" i="62"/>
  <c r="AQ26" i="62"/>
  <c r="AF30" i="62"/>
  <c r="AF37" i="62"/>
  <c r="AV5" i="62" a="1"/>
  <c r="AV5" i="62" s="1"/>
  <c r="AS5" i="62"/>
  <c r="AQ5" i="62"/>
  <c r="R11" i="62"/>
  <c r="AS11" i="62"/>
  <c r="AQ11" i="62"/>
  <c r="AF15" i="62"/>
  <c r="R19" i="62"/>
  <c r="AS19" i="62"/>
  <c r="AQ19" i="62"/>
  <c r="AW19" i="62" s="1"/>
  <c r="AF23" i="62"/>
  <c r="R27" i="62"/>
  <c r="AV27" i="62" a="1"/>
  <c r="AV27" i="62" s="1"/>
  <c r="AS27" i="62"/>
  <c r="AQ27" i="62"/>
  <c r="AW27" i="62" s="1"/>
  <c r="AF41" i="62"/>
  <c r="AF42" i="62"/>
  <c r="AF51" i="62"/>
  <c r="AQ58" i="62"/>
  <c r="AS58" i="62"/>
  <c r="R58" i="62"/>
  <c r="R23" i="62"/>
  <c r="AS23" i="62"/>
  <c r="AQ23" i="62"/>
  <c r="AW23" i="62" s="1"/>
  <c r="AN106" i="62"/>
  <c r="R8" i="62"/>
  <c r="AV8" i="62" a="1"/>
  <c r="AV8" i="62" s="1"/>
  <c r="AS8" i="62"/>
  <c r="AQ8" i="62"/>
  <c r="AQ16" i="62"/>
  <c r="R24" i="62"/>
  <c r="AS24" i="62"/>
  <c r="AQ30" i="62"/>
  <c r="AW30" i="62" s="1"/>
  <c r="R30" i="62"/>
  <c r="AS30" i="62"/>
  <c r="AF48" i="62"/>
  <c r="AV49" i="62" a="1"/>
  <c r="AV49" i="62" s="1"/>
  <c r="AW49" i="62" s="1"/>
  <c r="AF49" i="62"/>
  <c r="AQ54" i="62"/>
  <c r="AS54" i="62"/>
  <c r="R54" i="62"/>
  <c r="R9" i="62"/>
  <c r="AV9" i="62" a="1"/>
  <c r="AV9" i="62" s="1"/>
  <c r="AS9" i="62"/>
  <c r="AQ9" i="62"/>
  <c r="R17" i="62"/>
  <c r="AS17" i="62"/>
  <c r="AS3" i="62"/>
  <c r="R12" i="62"/>
  <c r="AS12" i="62"/>
  <c r="AQ12" i="62"/>
  <c r="R20" i="62"/>
  <c r="AV20" i="62" a="1"/>
  <c r="AV20" i="62" s="1"/>
  <c r="AS20" i="62"/>
  <c r="AQ20" i="62"/>
  <c r="AV21" i="62" a="1"/>
  <c r="AV21" i="62" s="1"/>
  <c r="R28" i="62"/>
  <c r="AS28" i="62"/>
  <c r="AQ28" i="62"/>
  <c r="AV32" i="62" a="1"/>
  <c r="AV32" i="62" s="1"/>
  <c r="AZ32" i="62" s="1"/>
  <c r="AV66" i="62" a="1"/>
  <c r="AV66" i="62" s="1"/>
  <c r="AQ70" i="62"/>
  <c r="AW70" i="62" s="1"/>
  <c r="AS70" i="62"/>
  <c r="R70" i="62"/>
  <c r="AF3" i="62"/>
  <c r="AF10" i="62"/>
  <c r="R14" i="62"/>
  <c r="AS14" i="62"/>
  <c r="AQ14" i="62"/>
  <c r="AF18" i="62"/>
  <c r="R22" i="62"/>
  <c r="AS22" i="62"/>
  <c r="AQ22" i="62"/>
  <c r="AF26" i="62"/>
  <c r="AF39" i="62"/>
  <c r="AV45" i="62" a="1"/>
  <c r="AV45" i="62" s="1"/>
  <c r="AW45" i="62" s="1"/>
  <c r="AF45" i="62"/>
  <c r="AR105" i="62"/>
  <c r="AQ81" i="62"/>
  <c r="AW81" i="62" s="1"/>
  <c r="R81" i="62"/>
  <c r="AS81" i="62"/>
  <c r="AV34" i="62" a="1"/>
  <c r="AV34" i="62" s="1"/>
  <c r="AV50" i="62" a="1"/>
  <c r="AV50" i="62" s="1"/>
  <c r="AW50" i="62" s="1"/>
  <c r="AQ62" i="62"/>
  <c r="AW62" i="62" s="1"/>
  <c r="AS62" i="62"/>
  <c r="R62" i="62"/>
  <c r="AT105" i="62"/>
  <c r="AV57" i="62" a="1"/>
  <c r="AV57" i="62" s="1"/>
  <c r="AZ57" i="62" s="1"/>
  <c r="AQ74" i="62"/>
  <c r="AW74" i="62" s="1"/>
  <c r="AS74" i="62"/>
  <c r="R74" i="62"/>
  <c r="AV33" i="62" a="1"/>
  <c r="AV33" i="62" s="1"/>
  <c r="AW33" i="62" s="1"/>
  <c r="AF43" i="62"/>
  <c r="AV44" i="62" a="1"/>
  <c r="AV44" i="62" s="1"/>
  <c r="AW44" i="62" s="1"/>
  <c r="AF46" i="62"/>
  <c r="AF50" i="62"/>
  <c r="AQ66" i="62"/>
  <c r="AW66" i="62" s="1"/>
  <c r="AS66" i="62"/>
  <c r="R66" i="62"/>
  <c r="AQ80" i="62"/>
  <c r="R80" i="62"/>
  <c r="AS80" i="62"/>
  <c r="AQ78" i="62"/>
  <c r="AW78" i="62" s="1"/>
  <c r="AS78" i="62"/>
  <c r="R78" i="62"/>
  <c r="AV78" i="62" a="1"/>
  <c r="AV78" i="62" s="1"/>
  <c r="AZ78" i="62" s="1"/>
  <c r="AF79" i="62"/>
  <c r="AQ83" i="62"/>
  <c r="AW83" i="62" s="1"/>
  <c r="R83" i="62"/>
  <c r="AS83" i="62"/>
  <c r="AE127" i="62"/>
  <c r="AQ87" i="62"/>
  <c r="R87" i="62"/>
  <c r="AS87" i="62"/>
  <c r="R52" i="62"/>
  <c r="AV63" i="62" a="1"/>
  <c r="AV63" i="62" s="1"/>
  <c r="AV67" i="62" a="1"/>
  <c r="AV67" i="62" s="1"/>
  <c r="AZ67" i="62" s="1"/>
  <c r="AQ85" i="62"/>
  <c r="R85" i="62"/>
  <c r="R79" i="62"/>
  <c r="AS88" i="62"/>
  <c r="AS89" i="62"/>
  <c r="AS90" i="62"/>
  <c r="AS91" i="62"/>
  <c r="AS92" i="62"/>
  <c r="AS93" i="62"/>
  <c r="AS94" i="62"/>
  <c r="AS95" i="62"/>
  <c r="AS96" i="62"/>
  <c r="AS97" i="62"/>
  <c r="AS98" i="62"/>
  <c r="AS99" i="62"/>
  <c r="AS100" i="62"/>
  <c r="AS101" i="62"/>
  <c r="AS102" i="62"/>
  <c r="AS103" i="62"/>
  <c r="AS104" i="62"/>
  <c r="AU106" i="62"/>
  <c r="AQ84" i="62"/>
  <c r="AW84" i="62" s="1"/>
  <c r="R84" i="62"/>
  <c r="AL104" i="62"/>
  <c r="AL103" i="62"/>
  <c r="AL102" i="62"/>
  <c r="AL101" i="62"/>
  <c r="AL100" i="62"/>
  <c r="AL99" i="62"/>
  <c r="AL98" i="62"/>
  <c r="AL97" i="62"/>
  <c r="AL96" i="62"/>
  <c r="AL95" i="62"/>
  <c r="AL94" i="62"/>
  <c r="AL93" i="62"/>
  <c r="AL92" i="62"/>
  <c r="AL91" i="62"/>
  <c r="AL90" i="62"/>
  <c r="AL89" i="62"/>
  <c r="AL88" i="62"/>
  <c r="AL87" i="62"/>
  <c r="AL86" i="62"/>
  <c r="AL85" i="62"/>
  <c r="AL84" i="62"/>
  <c r="AL83" i="62"/>
  <c r="AL82" i="62"/>
  <c r="AL81" i="62"/>
  <c r="AL80" i="62"/>
  <c r="AL79" i="62"/>
  <c r="AF114" i="62"/>
  <c r="AQ82" i="62"/>
  <c r="R82" i="62"/>
  <c r="AQ88" i="62"/>
  <c r="AW88" i="62" s="1"/>
  <c r="R88" i="62"/>
  <c r="AQ89" i="62"/>
  <c r="AW89" i="62" s="1"/>
  <c r="R89" i="62"/>
  <c r="AQ90" i="62"/>
  <c r="AW90" i="62" s="1"/>
  <c r="R90" i="62"/>
  <c r="AQ91" i="62"/>
  <c r="R91" i="62"/>
  <c r="AQ92" i="62"/>
  <c r="R92" i="62"/>
  <c r="AQ93" i="62"/>
  <c r="AW93" i="62" s="1"/>
  <c r="R93" i="62"/>
  <c r="AQ94" i="62"/>
  <c r="AW94" i="62" s="1"/>
  <c r="R94" i="62"/>
  <c r="AQ95" i="62"/>
  <c r="AW95" i="62" s="1"/>
  <c r="R95" i="62"/>
  <c r="AQ96" i="62"/>
  <c r="AW96" i="62" s="1"/>
  <c r="R96" i="62"/>
  <c r="AQ97" i="62"/>
  <c r="AW97" i="62" s="1"/>
  <c r="R97" i="62"/>
  <c r="AQ98" i="62"/>
  <c r="R98" i="62"/>
  <c r="AQ99" i="62"/>
  <c r="AW99" i="62" s="1"/>
  <c r="R99" i="62"/>
  <c r="AQ100" i="62"/>
  <c r="R100" i="62"/>
  <c r="AQ101" i="62"/>
  <c r="AW101" i="62" s="1"/>
  <c r="R101" i="62"/>
  <c r="AQ102" i="62"/>
  <c r="R102" i="62"/>
  <c r="AQ103" i="62"/>
  <c r="AW103" i="62" s="1"/>
  <c r="R103" i="62"/>
  <c r="AQ104" i="62"/>
  <c r="R104" i="62"/>
  <c r="AU114" i="62"/>
  <c r="L16" i="67" l="1"/>
  <c r="M15" i="67"/>
  <c r="G15" i="67" s="1"/>
  <c r="E14" i="67"/>
  <c r="F13" i="67"/>
  <c r="F29" i="69"/>
  <c r="E30" i="69"/>
  <c r="M26" i="69"/>
  <c r="G26" i="69" s="1"/>
  <c r="L27" i="69"/>
  <c r="M5" i="63"/>
  <c r="G5" i="63" s="1"/>
  <c r="L6" i="63"/>
  <c r="F26" i="66"/>
  <c r="E27" i="66"/>
  <c r="M25" i="66"/>
  <c r="L26" i="66"/>
  <c r="AW5" i="62"/>
  <c r="AW18" i="62"/>
  <c r="AN127" i="62"/>
  <c r="AC25" i="3"/>
  <c r="AC48" i="3" s="1"/>
  <c r="O25" i="3"/>
  <c r="M48" i="3"/>
  <c r="AW9" i="62"/>
  <c r="AD127" i="62"/>
  <c r="P25" i="3"/>
  <c r="P48" i="3" s="1"/>
  <c r="L25" i="3"/>
  <c r="L48" i="3" s="1"/>
  <c r="Y39" i="57"/>
  <c r="X39" i="57"/>
  <c r="W39" i="57"/>
  <c r="AK25" i="57"/>
  <c r="F25" i="57"/>
  <c r="AE25" i="57"/>
  <c r="AF25" i="57"/>
  <c r="AW11" i="62"/>
  <c r="AW14" i="62"/>
  <c r="AZ42" i="62"/>
  <c r="AW42" i="62"/>
  <c r="AZ76" i="62"/>
  <c r="AW76" i="62"/>
  <c r="AX56" i="62"/>
  <c r="AW12" i="62"/>
  <c r="AW16" i="62"/>
  <c r="AW21" i="62"/>
  <c r="AW8" i="62"/>
  <c r="AC101" i="62"/>
  <c r="AC5" i="62"/>
  <c r="AC13" i="62"/>
  <c r="AC91" i="62"/>
  <c r="AC79" i="62"/>
  <c r="AC4" i="62"/>
  <c r="AC52" i="62"/>
  <c r="AC49" i="62"/>
  <c r="AC96" i="62"/>
  <c r="AC55" i="62"/>
  <c r="AC10" i="62"/>
  <c r="AC99" i="62"/>
  <c r="AC54" i="62"/>
  <c r="AC95" i="62"/>
  <c r="AC97" i="62"/>
  <c r="AC15" i="62"/>
  <c r="AC75" i="62"/>
  <c r="AC59" i="62"/>
  <c r="AC25" i="62"/>
  <c r="AC80" i="62"/>
  <c r="AC60" i="62"/>
  <c r="AC98" i="62"/>
  <c r="AC81" i="62"/>
  <c r="AC78" i="62"/>
  <c r="AC86" i="62"/>
  <c r="AC44" i="62"/>
  <c r="AC35" i="62"/>
  <c r="AC73" i="62"/>
  <c r="AC48" i="62"/>
  <c r="AC8" i="62"/>
  <c r="AC67" i="62"/>
  <c r="AC46" i="62"/>
  <c r="AC87" i="62"/>
  <c r="AC83" i="62"/>
  <c r="AC6" i="62"/>
  <c r="AC71" i="62"/>
  <c r="AC51" i="62"/>
  <c r="AC77" i="62"/>
  <c r="AC20" i="62"/>
  <c r="AC12" i="62"/>
  <c r="AC11" i="62"/>
  <c r="AC19" i="62"/>
  <c r="AC72" i="62"/>
  <c r="AC69" i="62"/>
  <c r="AC45" i="62"/>
  <c r="AC31" i="62"/>
  <c r="AC34" i="62"/>
  <c r="AC16" i="62"/>
  <c r="AC47" i="62"/>
  <c r="AC7" i="62"/>
  <c r="AC66" i="62"/>
  <c r="AC41" i="62"/>
  <c r="AC82" i="62"/>
  <c r="AC94" i="62"/>
  <c r="AC61" i="62"/>
  <c r="AC56" i="62"/>
  <c r="AC62" i="62"/>
  <c r="AC36" i="62"/>
  <c r="AC24" i="62"/>
  <c r="AC74" i="62"/>
  <c r="AC33" i="62"/>
  <c r="AC103" i="62"/>
  <c r="AC43" i="62"/>
  <c r="AC70" i="62"/>
  <c r="AC65" i="62"/>
  <c r="AC40" i="62"/>
  <c r="AC28" i="62"/>
  <c r="AC76" i="62"/>
  <c r="AC14" i="62"/>
  <c r="AC22" i="62"/>
  <c r="AC57" i="62"/>
  <c r="AC50" i="62"/>
  <c r="AC9" i="62"/>
  <c r="AC53" i="62"/>
  <c r="AC27" i="62"/>
  <c r="AC100" i="62"/>
  <c r="AC17" i="62"/>
  <c r="AC32" i="62"/>
  <c r="AC92" i="62"/>
  <c r="AC42" i="62"/>
  <c r="AC37" i="62"/>
  <c r="AC38" i="62"/>
  <c r="AC104" i="62"/>
  <c r="AC63" i="62"/>
  <c r="AC23" i="62"/>
  <c r="AC18" i="62"/>
  <c r="AC26" i="62"/>
  <c r="AC93" i="62"/>
  <c r="AC68" i="62"/>
  <c r="AC30" i="62"/>
  <c r="AC84" i="62"/>
  <c r="AC39" i="62"/>
  <c r="AC90" i="62"/>
  <c r="AC58" i="62"/>
  <c r="AC29" i="62"/>
  <c r="AC89" i="62"/>
  <c r="AC64" i="62"/>
  <c r="AC85" i="62"/>
  <c r="AC21" i="62"/>
  <c r="AC88" i="62"/>
  <c r="AC102" i="62"/>
  <c r="R126" i="62"/>
  <c r="AW6" i="62"/>
  <c r="AW54" i="62"/>
  <c r="AW20" i="62"/>
  <c r="AW26" i="62"/>
  <c r="AW15" i="62"/>
  <c r="AW22" i="62"/>
  <c r="AW58" i="62"/>
  <c r="AV10" i="62" a="1"/>
  <c r="AV10" i="62" s="1"/>
  <c r="AW10" i="62" s="1"/>
  <c r="AV25" i="62" a="1"/>
  <c r="AV25" i="62" s="1"/>
  <c r="AX25" i="62" s="1"/>
  <c r="AF106" i="62"/>
  <c r="AF127" i="62"/>
  <c r="AX29" i="62"/>
  <c r="AZ29" i="62"/>
  <c r="AZ72" i="62"/>
  <c r="AX72" i="62"/>
  <c r="AX68" i="62"/>
  <c r="AZ68" i="62"/>
  <c r="AX64" i="62"/>
  <c r="AZ64" i="62"/>
  <c r="AO81" i="62"/>
  <c r="AL81" i="64"/>
  <c r="AL29" i="38"/>
  <c r="AO29" i="64"/>
  <c r="AV29" i="64" s="1" a="1"/>
  <c r="AV29" i="64" s="1"/>
  <c r="AL67" i="38"/>
  <c r="AO67" i="64"/>
  <c r="AV67" i="64" s="1" a="1"/>
  <c r="AV67" i="64" s="1"/>
  <c r="AL78" i="38"/>
  <c r="AO78" i="64"/>
  <c r="AV78" i="64" s="1" a="1"/>
  <c r="AV78" i="64" s="1"/>
  <c r="AL47" i="38"/>
  <c r="AO47" i="64"/>
  <c r="AV47" i="64" s="1" a="1"/>
  <c r="AV47" i="64" s="1"/>
  <c r="AO98" i="62"/>
  <c r="AV98" i="62" s="1" a="1"/>
  <c r="AV98" i="62" s="1"/>
  <c r="AW98" i="62" s="1"/>
  <c r="AL98" i="64"/>
  <c r="AL55" i="64"/>
  <c r="AO55" i="62"/>
  <c r="AV55" i="62" s="1" a="1"/>
  <c r="AV55" i="62" s="1"/>
  <c r="AL49" i="38"/>
  <c r="AO49" i="64"/>
  <c r="AV49" i="64" s="1" a="1"/>
  <c r="AV49" i="64" s="1"/>
  <c r="AL76" i="38"/>
  <c r="AO76" i="64"/>
  <c r="AV76" i="64" s="1" a="1"/>
  <c r="AV76" i="64" s="1"/>
  <c r="AL52" i="38"/>
  <c r="AO52" i="64"/>
  <c r="AV52" i="64" s="1" a="1"/>
  <c r="AV52" i="64" s="1"/>
  <c r="AL44" i="38"/>
  <c r="AO44" i="64"/>
  <c r="AV44" i="64" s="1" a="1"/>
  <c r="AV44" i="64" s="1"/>
  <c r="AL34" i="38"/>
  <c r="AO34" i="64"/>
  <c r="AV34" i="64" s="1" a="1"/>
  <c r="AV34" i="64" s="1"/>
  <c r="AL13" i="38"/>
  <c r="AO13" i="64"/>
  <c r="AV13" i="64" s="1" a="1"/>
  <c r="AV13" i="64" s="1"/>
  <c r="AO89" i="62"/>
  <c r="AV89" i="62" s="1" a="1"/>
  <c r="AV89" i="62" s="1"/>
  <c r="AL89" i="64"/>
  <c r="AL51" i="38"/>
  <c r="AO51" i="64"/>
  <c r="AV51" i="64" s="1" a="1"/>
  <c r="AV51" i="64" s="1"/>
  <c r="AL11" i="38"/>
  <c r="AO11" i="64"/>
  <c r="AV11" i="64" s="1" a="1"/>
  <c r="AV11" i="64" s="1"/>
  <c r="AO82" i="62"/>
  <c r="AV82" i="62" s="1" a="1"/>
  <c r="AV82" i="62" s="1"/>
  <c r="AW82" i="62" s="1"/>
  <c r="AL82" i="64"/>
  <c r="AL90" i="64"/>
  <c r="AO90" i="62"/>
  <c r="AV90" i="62" s="1" a="1"/>
  <c r="AV90" i="62" s="1"/>
  <c r="AL83" i="64"/>
  <c r="AO83" i="62"/>
  <c r="AV83" i="62" s="1" a="1"/>
  <c r="AV83" i="62" s="1"/>
  <c r="AZ83" i="62" s="1"/>
  <c r="AO91" i="62"/>
  <c r="AV91" i="62" s="1" a="1"/>
  <c r="AV91" i="62" s="1"/>
  <c r="AW91" i="62" s="1"/>
  <c r="AL91" i="64"/>
  <c r="AO99" i="62"/>
  <c r="AV99" i="62" s="1" a="1"/>
  <c r="AV99" i="62" s="1"/>
  <c r="AL99" i="64"/>
  <c r="AL72" i="38"/>
  <c r="AO72" i="64"/>
  <c r="AV72" i="64" s="1" a="1"/>
  <c r="AV72" i="64" s="1"/>
  <c r="AL48" i="38"/>
  <c r="AO48" i="64"/>
  <c r="AV48" i="64" s="1" a="1"/>
  <c r="AV48" i="64" s="1"/>
  <c r="AL12" i="38"/>
  <c r="AO12" i="64"/>
  <c r="AV12" i="64" s="1" a="1"/>
  <c r="AV12" i="64" s="1"/>
  <c r="AL27" i="38"/>
  <c r="AO27" i="64"/>
  <c r="AV27" i="64" s="1" a="1"/>
  <c r="AV27" i="64" s="1"/>
  <c r="AL39" i="38"/>
  <c r="AO39" i="64"/>
  <c r="AV39" i="64" s="1" a="1"/>
  <c r="AV39" i="64" s="1"/>
  <c r="AL41" i="38"/>
  <c r="AO41" i="64"/>
  <c r="AV41" i="64" s="1" a="1"/>
  <c r="AV41" i="64" s="1"/>
  <c r="AL4" i="38"/>
  <c r="AO4" i="64"/>
  <c r="AV4" i="64" s="1" a="1"/>
  <c r="AV4" i="64" s="1"/>
  <c r="AL42" i="38"/>
  <c r="AO42" i="64"/>
  <c r="AV42" i="64" s="1" a="1"/>
  <c r="AV42" i="64" s="1"/>
  <c r="AL74" i="38"/>
  <c r="AO74" i="64"/>
  <c r="AV74" i="64" s="1" a="1"/>
  <c r="AV74" i="64" s="1"/>
  <c r="AL21" i="38"/>
  <c r="AO21" i="64"/>
  <c r="AV21" i="64" s="1" a="1"/>
  <c r="AV21" i="64" s="1"/>
  <c r="AL8" i="38"/>
  <c r="AO8" i="64"/>
  <c r="AV8" i="64" s="1" a="1"/>
  <c r="AV8" i="64" s="1"/>
  <c r="AL54" i="38"/>
  <c r="AO54" i="64"/>
  <c r="AV54" i="64" s="1" a="1"/>
  <c r="AV54" i="64" s="1"/>
  <c r="AL84" i="64"/>
  <c r="AO84" i="62"/>
  <c r="AV84" i="62" s="1" a="1"/>
  <c r="AV84" i="62" s="1"/>
  <c r="AO100" i="62"/>
  <c r="AV100" i="62" s="1" a="1"/>
  <c r="AV100" i="62" s="1"/>
  <c r="AW100" i="62" s="1"/>
  <c r="AL100" i="64"/>
  <c r="AO75" i="62"/>
  <c r="AV75" i="62" s="1" a="1"/>
  <c r="AV75" i="62" s="1"/>
  <c r="AL75" i="64"/>
  <c r="AL66" i="38"/>
  <c r="AO66" i="64"/>
  <c r="AV66" i="64" s="1" a="1"/>
  <c r="AV66" i="64" s="1"/>
  <c r="AL36" i="38"/>
  <c r="AO36" i="64"/>
  <c r="AV36" i="64" s="1" a="1"/>
  <c r="AV36" i="64" s="1"/>
  <c r="AL61" i="38"/>
  <c r="AO61" i="64"/>
  <c r="AV61" i="64" s="1" a="1"/>
  <c r="AV61" i="64" s="1"/>
  <c r="AL46" i="38"/>
  <c r="AO46" i="64"/>
  <c r="AV46" i="64" s="1" a="1"/>
  <c r="AV46" i="64" s="1"/>
  <c r="AL43" i="38"/>
  <c r="AO43" i="64"/>
  <c r="AV43" i="64" s="1" a="1"/>
  <c r="AV43" i="64" s="1"/>
  <c r="AL16" i="38"/>
  <c r="AO16" i="64"/>
  <c r="AV16" i="64" s="1" a="1"/>
  <c r="AV16" i="64" s="1"/>
  <c r="AO59" i="62"/>
  <c r="AV59" i="62" s="1" a="1"/>
  <c r="AV59" i="62" s="1"/>
  <c r="AL59" i="64"/>
  <c r="AL9" i="38"/>
  <c r="AO9" i="64"/>
  <c r="AV9" i="64" s="1" a="1"/>
  <c r="AV9" i="64" s="1"/>
  <c r="AL28" i="38"/>
  <c r="AO28" i="64"/>
  <c r="AV28" i="64" s="1"/>
  <c r="AO92" i="62"/>
  <c r="AV92" i="62" s="1" a="1"/>
  <c r="AV92" i="62" s="1"/>
  <c r="AW92" i="62" s="1"/>
  <c r="AL92" i="64"/>
  <c r="AO85" i="62"/>
  <c r="AV85" i="62" s="1" a="1"/>
  <c r="AV85" i="62" s="1"/>
  <c r="AW85" i="62" s="1"/>
  <c r="AL85" i="64"/>
  <c r="AL93" i="64"/>
  <c r="AO93" i="62"/>
  <c r="AV93" i="62" s="1" a="1"/>
  <c r="AV93" i="62" s="1"/>
  <c r="AL101" i="64"/>
  <c r="AO101" i="62"/>
  <c r="AV101" i="62" s="1" a="1"/>
  <c r="AV101" i="62" s="1"/>
  <c r="AL77" i="64"/>
  <c r="AO77" i="62"/>
  <c r="AV77" i="62" s="1" a="1"/>
  <c r="AV77" i="62" s="1"/>
  <c r="AL71" i="64"/>
  <c r="AO71" i="62"/>
  <c r="AV71" i="62" s="1" a="1"/>
  <c r="AV71" i="62" s="1"/>
  <c r="AZ71" i="62" s="1"/>
  <c r="AL10" i="38"/>
  <c r="AO10" i="64"/>
  <c r="AV10" i="64" s="1" a="1"/>
  <c r="AV10" i="64" s="1"/>
  <c r="AL38" i="38"/>
  <c r="AO38" i="64"/>
  <c r="AV38" i="64" s="1" a="1"/>
  <c r="AV38" i="64" s="1"/>
  <c r="AL63" i="38"/>
  <c r="AO63" i="64"/>
  <c r="AV63" i="64" s="1" a="1"/>
  <c r="AV63" i="64" s="1"/>
  <c r="AL22" i="38"/>
  <c r="AO22" i="64"/>
  <c r="AV22" i="64" s="1" a="1"/>
  <c r="AV22" i="64" s="1"/>
  <c r="AL70" i="38"/>
  <c r="AO70" i="64"/>
  <c r="AV70" i="64" s="1" a="1"/>
  <c r="AV70" i="64" s="1"/>
  <c r="AL19" i="38"/>
  <c r="AO19" i="64"/>
  <c r="AV19" i="64" s="1" a="1"/>
  <c r="AV19" i="64" s="1"/>
  <c r="AL26" i="38"/>
  <c r="AO26" i="64"/>
  <c r="AV26" i="64" s="1" a="1"/>
  <c r="AV26" i="64" s="1"/>
  <c r="AL25" i="38"/>
  <c r="AO25" i="64"/>
  <c r="AV25" i="64" s="1" a="1"/>
  <c r="AV25" i="64" s="1"/>
  <c r="AL68" i="38"/>
  <c r="AO68" i="64"/>
  <c r="AV68" i="64" s="1" a="1"/>
  <c r="AV68" i="64" s="1"/>
  <c r="AL56" i="38"/>
  <c r="AO56" i="64"/>
  <c r="AV56" i="64" s="1" a="1"/>
  <c r="AV56" i="64" s="1"/>
  <c r="AL23" i="38"/>
  <c r="AO23" i="64"/>
  <c r="AV23" i="64" s="1" a="1"/>
  <c r="AV23" i="64" s="1"/>
  <c r="AL94" i="64"/>
  <c r="AO94" i="62"/>
  <c r="AV94" i="62" s="1" a="1"/>
  <c r="AV94" i="62" s="1"/>
  <c r="AX73" i="62"/>
  <c r="AV13" i="62" a="1"/>
  <c r="AV13" i="62" s="1"/>
  <c r="AZ13" i="62" s="1"/>
  <c r="AL57" i="38"/>
  <c r="AO57" i="64"/>
  <c r="AV57" i="64" s="1" a="1"/>
  <c r="AV57" i="64" s="1"/>
  <c r="AL35" i="38"/>
  <c r="AO35" i="64"/>
  <c r="AV35" i="64" s="1" a="1"/>
  <c r="AV35" i="64" s="1"/>
  <c r="AL5" i="38"/>
  <c r="AO5" i="64"/>
  <c r="AV5" i="64" s="1" a="1"/>
  <c r="AV5" i="64" s="1"/>
  <c r="AL15" i="38"/>
  <c r="AO15" i="64"/>
  <c r="AV15" i="64" s="1" a="1"/>
  <c r="AV15" i="64" s="1"/>
  <c r="AL50" i="38"/>
  <c r="AO50" i="64"/>
  <c r="AV50" i="64" s="1" a="1"/>
  <c r="AV50" i="64" s="1"/>
  <c r="AL17" i="38"/>
  <c r="AO17" i="64"/>
  <c r="AV17" i="64" s="1" a="1"/>
  <c r="AV17" i="64" s="1"/>
  <c r="AL32" i="38"/>
  <c r="AO32" i="64"/>
  <c r="AV32" i="64" s="1" a="1"/>
  <c r="AV32" i="64" s="1"/>
  <c r="AL58" i="38"/>
  <c r="AO58" i="64"/>
  <c r="AV58" i="64" s="1" a="1"/>
  <c r="AV58" i="64" s="1"/>
  <c r="AL62" i="38"/>
  <c r="AO62" i="64"/>
  <c r="AV62" i="64" s="1" a="1"/>
  <c r="AV62" i="64" s="1"/>
  <c r="AL73" i="38"/>
  <c r="AO73" i="64"/>
  <c r="AV73" i="64" s="1" a="1"/>
  <c r="AV73" i="64" s="1"/>
  <c r="AL86" i="64"/>
  <c r="AO86" i="62"/>
  <c r="AV86" i="62" s="1" a="1"/>
  <c r="AV86" i="62" s="1"/>
  <c r="AW86" i="62" s="1"/>
  <c r="AL79" i="64"/>
  <c r="AO79" i="62"/>
  <c r="AV79" i="62" s="1" a="1"/>
  <c r="AV79" i="62" s="1"/>
  <c r="AO87" i="62"/>
  <c r="AL87" i="64"/>
  <c r="AL95" i="64"/>
  <c r="AO95" i="62"/>
  <c r="AV95" i="62" s="1" a="1"/>
  <c r="AV95" i="62" s="1"/>
  <c r="AL103" i="64"/>
  <c r="AO103" i="62"/>
  <c r="AV103" i="62" s="1" a="1"/>
  <c r="AV103" i="62" s="1"/>
  <c r="AZ103" i="62" s="1"/>
  <c r="AL69" i="64"/>
  <c r="AO69" i="62"/>
  <c r="AV69" i="62" s="1" a="1"/>
  <c r="AV69" i="62" s="1"/>
  <c r="AL37" i="38"/>
  <c r="AO37" i="64"/>
  <c r="AV37" i="64" s="1" a="1"/>
  <c r="AV37" i="64" s="1"/>
  <c r="AL33" i="38"/>
  <c r="AO33" i="64"/>
  <c r="AV33" i="64" s="1" a="1"/>
  <c r="AV33" i="64" s="1"/>
  <c r="AL64" i="38"/>
  <c r="AO64" i="64"/>
  <c r="AV64" i="64" s="1" a="1"/>
  <c r="AV64" i="64" s="1"/>
  <c r="AL24" i="38"/>
  <c r="AO24" i="64"/>
  <c r="AV24" i="64" s="1" a="1"/>
  <c r="AV24" i="64" s="1"/>
  <c r="AL30" i="38"/>
  <c r="AO30" i="64"/>
  <c r="AV30" i="64" s="1" a="1"/>
  <c r="AV30" i="64" s="1"/>
  <c r="AL6" i="38"/>
  <c r="AO6" i="64"/>
  <c r="AV6" i="64" s="1" a="1"/>
  <c r="AV6" i="64" s="1"/>
  <c r="AL45" i="38"/>
  <c r="AO45" i="64"/>
  <c r="AV45" i="64" s="1" a="1"/>
  <c r="AV45" i="64" s="1"/>
  <c r="AO97" i="62"/>
  <c r="AV97" i="62" s="1" a="1"/>
  <c r="AV97" i="62" s="1"/>
  <c r="AZ97" i="62" s="1"/>
  <c r="AL97" i="64"/>
  <c r="AL40" i="38"/>
  <c r="AO40" i="64"/>
  <c r="AV40" i="64" s="1" a="1"/>
  <c r="AV40" i="64" s="1"/>
  <c r="AO102" i="62"/>
  <c r="AV102" i="62" s="1" a="1"/>
  <c r="AV102" i="62" s="1"/>
  <c r="AW102" i="62" s="1"/>
  <c r="AL102" i="64"/>
  <c r="AL80" i="64"/>
  <c r="AO80" i="62"/>
  <c r="AV80" i="62" s="1" a="1"/>
  <c r="AV80" i="62" s="1"/>
  <c r="AW80" i="62" s="1"/>
  <c r="AL88" i="64"/>
  <c r="AO88" i="62"/>
  <c r="AV88" i="62" s="1" a="1"/>
  <c r="AV88" i="62" s="1"/>
  <c r="AL96" i="64"/>
  <c r="AO96" i="62"/>
  <c r="AV96" i="62" s="1" a="1"/>
  <c r="AV96" i="62" s="1"/>
  <c r="AL104" i="64"/>
  <c r="AO104" i="62"/>
  <c r="AV104" i="62" s="1" a="1"/>
  <c r="AV104" i="62" s="1"/>
  <c r="AW104" i="62" s="1"/>
  <c r="AL60" i="64"/>
  <c r="AO60" i="62"/>
  <c r="AV60" i="62" s="1" a="1"/>
  <c r="AV60" i="62" s="1"/>
  <c r="AZ60" i="62" s="1"/>
  <c r="AL3" i="38"/>
  <c r="AO3" i="64"/>
  <c r="AL7" i="38"/>
  <c r="AO7" i="64"/>
  <c r="AV7" i="64" s="1" a="1"/>
  <c r="AV7" i="64" s="1"/>
  <c r="AL14" i="38"/>
  <c r="AO14" i="64"/>
  <c r="AV14" i="64" s="1" a="1"/>
  <c r="AV14" i="64" s="1"/>
  <c r="AL20" i="38"/>
  <c r="AO20" i="64"/>
  <c r="AV20" i="64" s="1" a="1"/>
  <c r="AV20" i="64" s="1"/>
  <c r="AL53" i="38"/>
  <c r="AO53" i="64"/>
  <c r="AV53" i="64" s="1" a="1"/>
  <c r="AV53" i="64" s="1"/>
  <c r="AL18" i="38"/>
  <c r="AO18" i="64"/>
  <c r="AV18" i="64" s="1" a="1"/>
  <c r="AV18" i="64" s="1"/>
  <c r="AL65" i="38"/>
  <c r="AO65" i="64"/>
  <c r="AV65" i="64" s="1" a="1"/>
  <c r="AV65" i="64" s="1"/>
  <c r="AL31" i="38"/>
  <c r="AO31" i="64"/>
  <c r="AV31" i="64" s="1" a="1"/>
  <c r="AV31" i="64" s="1"/>
  <c r="AX53" i="62"/>
  <c r="AU127" i="62"/>
  <c r="L106" i="62"/>
  <c r="L127" i="62" s="1"/>
  <c r="AZ74" i="62"/>
  <c r="AX74" i="62"/>
  <c r="AZ70" i="62"/>
  <c r="AX70" i="62"/>
  <c r="AX61" i="62"/>
  <c r="AX35" i="62"/>
  <c r="AX32" i="62"/>
  <c r="AX76" i="62"/>
  <c r="AX65" i="62"/>
  <c r="AO126" i="62"/>
  <c r="AX57" i="62"/>
  <c r="AX78" i="62"/>
  <c r="AV28" i="62"/>
  <c r="AZ28" i="62" s="1"/>
  <c r="AX37" i="62"/>
  <c r="AV81" i="62" a="1"/>
  <c r="AV81" i="62" s="1"/>
  <c r="AZ81" i="62" s="1"/>
  <c r="AL106" i="62"/>
  <c r="AX43" i="62"/>
  <c r="AX42" i="62"/>
  <c r="F5" i="63"/>
  <c r="E6" i="63"/>
  <c r="AZ14" i="62"/>
  <c r="AX14" i="62"/>
  <c r="AZ58" i="62"/>
  <c r="AX58" i="62"/>
  <c r="AZ10" i="62"/>
  <c r="AX10" i="62"/>
  <c r="AZ22" i="62"/>
  <c r="AX22" i="62"/>
  <c r="AZ24" i="62"/>
  <c r="AX24" i="62"/>
  <c r="AZ19" i="62"/>
  <c r="AX19" i="62"/>
  <c r="AZ17" i="62"/>
  <c r="AX17" i="62"/>
  <c r="AZ30" i="62"/>
  <c r="AX30" i="62"/>
  <c r="AZ20" i="62"/>
  <c r="AX20" i="62"/>
  <c r="AZ66" i="62"/>
  <c r="AX66" i="62"/>
  <c r="AZ63" i="62"/>
  <c r="AX63" i="62"/>
  <c r="AZ50" i="62"/>
  <c r="AX50" i="62"/>
  <c r="AZ7" i="62"/>
  <c r="AX7" i="62"/>
  <c r="AZ54" i="62"/>
  <c r="AX54" i="62"/>
  <c r="AZ27" i="62"/>
  <c r="AX27" i="62"/>
  <c r="AZ52" i="62"/>
  <c r="AX52" i="62"/>
  <c r="AZ15" i="62"/>
  <c r="AX15" i="62"/>
  <c r="AZ4" i="62"/>
  <c r="AX4" i="62"/>
  <c r="AZ21" i="62"/>
  <c r="AX21" i="62"/>
  <c r="AX5" i="62"/>
  <c r="AZ5" i="62"/>
  <c r="AZ26" i="62"/>
  <c r="AX26" i="62"/>
  <c r="AZ16" i="62"/>
  <c r="AX16" i="62"/>
  <c r="AZ23" i="62"/>
  <c r="AX23" i="62"/>
  <c r="AZ45" i="62"/>
  <c r="AX45" i="62"/>
  <c r="AV3" i="62"/>
  <c r="AW3" i="62" s="1"/>
  <c r="AX38" i="62"/>
  <c r="AZ38" i="62"/>
  <c r="AZ46" i="62"/>
  <c r="AX46" i="62"/>
  <c r="AZ49" i="62"/>
  <c r="AX49" i="62"/>
  <c r="AX67" i="62"/>
  <c r="AV87" i="62" a="1"/>
  <c r="AV87" i="62" s="1"/>
  <c r="AW87" i="62" s="1"/>
  <c r="AZ34" i="62"/>
  <c r="AX34" i="62"/>
  <c r="AZ39" i="62"/>
  <c r="AX39" i="62"/>
  <c r="AZ48" i="62"/>
  <c r="AX48" i="62"/>
  <c r="AX62" i="62"/>
  <c r="AZ44" i="62"/>
  <c r="AX44" i="62"/>
  <c r="AZ51" i="62"/>
  <c r="AX51" i="62"/>
  <c r="AZ18" i="62"/>
  <c r="AX18" i="62"/>
  <c r="AZ36" i="62"/>
  <c r="AX36" i="62"/>
  <c r="AZ12" i="62"/>
  <c r="AX12" i="62"/>
  <c r="AZ8" i="62"/>
  <c r="AX8" i="62"/>
  <c r="AZ11" i="62"/>
  <c r="AX11" i="62"/>
  <c r="AZ6" i="62"/>
  <c r="AX6" i="62"/>
  <c r="AZ31" i="62"/>
  <c r="AX31" i="62"/>
  <c r="AZ47" i="62"/>
  <c r="AX47" i="62"/>
  <c r="AX40" i="62"/>
  <c r="AZ33" i="62"/>
  <c r="AX33" i="62"/>
  <c r="AC3" i="62"/>
  <c r="AZ41" i="62"/>
  <c r="AX41" i="62"/>
  <c r="AZ9" i="62"/>
  <c r="AX9" i="62"/>
  <c r="AZ25" i="62"/>
  <c r="AS105" i="62"/>
  <c r="AQ105" i="62"/>
  <c r="J4" i="55"/>
  <c r="J11" i="55"/>
  <c r="J14" i="55"/>
  <c r="J9" i="55"/>
  <c r="J19" i="55"/>
  <c r="J7" i="55"/>
  <c r="J8" i="55"/>
  <c r="J13" i="55"/>
  <c r="J12" i="55"/>
  <c r="J5" i="55"/>
  <c r="J22" i="55"/>
  <c r="J15" i="55"/>
  <c r="J6" i="55"/>
  <c r="J23" i="55"/>
  <c r="J20" i="55"/>
  <c r="J54" i="55"/>
  <c r="J31" i="55"/>
  <c r="J32" i="55"/>
  <c r="J26" i="55"/>
  <c r="J55" i="55"/>
  <c r="J41" i="55"/>
  <c r="J56" i="55"/>
  <c r="J29" i="55"/>
  <c r="J33" i="55"/>
  <c r="J17" i="55"/>
  <c r="J57" i="55"/>
  <c r="J58" i="55"/>
  <c r="J59" i="55"/>
  <c r="J60" i="55"/>
  <c r="J42" i="55"/>
  <c r="J61" i="55"/>
  <c r="J62" i="55"/>
  <c r="J63" i="55"/>
  <c r="J64" i="55"/>
  <c r="J65" i="55"/>
  <c r="J104" i="55"/>
  <c r="J66" i="55"/>
  <c r="J67" i="55"/>
  <c r="J43" i="55"/>
  <c r="J44" i="55"/>
  <c r="J25" i="55"/>
  <c r="J24" i="55"/>
  <c r="J68" i="55"/>
  <c r="J27" i="55"/>
  <c r="J16" i="55"/>
  <c r="J21" i="55"/>
  <c r="J18" i="55"/>
  <c r="J69" i="55"/>
  <c r="J34" i="55"/>
  <c r="J105" i="55"/>
  <c r="J70" i="55"/>
  <c r="J71" i="55"/>
  <c r="J72" i="55"/>
  <c r="J73" i="55"/>
  <c r="J45" i="55"/>
  <c r="J74" i="55"/>
  <c r="J46" i="55"/>
  <c r="J47" i="55"/>
  <c r="J75" i="55"/>
  <c r="J76" i="55"/>
  <c r="J77" i="55"/>
  <c r="J78" i="55"/>
  <c r="J79" i="55"/>
  <c r="J80" i="55"/>
  <c r="J81" i="55"/>
  <c r="J48" i="55"/>
  <c r="J82" i="55"/>
  <c r="J83" i="55"/>
  <c r="J84" i="55"/>
  <c r="J49" i="55"/>
  <c r="J85" i="55"/>
  <c r="J35" i="55"/>
  <c r="J86" i="55"/>
  <c r="J50" i="55"/>
  <c r="J36" i="55"/>
  <c r="J37" i="55"/>
  <c r="J38" i="55"/>
  <c r="J51" i="55"/>
  <c r="J87" i="55"/>
  <c r="J52" i="55"/>
  <c r="J88" i="55"/>
  <c r="J89" i="55"/>
  <c r="J90" i="55"/>
  <c r="J39" i="55"/>
  <c r="J91" i="55"/>
  <c r="J28" i="55"/>
  <c r="J92" i="55"/>
  <c r="J93" i="55"/>
  <c r="J94" i="55"/>
  <c r="J95" i="55"/>
  <c r="J96" i="55"/>
  <c r="J97" i="55"/>
  <c r="J98" i="55"/>
  <c r="J99" i="55"/>
  <c r="J53" i="55"/>
  <c r="J100" i="55"/>
  <c r="J40" i="55"/>
  <c r="J101" i="55"/>
  <c r="J30" i="55"/>
  <c r="J102" i="55"/>
  <c r="J103" i="55"/>
  <c r="J10" i="55"/>
  <c r="C4" i="55"/>
  <c r="C106" i="55" s="1"/>
  <c r="C8" i="55"/>
  <c r="C13" i="55"/>
  <c r="C9" i="55"/>
  <c r="C18" i="55"/>
  <c r="C7" i="55"/>
  <c r="C11" i="55"/>
  <c r="C12" i="55"/>
  <c r="C14" i="55"/>
  <c r="C6" i="55"/>
  <c r="C24" i="55"/>
  <c r="C15" i="55"/>
  <c r="C5" i="55"/>
  <c r="C23" i="55"/>
  <c r="C21" i="55"/>
  <c r="C48" i="55"/>
  <c r="C31" i="55"/>
  <c r="C102" i="55"/>
  <c r="C28" i="55"/>
  <c r="C49" i="55"/>
  <c r="C39" i="55"/>
  <c r="C50" i="55"/>
  <c r="C33" i="55"/>
  <c r="C47" i="55"/>
  <c r="C19" i="55"/>
  <c r="C51" i="55"/>
  <c r="C52" i="55"/>
  <c r="C53" i="55"/>
  <c r="C54" i="55"/>
  <c r="C103" i="55"/>
  <c r="C86" i="55"/>
  <c r="C55" i="55"/>
  <c r="C56" i="55"/>
  <c r="C85" i="55"/>
  <c r="C87" i="55"/>
  <c r="C97" i="55"/>
  <c r="C90" i="55"/>
  <c r="C81" i="55"/>
  <c r="C41" i="55"/>
  <c r="C46" i="55"/>
  <c r="C25" i="55"/>
  <c r="C20" i="55"/>
  <c r="C57" i="55"/>
  <c r="C27" i="55"/>
  <c r="C16" i="55"/>
  <c r="C22" i="55"/>
  <c r="C17" i="55"/>
  <c r="C75" i="55"/>
  <c r="C32" i="55"/>
  <c r="C105" i="55"/>
  <c r="C88" i="55"/>
  <c r="C76" i="55"/>
  <c r="C58" i="55"/>
  <c r="C59" i="55"/>
  <c r="C94" i="55"/>
  <c r="C60" i="55"/>
  <c r="C34" i="55"/>
  <c r="C40" i="55"/>
  <c r="C61" i="55"/>
  <c r="C62" i="55"/>
  <c r="C63" i="55"/>
  <c r="C79" i="55"/>
  <c r="C78" i="55"/>
  <c r="C64" i="55"/>
  <c r="C65" i="55"/>
  <c r="C38" i="55"/>
  <c r="C66" i="55"/>
  <c r="C80" i="55"/>
  <c r="C67" i="55"/>
  <c r="C44" i="55"/>
  <c r="C68" i="55"/>
  <c r="C45" i="55"/>
  <c r="C95" i="55"/>
  <c r="C43" i="55"/>
  <c r="C100" i="55"/>
  <c r="C99" i="55"/>
  <c r="C96" i="55"/>
  <c r="C35" i="55"/>
  <c r="C93" i="55"/>
  <c r="C36" i="55"/>
  <c r="C91" i="55"/>
  <c r="C98" i="55"/>
  <c r="C104" i="55"/>
  <c r="C37" i="55"/>
  <c r="C77" i="55"/>
  <c r="C26" i="55"/>
  <c r="C83" i="55"/>
  <c r="C101" i="55"/>
  <c r="C92" i="55"/>
  <c r="C82" i="55"/>
  <c r="C69" i="55"/>
  <c r="C70" i="55"/>
  <c r="C71" i="55"/>
  <c r="C84" i="55"/>
  <c r="C42" i="55"/>
  <c r="C72" i="55"/>
  <c r="C30" i="55"/>
  <c r="C73" i="55"/>
  <c r="C29" i="55"/>
  <c r="C74" i="55"/>
  <c r="C89" i="55"/>
  <c r="C10" i="55"/>
  <c r="T126" i="56"/>
  <c r="AC23" i="57"/>
  <c r="Z23" i="57"/>
  <c r="X23" i="57"/>
  <c r="W23" i="57"/>
  <c r="U23" i="57"/>
  <c r="S23" i="57"/>
  <c r="R23" i="57"/>
  <c r="Q23" i="57"/>
  <c r="P23" i="57"/>
  <c r="N23" i="57"/>
  <c r="O23" i="57" s="1"/>
  <c r="M23" i="57"/>
  <c r="K23" i="57"/>
  <c r="L23" i="57" s="1"/>
  <c r="J23" i="57"/>
  <c r="I23" i="57"/>
  <c r="H23" i="57"/>
  <c r="F126" i="56"/>
  <c r="AF107" i="56"/>
  <c r="AF108" i="56"/>
  <c r="AF109" i="56"/>
  <c r="AF110" i="56"/>
  <c r="AF111" i="56"/>
  <c r="AF112" i="56"/>
  <c r="AF113" i="56"/>
  <c r="AF114" i="56"/>
  <c r="AF115" i="56"/>
  <c r="AF116" i="56"/>
  <c r="AF117" i="56"/>
  <c r="AF118" i="56"/>
  <c r="AF119" i="56"/>
  <c r="AF120" i="56"/>
  <c r="AF121" i="56"/>
  <c r="AF122" i="56"/>
  <c r="AF123" i="56"/>
  <c r="AF124" i="56"/>
  <c r="AF125" i="56"/>
  <c r="AF126" i="56"/>
  <c r="G126" i="56"/>
  <c r="H126" i="56"/>
  <c r="I126" i="56"/>
  <c r="J126" i="56"/>
  <c r="L126" i="56"/>
  <c r="M126" i="56"/>
  <c r="R126" i="56"/>
  <c r="S126" i="56"/>
  <c r="U126" i="56"/>
  <c r="V126" i="56"/>
  <c r="W126" i="56"/>
  <c r="X126" i="56"/>
  <c r="Y126" i="56"/>
  <c r="Z126" i="56"/>
  <c r="AA126" i="56"/>
  <c r="AC126" i="56"/>
  <c r="AD126" i="56"/>
  <c r="AE126" i="56"/>
  <c r="AG126" i="56"/>
  <c r="AH126" i="56"/>
  <c r="AI126" i="56"/>
  <c r="AJ126" i="56"/>
  <c r="AK126" i="56"/>
  <c r="AL126" i="56"/>
  <c r="AM126" i="56"/>
  <c r="AN126" i="56"/>
  <c r="AO126" i="56"/>
  <c r="E126" i="56"/>
  <c r="Z23" i="3"/>
  <c r="X23" i="3"/>
  <c r="W23" i="3"/>
  <c r="S23" i="3"/>
  <c r="AH25" i="3"/>
  <c r="AK25" i="3"/>
  <c r="AI28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B4" i="56"/>
  <c r="AB11" i="56"/>
  <c r="AB12" i="56"/>
  <c r="AB19" i="56"/>
  <c r="AB20" i="56"/>
  <c r="AB25" i="56"/>
  <c r="AB27" i="56"/>
  <c r="AB35" i="56"/>
  <c r="AB43" i="56"/>
  <c r="AB51" i="56"/>
  <c r="AB52" i="56"/>
  <c r="AB59" i="56"/>
  <c r="AB60" i="56"/>
  <c r="AB67" i="56"/>
  <c r="AB68" i="56"/>
  <c r="AB75" i="56"/>
  <c r="AB76" i="56"/>
  <c r="AB83" i="56"/>
  <c r="AB84" i="56"/>
  <c r="AB91" i="56"/>
  <c r="AB92" i="56"/>
  <c r="AB99" i="56"/>
  <c r="AB100" i="56"/>
  <c r="Q104" i="56"/>
  <c r="F106" i="56"/>
  <c r="F127" i="56" s="1"/>
  <c r="G106" i="56"/>
  <c r="G127" i="56" s="1"/>
  <c r="H106" i="56"/>
  <c r="H127" i="56" s="1"/>
  <c r="F114" i="56"/>
  <c r="G114" i="56"/>
  <c r="H114" i="56"/>
  <c r="F125" i="56"/>
  <c r="G125" i="56"/>
  <c r="H125" i="56"/>
  <c r="J106" i="56"/>
  <c r="J127" i="56" s="1"/>
  <c r="I106" i="56"/>
  <c r="I127" i="56" s="1"/>
  <c r="I114" i="56"/>
  <c r="J114" i="56"/>
  <c r="I125" i="56"/>
  <c r="J125" i="56"/>
  <c r="D103" i="61"/>
  <c r="K105" i="61"/>
  <c r="G105" i="61"/>
  <c r="K104" i="61"/>
  <c r="K103" i="61"/>
  <c r="K102" i="61"/>
  <c r="K101" i="61"/>
  <c r="K100" i="61"/>
  <c r="K99" i="61"/>
  <c r="K98" i="61"/>
  <c r="K97" i="61"/>
  <c r="K96" i="61"/>
  <c r="K95" i="61"/>
  <c r="K94" i="61"/>
  <c r="K93" i="61"/>
  <c r="K92" i="61"/>
  <c r="K91" i="61"/>
  <c r="K90" i="61"/>
  <c r="K89" i="61"/>
  <c r="K88" i="61"/>
  <c r="K87" i="61"/>
  <c r="K86" i="61"/>
  <c r="K85" i="61"/>
  <c r="K84" i="61"/>
  <c r="K83" i="61"/>
  <c r="K82" i="61"/>
  <c r="K81" i="61"/>
  <c r="K80" i="61"/>
  <c r="K79" i="61"/>
  <c r="K78" i="61"/>
  <c r="K77" i="61"/>
  <c r="K76" i="61"/>
  <c r="K75" i="61"/>
  <c r="K74" i="61"/>
  <c r="K73" i="61"/>
  <c r="K72" i="61"/>
  <c r="K71" i="61"/>
  <c r="K70" i="61"/>
  <c r="K69" i="61"/>
  <c r="K68" i="61"/>
  <c r="K67" i="61"/>
  <c r="K66" i="61"/>
  <c r="K65" i="61"/>
  <c r="K64" i="61"/>
  <c r="K63" i="61"/>
  <c r="K62" i="61"/>
  <c r="K61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K7" i="61"/>
  <c r="K6" i="61"/>
  <c r="K5" i="61"/>
  <c r="K4" i="61"/>
  <c r="G105" i="55"/>
  <c r="R127" i="60"/>
  <c r="Q127" i="60"/>
  <c r="P127" i="60"/>
  <c r="O127" i="60"/>
  <c r="M127" i="60"/>
  <c r="K127" i="60"/>
  <c r="AZ125" i="60"/>
  <c r="AO125" i="60"/>
  <c r="AN125" i="60"/>
  <c r="AM125" i="60"/>
  <c r="AL125" i="60"/>
  <c r="AK125" i="60"/>
  <c r="AJ125" i="60"/>
  <c r="AI125" i="60"/>
  <c r="AH125" i="60"/>
  <c r="AU125" i="60" s="1"/>
  <c r="AG125" i="60"/>
  <c r="AE125" i="60"/>
  <c r="AF125" i="60" s="1"/>
  <c r="AD125" i="60"/>
  <c r="AC125" i="60"/>
  <c r="AB125" i="60"/>
  <c r="AA125" i="60"/>
  <c r="Z125" i="60"/>
  <c r="Y125" i="60"/>
  <c r="X125" i="60"/>
  <c r="W125" i="60"/>
  <c r="V125" i="60"/>
  <c r="U125" i="60"/>
  <c r="T125" i="60"/>
  <c r="S125" i="60"/>
  <c r="N125" i="60"/>
  <c r="L125" i="60"/>
  <c r="E125" i="60"/>
  <c r="AX124" i="60"/>
  <c r="AW124" i="60"/>
  <c r="AV124" i="60"/>
  <c r="AU124" i="60"/>
  <c r="AT124" i="60"/>
  <c r="AS124" i="60"/>
  <c r="AR124" i="60"/>
  <c r="AQ124" i="60"/>
  <c r="AZ114" i="60"/>
  <c r="AO114" i="60"/>
  <c r="AN114" i="60"/>
  <c r="AM114" i="60"/>
  <c r="AL114" i="60"/>
  <c r="AK114" i="60"/>
  <c r="AJ114" i="60"/>
  <c r="AI114" i="60"/>
  <c r="AH114" i="60"/>
  <c r="AG114" i="60"/>
  <c r="AE114" i="60"/>
  <c r="AD114" i="60"/>
  <c r="AC114" i="60"/>
  <c r="AB114" i="60"/>
  <c r="AA114" i="60"/>
  <c r="Z114" i="60"/>
  <c r="Y114" i="60"/>
  <c r="X114" i="60"/>
  <c r="W114" i="60"/>
  <c r="V114" i="60"/>
  <c r="U114" i="60"/>
  <c r="T114" i="60"/>
  <c r="S114" i="60"/>
  <c r="N114" i="60"/>
  <c r="L114" i="60"/>
  <c r="E114" i="60"/>
  <c r="AX113" i="60"/>
  <c r="AW113" i="60"/>
  <c r="AV113" i="60"/>
  <c r="AU113" i="60"/>
  <c r="AT113" i="60"/>
  <c r="AS113" i="60"/>
  <c r="AR113" i="60"/>
  <c r="AQ113" i="60"/>
  <c r="AM106" i="60"/>
  <c r="AK106" i="60"/>
  <c r="AK127" i="60" s="1"/>
  <c r="AJ106" i="60"/>
  <c r="AJ127" i="60" s="1"/>
  <c r="AI106" i="60"/>
  <c r="X24" i="3" s="1"/>
  <c r="AH106" i="60"/>
  <c r="W24" i="3" s="1"/>
  <c r="AG106" i="60"/>
  <c r="AE106" i="60"/>
  <c r="Z106" i="60"/>
  <c r="Y106" i="60"/>
  <c r="W106" i="60"/>
  <c r="V106" i="60"/>
  <c r="T106" i="60"/>
  <c r="S106" i="60"/>
  <c r="H24" i="3" s="1"/>
  <c r="N106" i="60"/>
  <c r="AU104" i="60"/>
  <c r="AT104" i="60"/>
  <c r="AR104" i="60"/>
  <c r="AN104" i="60"/>
  <c r="AS104" i="60"/>
  <c r="Q104" i="60"/>
  <c r="E104" i="60"/>
  <c r="L104" i="60" s="1"/>
  <c r="AU103" i="60"/>
  <c r="AT103" i="60"/>
  <c r="AR103" i="60"/>
  <c r="AN103" i="60"/>
  <c r="Q103" i="60"/>
  <c r="E103" i="60"/>
  <c r="L103" i="60" s="1"/>
  <c r="AU102" i="60"/>
  <c r="AT102" i="60"/>
  <c r="AS102" i="60"/>
  <c r="AR102" i="60"/>
  <c r="AN102" i="60"/>
  <c r="AQ102" i="60"/>
  <c r="Q102" i="60"/>
  <c r="AU101" i="60"/>
  <c r="AT101" i="60"/>
  <c r="AS101" i="60"/>
  <c r="AR101" i="60"/>
  <c r="AN101" i="60"/>
  <c r="AQ101" i="60"/>
  <c r="AW101" i="60" s="1"/>
  <c r="R101" i="60"/>
  <c r="Q101" i="60"/>
  <c r="E101" i="60"/>
  <c r="L101" i="60" s="1"/>
  <c r="AU100" i="60"/>
  <c r="AT100" i="60"/>
  <c r="AR100" i="60"/>
  <c r="AQ100" i="60"/>
  <c r="AN100" i="60"/>
  <c r="R100" i="60"/>
  <c r="Q100" i="60"/>
  <c r="E100" i="60"/>
  <c r="L100" i="60" s="1"/>
  <c r="AU99" i="60"/>
  <c r="AT99" i="60"/>
  <c r="AS99" i="60"/>
  <c r="AR99" i="60"/>
  <c r="AQ99" i="60"/>
  <c r="AW99" i="60" s="1"/>
  <c r="AN99" i="60"/>
  <c r="R99" i="60"/>
  <c r="Q99" i="60"/>
  <c r="AU98" i="60"/>
  <c r="AT98" i="60"/>
  <c r="AR98" i="60"/>
  <c r="AN98" i="60"/>
  <c r="R98" i="60"/>
  <c r="Q98" i="60"/>
  <c r="E98" i="60"/>
  <c r="L98" i="60" s="1"/>
  <c r="AU97" i="60"/>
  <c r="AT97" i="60"/>
  <c r="AR97" i="60"/>
  <c r="AQ97" i="60"/>
  <c r="AW97" i="60" s="1"/>
  <c r="AN97" i="60"/>
  <c r="Q97" i="60"/>
  <c r="E97" i="60"/>
  <c r="L97" i="60" s="1"/>
  <c r="AU96" i="60"/>
  <c r="AT96" i="60"/>
  <c r="AR96" i="60"/>
  <c r="AN96" i="60"/>
  <c r="AS96" i="60"/>
  <c r="Q96" i="60"/>
  <c r="E96" i="60"/>
  <c r="L96" i="60" s="1"/>
  <c r="AU95" i="60"/>
  <c r="AT95" i="60"/>
  <c r="AR95" i="60"/>
  <c r="AN95" i="60"/>
  <c r="Q95" i="60"/>
  <c r="E95" i="60"/>
  <c r="L95" i="60" s="1"/>
  <c r="AU94" i="60"/>
  <c r="AT94" i="60"/>
  <c r="AS94" i="60"/>
  <c r="AR94" i="60"/>
  <c r="AN94" i="60"/>
  <c r="AQ94" i="60"/>
  <c r="AW94" i="60" s="1"/>
  <c r="Q94" i="60"/>
  <c r="AU93" i="60"/>
  <c r="AT93" i="60"/>
  <c r="AS93" i="60"/>
  <c r="AR93" i="60"/>
  <c r="AN93" i="60"/>
  <c r="AQ93" i="60"/>
  <c r="AW93" i="60" s="1"/>
  <c r="R93" i="60"/>
  <c r="Q93" i="60"/>
  <c r="E93" i="60"/>
  <c r="L93" i="60" s="1"/>
  <c r="AU92" i="60"/>
  <c r="AT92" i="60"/>
  <c r="AR92" i="60"/>
  <c r="AQ92" i="60"/>
  <c r="AN92" i="60"/>
  <c r="AS92" i="60"/>
  <c r="R92" i="60"/>
  <c r="Q92" i="60"/>
  <c r="E92" i="60"/>
  <c r="L92" i="60" s="1"/>
  <c r="AU91" i="60"/>
  <c r="AT91" i="60"/>
  <c r="AS91" i="60"/>
  <c r="AR91" i="60"/>
  <c r="AQ91" i="60"/>
  <c r="AN91" i="60"/>
  <c r="R91" i="60"/>
  <c r="Q91" i="60"/>
  <c r="AU90" i="60"/>
  <c r="AT90" i="60"/>
  <c r="AR90" i="60"/>
  <c r="AN90" i="60"/>
  <c r="R90" i="60"/>
  <c r="Q90" i="60"/>
  <c r="E90" i="60"/>
  <c r="L90" i="60" s="1"/>
  <c r="AU89" i="60"/>
  <c r="AT89" i="60"/>
  <c r="AR89" i="60"/>
  <c r="AQ89" i="60"/>
  <c r="AN89" i="60"/>
  <c r="R89" i="60"/>
  <c r="Q89" i="60"/>
  <c r="E89" i="60"/>
  <c r="L89" i="60" s="1"/>
  <c r="AU88" i="60"/>
  <c r="AT88" i="60"/>
  <c r="AR88" i="60"/>
  <c r="AN88" i="60"/>
  <c r="AS88" i="60"/>
  <c r="Q88" i="60"/>
  <c r="E88" i="60"/>
  <c r="L88" i="60" s="1"/>
  <c r="AU87" i="60"/>
  <c r="AT87" i="60"/>
  <c r="AR87" i="60"/>
  <c r="AN87" i="60"/>
  <c r="Q87" i="60"/>
  <c r="E87" i="60"/>
  <c r="L87" i="60" s="1"/>
  <c r="AU86" i="60"/>
  <c r="AT86" i="60"/>
  <c r="AS86" i="60"/>
  <c r="AR86" i="60"/>
  <c r="AN86" i="60"/>
  <c r="AQ86" i="60"/>
  <c r="Q86" i="60"/>
  <c r="AU85" i="60"/>
  <c r="AT85" i="60"/>
  <c r="AS85" i="60"/>
  <c r="AR85" i="60"/>
  <c r="AN85" i="60"/>
  <c r="AQ85" i="60"/>
  <c r="AW85" i="60" s="1"/>
  <c r="R85" i="60"/>
  <c r="Q85" i="60"/>
  <c r="E85" i="60"/>
  <c r="L85" i="60" s="1"/>
  <c r="AU84" i="60"/>
  <c r="AT84" i="60"/>
  <c r="AR84" i="60"/>
  <c r="AQ84" i="60"/>
  <c r="AN84" i="60"/>
  <c r="AS84" i="60"/>
  <c r="R84" i="60"/>
  <c r="Q84" i="60"/>
  <c r="E84" i="60"/>
  <c r="L84" i="60" s="1"/>
  <c r="AU83" i="60"/>
  <c r="AT83" i="60"/>
  <c r="AS83" i="60"/>
  <c r="AR83" i="60"/>
  <c r="AQ83" i="60"/>
  <c r="AW83" i="60" s="1"/>
  <c r="AN83" i="60"/>
  <c r="R83" i="60"/>
  <c r="Q83" i="60"/>
  <c r="AU82" i="60"/>
  <c r="AT82" i="60"/>
  <c r="AR82" i="60"/>
  <c r="AN82" i="60"/>
  <c r="R82" i="60"/>
  <c r="Q82" i="60"/>
  <c r="E82" i="60"/>
  <c r="L82" i="60" s="1"/>
  <c r="AU81" i="60"/>
  <c r="AT81" i="60"/>
  <c r="AR81" i="60"/>
  <c r="AQ81" i="60"/>
  <c r="AW81" i="60" s="1"/>
  <c r="AN81" i="60"/>
  <c r="R81" i="60"/>
  <c r="Q81" i="60"/>
  <c r="E81" i="60"/>
  <c r="L81" i="60" s="1"/>
  <c r="AU80" i="60"/>
  <c r="AT80" i="60"/>
  <c r="AR80" i="60"/>
  <c r="AN80" i="60"/>
  <c r="AS80" i="60"/>
  <c r="Q80" i="60"/>
  <c r="E80" i="60"/>
  <c r="L80" i="60" s="1"/>
  <c r="AU79" i="60"/>
  <c r="AT79" i="60"/>
  <c r="AR79" i="60"/>
  <c r="AN79" i="60"/>
  <c r="Q79" i="60"/>
  <c r="E79" i="60"/>
  <c r="L79" i="60" s="1"/>
  <c r="AU78" i="60"/>
  <c r="AT78" i="60"/>
  <c r="AS78" i="60"/>
  <c r="AR78" i="60"/>
  <c r="AN78" i="60"/>
  <c r="AQ78" i="60"/>
  <c r="Q78" i="60"/>
  <c r="AU77" i="60"/>
  <c r="AT77" i="60"/>
  <c r="AR77" i="60"/>
  <c r="AN77" i="60"/>
  <c r="AS77" i="60"/>
  <c r="R77" i="60"/>
  <c r="Q77" i="60"/>
  <c r="E77" i="60"/>
  <c r="L77" i="60" s="1"/>
  <c r="AU76" i="60"/>
  <c r="AT76" i="60"/>
  <c r="AR76" i="60"/>
  <c r="AQ76" i="60"/>
  <c r="AW76" i="60" s="1"/>
  <c r="AN76" i="60"/>
  <c r="R76" i="60"/>
  <c r="Q76" i="60"/>
  <c r="E76" i="60"/>
  <c r="L76" i="60" s="1"/>
  <c r="AU75" i="60"/>
  <c r="AT75" i="60"/>
  <c r="AS75" i="60"/>
  <c r="AR75" i="60"/>
  <c r="AQ75" i="60"/>
  <c r="AN75" i="60"/>
  <c r="R75" i="60"/>
  <c r="Q75" i="60"/>
  <c r="AU74" i="60"/>
  <c r="AT74" i="60"/>
  <c r="AR74" i="60"/>
  <c r="AN74" i="60"/>
  <c r="R74" i="60"/>
  <c r="Q74" i="60"/>
  <c r="E74" i="60"/>
  <c r="L74" i="60" s="1"/>
  <c r="AU73" i="60"/>
  <c r="AT73" i="60"/>
  <c r="AR73" i="60"/>
  <c r="AQ73" i="60"/>
  <c r="AN73" i="60"/>
  <c r="AS73" i="60"/>
  <c r="R73" i="60"/>
  <c r="Q73" i="60"/>
  <c r="E73" i="60"/>
  <c r="L73" i="60" s="1"/>
  <c r="AU72" i="60"/>
  <c r="AT72" i="60"/>
  <c r="AR72" i="60"/>
  <c r="AQ72" i="60"/>
  <c r="AW72" i="60" s="1"/>
  <c r="AN72" i="60"/>
  <c r="AS72" i="60"/>
  <c r="Q72" i="60"/>
  <c r="E72" i="60"/>
  <c r="L72" i="60" s="1"/>
  <c r="AU71" i="60"/>
  <c r="AT71" i="60"/>
  <c r="AR71" i="60"/>
  <c r="AN71" i="60"/>
  <c r="Q71" i="60"/>
  <c r="E71" i="60"/>
  <c r="L71" i="60" s="1"/>
  <c r="AU70" i="60"/>
  <c r="AT70" i="60"/>
  <c r="AS70" i="60"/>
  <c r="AR70" i="60"/>
  <c r="AN70" i="60"/>
  <c r="AQ70" i="60"/>
  <c r="AW70" i="60" s="1"/>
  <c r="Q70" i="60"/>
  <c r="E70" i="60"/>
  <c r="L70" i="60" s="1"/>
  <c r="AU69" i="60"/>
  <c r="AT69" i="60"/>
  <c r="AR69" i="60"/>
  <c r="AN69" i="60"/>
  <c r="AS69" i="60"/>
  <c r="R69" i="60"/>
  <c r="Q69" i="60"/>
  <c r="E69" i="60"/>
  <c r="L69" i="60" s="1"/>
  <c r="AU68" i="60"/>
  <c r="AT68" i="60"/>
  <c r="AR68" i="60"/>
  <c r="AQ68" i="60"/>
  <c r="AW68" i="60" s="1"/>
  <c r="AN68" i="60"/>
  <c r="R68" i="60"/>
  <c r="Q68" i="60"/>
  <c r="E68" i="60"/>
  <c r="L68" i="60" s="1"/>
  <c r="AW67" i="60"/>
  <c r="AU67" i="60"/>
  <c r="AT67" i="60"/>
  <c r="AS67" i="60"/>
  <c r="AR67" i="60"/>
  <c r="AQ67" i="60"/>
  <c r="AN67" i="60"/>
  <c r="R67" i="60"/>
  <c r="Q67" i="60"/>
  <c r="E67" i="60"/>
  <c r="L67" i="60" s="1"/>
  <c r="AU66" i="60"/>
  <c r="AT66" i="60"/>
  <c r="AR66" i="60"/>
  <c r="AN66" i="60"/>
  <c r="Q66" i="60"/>
  <c r="E66" i="60"/>
  <c r="L66" i="60" s="1"/>
  <c r="AU65" i="60"/>
  <c r="AT65" i="60"/>
  <c r="AS65" i="60"/>
  <c r="AR65" i="60"/>
  <c r="AQ65" i="60"/>
  <c r="AW65" i="60" s="1"/>
  <c r="AN65" i="60"/>
  <c r="R65" i="60"/>
  <c r="Q65" i="60"/>
  <c r="E65" i="60"/>
  <c r="L65" i="60" s="1"/>
  <c r="AU64" i="60"/>
  <c r="AT64" i="60"/>
  <c r="AS64" i="60"/>
  <c r="AR64" i="60"/>
  <c r="AQ64" i="60"/>
  <c r="AW64" i="60" s="1"/>
  <c r="AN64" i="60"/>
  <c r="Q64" i="60"/>
  <c r="E64" i="60"/>
  <c r="L64" i="60" s="1"/>
  <c r="AU63" i="60"/>
  <c r="AT63" i="60"/>
  <c r="AS63" i="60"/>
  <c r="AR63" i="60"/>
  <c r="AQ63" i="60"/>
  <c r="AW63" i="60" s="1"/>
  <c r="AN63" i="60"/>
  <c r="R63" i="60"/>
  <c r="Q63" i="60"/>
  <c r="E63" i="60"/>
  <c r="L63" i="60" s="1"/>
  <c r="AU62" i="60"/>
  <c r="AT62" i="60"/>
  <c r="AS62" i="60"/>
  <c r="AR62" i="60"/>
  <c r="AN62" i="60"/>
  <c r="R62" i="60"/>
  <c r="Q62" i="60"/>
  <c r="E62" i="60"/>
  <c r="L62" i="60" s="1"/>
  <c r="AU61" i="60"/>
  <c r="AT61" i="60"/>
  <c r="AS61" i="60"/>
  <c r="AR61" i="60"/>
  <c r="AQ61" i="60"/>
  <c r="AN61" i="60"/>
  <c r="R61" i="60"/>
  <c r="Q61" i="60"/>
  <c r="AU60" i="60"/>
  <c r="AT60" i="60"/>
  <c r="AR60" i="60"/>
  <c r="AN60" i="60"/>
  <c r="Q60" i="60"/>
  <c r="E60" i="60"/>
  <c r="L60" i="60" s="1"/>
  <c r="AU59" i="60"/>
  <c r="AT59" i="60"/>
  <c r="AR59" i="60"/>
  <c r="AN59" i="60"/>
  <c r="Q59" i="60"/>
  <c r="E59" i="60"/>
  <c r="L59" i="60" s="1"/>
  <c r="AU58" i="60"/>
  <c r="AT58" i="60"/>
  <c r="AS58" i="60"/>
  <c r="AR58" i="60"/>
  <c r="AQ58" i="60"/>
  <c r="AW58" i="60" s="1"/>
  <c r="AN58" i="60"/>
  <c r="R58" i="60"/>
  <c r="Q58" i="60"/>
  <c r="AU57" i="60"/>
  <c r="AT57" i="60"/>
  <c r="AR57" i="60"/>
  <c r="AQ57" i="60"/>
  <c r="AW57" i="60" s="1"/>
  <c r="AN57" i="60"/>
  <c r="AS57" i="60"/>
  <c r="R57" i="60"/>
  <c r="Q57" i="60"/>
  <c r="E57" i="60"/>
  <c r="L57" i="60" s="1"/>
  <c r="AU56" i="60"/>
  <c r="AT56" i="60"/>
  <c r="AR56" i="60"/>
  <c r="AN56" i="60"/>
  <c r="Q56" i="60"/>
  <c r="E56" i="60"/>
  <c r="L56" i="60" s="1"/>
  <c r="AU55" i="60"/>
  <c r="AT55" i="60"/>
  <c r="AR55" i="60"/>
  <c r="AN55" i="60"/>
  <c r="Q55" i="60"/>
  <c r="E55" i="60"/>
  <c r="L55" i="60" s="1"/>
  <c r="AU54" i="60"/>
  <c r="AT54" i="60"/>
  <c r="AR54" i="60"/>
  <c r="AN54" i="60"/>
  <c r="Q54" i="60"/>
  <c r="E54" i="60"/>
  <c r="L54" i="60" s="1"/>
  <c r="AU53" i="60"/>
  <c r="AT53" i="60"/>
  <c r="AS53" i="60"/>
  <c r="AR53" i="60"/>
  <c r="AQ53" i="60"/>
  <c r="AW53" i="60" s="1"/>
  <c r="AN53" i="60"/>
  <c r="R53" i="60"/>
  <c r="Q53" i="60"/>
  <c r="E53" i="60"/>
  <c r="L53" i="60" s="1"/>
  <c r="AU52" i="60"/>
  <c r="AT52" i="60"/>
  <c r="AR52" i="60"/>
  <c r="AN52" i="60"/>
  <c r="Q52" i="60"/>
  <c r="E52" i="60"/>
  <c r="L52" i="60" s="1"/>
  <c r="AU51" i="60"/>
  <c r="AT51" i="60"/>
  <c r="AR51" i="60"/>
  <c r="AN51" i="60"/>
  <c r="Q51" i="60"/>
  <c r="E51" i="60"/>
  <c r="L51" i="60" s="1"/>
  <c r="AU50" i="60"/>
  <c r="AT50" i="60"/>
  <c r="AS50" i="60"/>
  <c r="AR50" i="60"/>
  <c r="AQ50" i="60"/>
  <c r="AN50" i="60"/>
  <c r="R50" i="60"/>
  <c r="Q50" i="60"/>
  <c r="AU49" i="60"/>
  <c r="AT49" i="60"/>
  <c r="AR49" i="60"/>
  <c r="AQ49" i="60"/>
  <c r="AN49" i="60"/>
  <c r="AS49" i="60"/>
  <c r="R49" i="60"/>
  <c r="Q49" i="60"/>
  <c r="E49" i="60"/>
  <c r="L49" i="60" s="1"/>
  <c r="AU48" i="60"/>
  <c r="AT48" i="60"/>
  <c r="AR48" i="60"/>
  <c r="AN48" i="60"/>
  <c r="Q48" i="60"/>
  <c r="E48" i="60"/>
  <c r="L48" i="60" s="1"/>
  <c r="AU47" i="60"/>
  <c r="AT47" i="60"/>
  <c r="AR47" i="60"/>
  <c r="AN47" i="60"/>
  <c r="Q47" i="60"/>
  <c r="E47" i="60"/>
  <c r="L47" i="60" s="1"/>
  <c r="AU46" i="60"/>
  <c r="AT46" i="60"/>
  <c r="AR46" i="60"/>
  <c r="AN46" i="60"/>
  <c r="Q46" i="60"/>
  <c r="E46" i="60"/>
  <c r="L46" i="60" s="1"/>
  <c r="AU45" i="60"/>
  <c r="AT45" i="60"/>
  <c r="AS45" i="60"/>
  <c r="AR45" i="60"/>
  <c r="AQ45" i="60"/>
  <c r="AN45" i="60"/>
  <c r="R45" i="60"/>
  <c r="Q45" i="60"/>
  <c r="E45" i="60"/>
  <c r="L45" i="60" s="1"/>
  <c r="AU44" i="60"/>
  <c r="AT44" i="60"/>
  <c r="AR44" i="60"/>
  <c r="AN44" i="60"/>
  <c r="Q44" i="60"/>
  <c r="E44" i="60"/>
  <c r="L44" i="60" s="1"/>
  <c r="AU43" i="60"/>
  <c r="AT43" i="60"/>
  <c r="AR43" i="60"/>
  <c r="AN43" i="60"/>
  <c r="Q43" i="60"/>
  <c r="E43" i="60"/>
  <c r="L43" i="60" s="1"/>
  <c r="AU42" i="60"/>
  <c r="AT42" i="60"/>
  <c r="AS42" i="60"/>
  <c r="AR42" i="60"/>
  <c r="AQ42" i="60"/>
  <c r="AW42" i="60" s="1"/>
  <c r="AN42" i="60"/>
  <c r="R42" i="60"/>
  <c r="Q42" i="60"/>
  <c r="AU41" i="60"/>
  <c r="AT41" i="60"/>
  <c r="AR41" i="60"/>
  <c r="AQ41" i="60"/>
  <c r="AN41" i="60"/>
  <c r="AS41" i="60"/>
  <c r="R41" i="60"/>
  <c r="Q41" i="60"/>
  <c r="E41" i="60"/>
  <c r="L41" i="60" s="1"/>
  <c r="AU40" i="60"/>
  <c r="AT40" i="60"/>
  <c r="AR40" i="60"/>
  <c r="AN40" i="60"/>
  <c r="Q40" i="60"/>
  <c r="E40" i="60"/>
  <c r="L40" i="60" s="1"/>
  <c r="AU39" i="60"/>
  <c r="AT39" i="60"/>
  <c r="AR39" i="60"/>
  <c r="AN39" i="60"/>
  <c r="Q39" i="60"/>
  <c r="AU38" i="60"/>
  <c r="AT38" i="60"/>
  <c r="AR38" i="60"/>
  <c r="AN38" i="60"/>
  <c r="Q38" i="60"/>
  <c r="E38" i="60"/>
  <c r="L38" i="60" s="1"/>
  <c r="AU37" i="60"/>
  <c r="AT37" i="60"/>
  <c r="AS37" i="60"/>
  <c r="AR37" i="60"/>
  <c r="AQ37" i="60"/>
  <c r="AW37" i="60" s="1"/>
  <c r="AN37" i="60"/>
  <c r="R37" i="60"/>
  <c r="Q37" i="60"/>
  <c r="AU36" i="60"/>
  <c r="AT36" i="60"/>
  <c r="AR36" i="60"/>
  <c r="AN36" i="60"/>
  <c r="Q36" i="60"/>
  <c r="AU35" i="60"/>
  <c r="AT35" i="60"/>
  <c r="AR35" i="60"/>
  <c r="AN35" i="60"/>
  <c r="Q35" i="60"/>
  <c r="E35" i="60"/>
  <c r="L35" i="60" s="1"/>
  <c r="AU34" i="60"/>
  <c r="AT34" i="60"/>
  <c r="AS34" i="60"/>
  <c r="AR34" i="60"/>
  <c r="AQ34" i="60"/>
  <c r="AN34" i="60"/>
  <c r="R34" i="60"/>
  <c r="Q34" i="60"/>
  <c r="AU33" i="60"/>
  <c r="AT33" i="60"/>
  <c r="AR33" i="60"/>
  <c r="AQ33" i="60"/>
  <c r="AN33" i="60"/>
  <c r="AS33" i="60"/>
  <c r="R33" i="60"/>
  <c r="Q33" i="60"/>
  <c r="E33" i="60"/>
  <c r="L33" i="60" s="1"/>
  <c r="AU32" i="60"/>
  <c r="AT32" i="60"/>
  <c r="AR32" i="60"/>
  <c r="AN32" i="60"/>
  <c r="Q32" i="60"/>
  <c r="E32" i="60"/>
  <c r="L32" i="60" s="1"/>
  <c r="AU31" i="60"/>
  <c r="AT31" i="60"/>
  <c r="AS31" i="60"/>
  <c r="AR31" i="60"/>
  <c r="AQ31" i="60"/>
  <c r="AW31" i="60" s="1"/>
  <c r="AN31" i="60"/>
  <c r="R31" i="60"/>
  <c r="Q31" i="60"/>
  <c r="E31" i="60"/>
  <c r="L31" i="60" s="1"/>
  <c r="AU30" i="60"/>
  <c r="AT30" i="60"/>
  <c r="AR30" i="60"/>
  <c r="AN30" i="60"/>
  <c r="Q30" i="60"/>
  <c r="AU29" i="60"/>
  <c r="AT29" i="60"/>
  <c r="AS29" i="60"/>
  <c r="AR29" i="60"/>
  <c r="AQ29" i="60"/>
  <c r="AW29" i="60" s="1"/>
  <c r="AN29" i="60"/>
  <c r="R29" i="60"/>
  <c r="Q29" i="60"/>
  <c r="E29" i="60"/>
  <c r="L29" i="60" s="1"/>
  <c r="AU28" i="60"/>
  <c r="AT28" i="60"/>
  <c r="AS28" i="60"/>
  <c r="AR28" i="60"/>
  <c r="AQ28" i="60"/>
  <c r="AN28" i="60"/>
  <c r="R28" i="60"/>
  <c r="Q28" i="60"/>
  <c r="E28" i="60"/>
  <c r="L28" i="60" s="1"/>
  <c r="AU27" i="60"/>
  <c r="AT27" i="60"/>
  <c r="AR27" i="60"/>
  <c r="AN27" i="60"/>
  <c r="R27" i="60"/>
  <c r="Q27" i="60"/>
  <c r="AU26" i="60"/>
  <c r="AT26" i="60"/>
  <c r="AS26" i="60"/>
  <c r="AR26" i="60"/>
  <c r="AQ26" i="60"/>
  <c r="AN26" i="60"/>
  <c r="R26" i="60"/>
  <c r="Q26" i="60"/>
  <c r="E26" i="60"/>
  <c r="L26" i="60" s="1"/>
  <c r="AU25" i="60"/>
  <c r="AT25" i="60"/>
  <c r="AS25" i="60"/>
  <c r="AR25" i="60"/>
  <c r="AQ25" i="60"/>
  <c r="AW25" i="60" s="1"/>
  <c r="AN25" i="60"/>
  <c r="Q25" i="60"/>
  <c r="E25" i="60"/>
  <c r="L25" i="60" s="1"/>
  <c r="AU24" i="60"/>
  <c r="AT24" i="60"/>
  <c r="AR24" i="60"/>
  <c r="AN24" i="60"/>
  <c r="R24" i="60"/>
  <c r="Q24" i="60"/>
  <c r="E24" i="60"/>
  <c r="L24" i="60" s="1"/>
  <c r="AU23" i="60"/>
  <c r="AT23" i="60"/>
  <c r="AR23" i="60"/>
  <c r="AN23" i="60"/>
  <c r="AQ23" i="60"/>
  <c r="AW23" i="60" s="1"/>
  <c r="Q23" i="60"/>
  <c r="E23" i="60"/>
  <c r="L23" i="60" s="1"/>
  <c r="AU22" i="60"/>
  <c r="AT22" i="60"/>
  <c r="AR22" i="60"/>
  <c r="AN22" i="60"/>
  <c r="R22" i="60"/>
  <c r="Q22" i="60"/>
  <c r="E22" i="60"/>
  <c r="L22" i="60" s="1"/>
  <c r="AU21" i="60"/>
  <c r="AT21" i="60"/>
  <c r="AS21" i="60"/>
  <c r="AR21" i="60"/>
  <c r="AN21" i="60"/>
  <c r="R21" i="60"/>
  <c r="Q21" i="60"/>
  <c r="E21" i="60"/>
  <c r="L21" i="60" s="1"/>
  <c r="AU20" i="60"/>
  <c r="AT20" i="60"/>
  <c r="AS20" i="60"/>
  <c r="AR20" i="60"/>
  <c r="AQ20" i="60"/>
  <c r="AN20" i="60"/>
  <c r="R20" i="60"/>
  <c r="Q20" i="60"/>
  <c r="E20" i="60"/>
  <c r="L20" i="60" s="1"/>
  <c r="AU19" i="60"/>
  <c r="AT19" i="60"/>
  <c r="AR19" i="60"/>
  <c r="AQ19" i="60"/>
  <c r="AW19" i="60" s="1"/>
  <c r="AN19" i="60"/>
  <c r="Q19" i="60"/>
  <c r="E19" i="60"/>
  <c r="L19" i="60" s="1"/>
  <c r="AU18" i="60"/>
  <c r="AT18" i="60"/>
  <c r="AR18" i="60"/>
  <c r="AQ18" i="60"/>
  <c r="AN18" i="60"/>
  <c r="AS18" i="60"/>
  <c r="Q18" i="60"/>
  <c r="E18" i="60"/>
  <c r="L18" i="60" s="1"/>
  <c r="AU17" i="60"/>
  <c r="AT17" i="60"/>
  <c r="AR17" i="60"/>
  <c r="AN17" i="60"/>
  <c r="Q17" i="60"/>
  <c r="E17" i="60"/>
  <c r="L17" i="60" s="1"/>
  <c r="AU16" i="60"/>
  <c r="AT16" i="60"/>
  <c r="AR16" i="60"/>
  <c r="AN16" i="60"/>
  <c r="AQ16" i="60"/>
  <c r="R16" i="60"/>
  <c r="Q16" i="60"/>
  <c r="E16" i="60"/>
  <c r="L16" i="60" s="1"/>
  <c r="AU15" i="60"/>
  <c r="AT15" i="60"/>
  <c r="AS15" i="60"/>
  <c r="AR15" i="60"/>
  <c r="AQ15" i="60"/>
  <c r="AN15" i="60"/>
  <c r="Q15" i="60"/>
  <c r="E15" i="60"/>
  <c r="L15" i="60" s="1"/>
  <c r="AU14" i="60"/>
  <c r="AT14" i="60"/>
  <c r="AS14" i="60"/>
  <c r="AR14" i="60"/>
  <c r="AN14" i="60"/>
  <c r="AQ14" i="60"/>
  <c r="R14" i="60"/>
  <c r="Q14" i="60"/>
  <c r="E14" i="60"/>
  <c r="L14" i="60" s="1"/>
  <c r="AU13" i="60"/>
  <c r="AT13" i="60"/>
  <c r="AS13" i="60"/>
  <c r="AR13" i="60"/>
  <c r="AN13" i="60"/>
  <c r="AQ13" i="60"/>
  <c r="Q13" i="60"/>
  <c r="E13" i="60"/>
  <c r="L13" i="60" s="1"/>
  <c r="AU12" i="60"/>
  <c r="AT12" i="60"/>
  <c r="AS12" i="60"/>
  <c r="AR12" i="60"/>
  <c r="AQ12" i="60"/>
  <c r="AN12" i="60"/>
  <c r="R12" i="60"/>
  <c r="Q12" i="60"/>
  <c r="E12" i="60"/>
  <c r="L12" i="60" s="1"/>
  <c r="AU11" i="60"/>
  <c r="AT11" i="60"/>
  <c r="AR11" i="60"/>
  <c r="AQ11" i="60"/>
  <c r="AN11" i="60"/>
  <c r="Q11" i="60"/>
  <c r="E11" i="60"/>
  <c r="L11" i="60" s="1"/>
  <c r="AU10" i="60"/>
  <c r="AT10" i="60"/>
  <c r="AR10" i="60"/>
  <c r="AQ10" i="60"/>
  <c r="AN10" i="60"/>
  <c r="AS10" i="60"/>
  <c r="Q10" i="60"/>
  <c r="E10" i="60"/>
  <c r="L10" i="60" s="1"/>
  <c r="AU9" i="60"/>
  <c r="AT9" i="60"/>
  <c r="AR9" i="60"/>
  <c r="AN9" i="60"/>
  <c r="Q9" i="60"/>
  <c r="E9" i="60"/>
  <c r="L9" i="60" s="1"/>
  <c r="AU8" i="60"/>
  <c r="AT8" i="60"/>
  <c r="AR8" i="60"/>
  <c r="AN8" i="60"/>
  <c r="AQ8" i="60"/>
  <c r="R8" i="60"/>
  <c r="Q8" i="60"/>
  <c r="E8" i="60"/>
  <c r="L8" i="60" s="1"/>
  <c r="AU7" i="60"/>
  <c r="AT7" i="60"/>
  <c r="AS7" i="60"/>
  <c r="AR7" i="60"/>
  <c r="AQ7" i="60"/>
  <c r="AN7" i="60"/>
  <c r="Q7" i="60"/>
  <c r="E7" i="60"/>
  <c r="L7" i="60" s="1"/>
  <c r="AU6" i="60"/>
  <c r="AT6" i="60"/>
  <c r="AR6" i="60"/>
  <c r="AN6" i="60"/>
  <c r="AS6" i="60"/>
  <c r="R6" i="60"/>
  <c r="Q6" i="60"/>
  <c r="E6" i="60"/>
  <c r="L6" i="60" s="1"/>
  <c r="AU5" i="60"/>
  <c r="AT5" i="60"/>
  <c r="AS5" i="60"/>
  <c r="AR5" i="60"/>
  <c r="AN5" i="60"/>
  <c r="AQ5" i="60"/>
  <c r="Q5" i="60"/>
  <c r="E5" i="60"/>
  <c r="L5" i="60" s="1"/>
  <c r="AU4" i="60"/>
  <c r="AT4" i="60"/>
  <c r="AS4" i="60"/>
  <c r="AR4" i="60"/>
  <c r="AQ4" i="60"/>
  <c r="AN4" i="60"/>
  <c r="R4" i="60"/>
  <c r="Q4" i="60"/>
  <c r="E4" i="60"/>
  <c r="L4" i="60" s="1"/>
  <c r="AU3" i="60"/>
  <c r="AT3" i="60"/>
  <c r="AR3" i="60"/>
  <c r="AB3" i="60"/>
  <c r="AA3" i="60"/>
  <c r="AA126" i="60" s="1"/>
  <c r="AF126" i="60" s="1"/>
  <c r="X3" i="60"/>
  <c r="U3" i="60"/>
  <c r="R3" i="60"/>
  <c r="Q3" i="60"/>
  <c r="E3" i="60"/>
  <c r="AK106" i="56"/>
  <c r="AJ106" i="56"/>
  <c r="AI106" i="56"/>
  <c r="AH106" i="56"/>
  <c r="AR104" i="56"/>
  <c r="F14" i="67" l="1"/>
  <c r="E15" i="67"/>
  <c r="M16" i="67"/>
  <c r="L17" i="67"/>
  <c r="M27" i="69"/>
  <c r="G27" i="69" s="1"/>
  <c r="L28" i="69"/>
  <c r="F30" i="69"/>
  <c r="E31" i="69"/>
  <c r="L7" i="63"/>
  <c r="M6" i="63"/>
  <c r="M26" i="66"/>
  <c r="L27" i="66"/>
  <c r="F27" i="66"/>
  <c r="E28" i="66"/>
  <c r="AI25" i="57"/>
  <c r="AJ25" i="57"/>
  <c r="O48" i="3"/>
  <c r="AF25" i="3"/>
  <c r="AE25" i="3"/>
  <c r="AE48" i="3" s="1"/>
  <c r="F25" i="3"/>
  <c r="AC49" i="3"/>
  <c r="AX13" i="62"/>
  <c r="AZ59" i="62"/>
  <c r="AX59" i="62"/>
  <c r="AZ84" i="62"/>
  <c r="AX84" i="62"/>
  <c r="AZ75" i="62"/>
  <c r="AW75" i="62"/>
  <c r="AW13" i="62"/>
  <c r="AZ79" i="62"/>
  <c r="AW79" i="62"/>
  <c r="AW28" i="62"/>
  <c r="AZ69" i="62"/>
  <c r="AX69" i="62"/>
  <c r="AZ80" i="62"/>
  <c r="AX80" i="62"/>
  <c r="AZ93" i="62"/>
  <c r="AX93" i="62"/>
  <c r="AX97" i="62"/>
  <c r="AC106" i="62"/>
  <c r="AC127" i="62" s="1"/>
  <c r="AC126" i="62"/>
  <c r="AZ91" i="62"/>
  <c r="AX91" i="62"/>
  <c r="AZ100" i="62"/>
  <c r="AX100" i="62"/>
  <c r="AZ55" i="62"/>
  <c r="AX55" i="62"/>
  <c r="AZ88" i="62"/>
  <c r="AX88" i="62"/>
  <c r="AX101" i="62"/>
  <c r="AZ101" i="62"/>
  <c r="AZ92" i="62"/>
  <c r="AX92" i="62"/>
  <c r="AZ77" i="62"/>
  <c r="AX77" i="62"/>
  <c r="AZ104" i="62"/>
  <c r="AX104" i="62"/>
  <c r="AZ90" i="62"/>
  <c r="AX90" i="62"/>
  <c r="AZ102" i="62"/>
  <c r="AX102" i="62"/>
  <c r="AX89" i="62"/>
  <c r="AZ89" i="62"/>
  <c r="AZ98" i="62"/>
  <c r="AX98" i="62"/>
  <c r="AZ96" i="62"/>
  <c r="AX96" i="62"/>
  <c r="AZ94" i="62"/>
  <c r="AX94" i="62"/>
  <c r="AZ95" i="62"/>
  <c r="AX95" i="62"/>
  <c r="AZ99" i="62"/>
  <c r="AX99" i="62"/>
  <c r="AZ82" i="62"/>
  <c r="AX82" i="62"/>
  <c r="AX103" i="62"/>
  <c r="AL88" i="38"/>
  <c r="AO88" i="64"/>
  <c r="AV88" i="64" s="1" a="1"/>
  <c r="AV88" i="64" s="1"/>
  <c r="AZ30" i="64"/>
  <c r="AX30" i="64"/>
  <c r="AX37" i="64"/>
  <c r="AZ37" i="64"/>
  <c r="AX68" i="64"/>
  <c r="AZ68" i="64"/>
  <c r="AZ70" i="64"/>
  <c r="AX70" i="64"/>
  <c r="AW70" i="64"/>
  <c r="AX10" i="64"/>
  <c r="AW10" i="64"/>
  <c r="AZ10" i="64"/>
  <c r="AL92" i="38"/>
  <c r="AO92" i="64"/>
  <c r="AV92" i="64" s="1" a="1"/>
  <c r="AV92" i="64" s="1"/>
  <c r="AL100" i="38"/>
  <c r="AO100" i="64"/>
  <c r="AV100" i="64" s="1" a="1"/>
  <c r="AV100" i="64" s="1"/>
  <c r="AW8" i="64"/>
  <c r="AX8" i="64"/>
  <c r="AZ8" i="64"/>
  <c r="AX4" i="64"/>
  <c r="AW4" i="64"/>
  <c r="AZ4" i="64"/>
  <c r="AZ12" i="64"/>
  <c r="AW12" i="64"/>
  <c r="AX12" i="64"/>
  <c r="AL89" i="38"/>
  <c r="AO89" i="64"/>
  <c r="AV89" i="64" s="1" a="1"/>
  <c r="AV89" i="64" s="1"/>
  <c r="AL55" i="38"/>
  <c r="AO55" i="64"/>
  <c r="AV55" i="64" s="1" a="1"/>
  <c r="AV55" i="64" s="1"/>
  <c r="AL106" i="64"/>
  <c r="AL127" i="64" s="1"/>
  <c r="AZ40" i="64"/>
  <c r="AX40" i="64"/>
  <c r="AW40" i="64"/>
  <c r="AX71" i="62"/>
  <c r="AW18" i="64"/>
  <c r="AZ18" i="64"/>
  <c r="AX18" i="64"/>
  <c r="AW7" i="64"/>
  <c r="AZ7" i="64"/>
  <c r="AX7" i="64"/>
  <c r="AL97" i="38"/>
  <c r="AO97" i="64"/>
  <c r="AV97" i="64" s="1" a="1"/>
  <c r="AV97" i="64" s="1"/>
  <c r="AL95" i="38"/>
  <c r="AO95" i="64"/>
  <c r="AV95" i="64" s="1" a="1"/>
  <c r="AV95" i="64" s="1"/>
  <c r="AL86" i="38"/>
  <c r="AO86" i="64"/>
  <c r="AV86" i="64" s="1" a="1"/>
  <c r="AV86" i="64" s="1"/>
  <c r="AX32" i="64"/>
  <c r="AZ32" i="64"/>
  <c r="AW5" i="64"/>
  <c r="AZ5" i="64"/>
  <c r="AX5" i="64"/>
  <c r="AL101" i="38"/>
  <c r="AO101" i="64"/>
  <c r="AV101" i="64" s="1" a="1"/>
  <c r="AV101" i="64" s="1"/>
  <c r="AZ16" i="64"/>
  <c r="AX16" i="64"/>
  <c r="AW16" i="64"/>
  <c r="AX36" i="64"/>
  <c r="AZ36" i="64"/>
  <c r="AL91" i="38"/>
  <c r="AO91" i="64"/>
  <c r="AV91" i="64" s="1" a="1"/>
  <c r="AV91" i="64" s="1"/>
  <c r="AL82" i="38"/>
  <c r="AO82" i="64"/>
  <c r="AV82" i="64" s="1" a="1"/>
  <c r="AV82" i="64" s="1"/>
  <c r="AW52" i="64"/>
  <c r="AZ52" i="64"/>
  <c r="AX52" i="64"/>
  <c r="AL98" i="38"/>
  <c r="AO98" i="64"/>
  <c r="AV98" i="64" s="1" a="1"/>
  <c r="AV98" i="64" s="1"/>
  <c r="AX67" i="64"/>
  <c r="AZ67" i="64"/>
  <c r="AX14" i="64"/>
  <c r="AZ14" i="64"/>
  <c r="AW14" i="64"/>
  <c r="AX58" i="64"/>
  <c r="AW58" i="64"/>
  <c r="AZ58" i="64"/>
  <c r="AX60" i="62"/>
  <c r="AL104" i="38"/>
  <c r="AO104" i="64"/>
  <c r="AV104" i="64" s="1" a="1"/>
  <c r="AV104" i="64" s="1"/>
  <c r="AZ24" i="64"/>
  <c r="AW24" i="64"/>
  <c r="AX24" i="64"/>
  <c r="AZ73" i="64"/>
  <c r="AX73" i="64"/>
  <c r="AW73" i="64"/>
  <c r="AL94" i="38"/>
  <c r="AO94" i="64"/>
  <c r="AV94" i="64" s="1" a="1"/>
  <c r="AV94" i="64" s="1"/>
  <c r="AZ25" i="64"/>
  <c r="AX25" i="64"/>
  <c r="AW22" i="64"/>
  <c r="AZ22" i="64"/>
  <c r="AX22" i="64"/>
  <c r="AW21" i="64"/>
  <c r="AX21" i="64"/>
  <c r="AZ21" i="64"/>
  <c r="AZ41" i="64"/>
  <c r="AX41" i="64"/>
  <c r="AW41" i="64"/>
  <c r="AZ48" i="64"/>
  <c r="AX48" i="64"/>
  <c r="AW48" i="64"/>
  <c r="AW15" i="64"/>
  <c r="AZ15" i="64"/>
  <c r="AX15" i="64"/>
  <c r="AZ61" i="64"/>
  <c r="AW61" i="64"/>
  <c r="AX61" i="64"/>
  <c r="AW44" i="64"/>
  <c r="AZ44" i="64"/>
  <c r="AX44" i="64"/>
  <c r="AX79" i="62"/>
  <c r="AW53" i="64"/>
  <c r="AZ53" i="64"/>
  <c r="AX53" i="64"/>
  <c r="AV3" i="64"/>
  <c r="AL80" i="38"/>
  <c r="AO80" i="64"/>
  <c r="AV80" i="64" s="1" a="1"/>
  <c r="AV80" i="64" s="1"/>
  <c r="AL69" i="38"/>
  <c r="AO69" i="64"/>
  <c r="AV69" i="64" s="1" a="1"/>
  <c r="AV69" i="64" s="1"/>
  <c r="AL87" i="38"/>
  <c r="AO87" i="64"/>
  <c r="AV87" i="64" s="1" a="1"/>
  <c r="AV87" i="64" s="1"/>
  <c r="AW17" i="64"/>
  <c r="AX17" i="64"/>
  <c r="AZ17" i="64"/>
  <c r="AX35" i="64"/>
  <c r="AZ35" i="64"/>
  <c r="AL71" i="38"/>
  <c r="AO71" i="64"/>
  <c r="AV71" i="64" s="1" a="1"/>
  <c r="AV71" i="64" s="1"/>
  <c r="AZ28" i="64"/>
  <c r="AX28" i="64"/>
  <c r="AW28" i="64"/>
  <c r="AW43" i="64"/>
  <c r="AZ43" i="64"/>
  <c r="AX43" i="64"/>
  <c r="AZ66" i="64"/>
  <c r="AX66" i="64"/>
  <c r="AX13" i="64"/>
  <c r="AW13" i="64"/>
  <c r="AZ13" i="64"/>
  <c r="AZ76" i="64"/>
  <c r="AX76" i="64"/>
  <c r="AW76" i="64"/>
  <c r="AZ29" i="64"/>
  <c r="AX29" i="64"/>
  <c r="AL59" i="38"/>
  <c r="AO59" i="64"/>
  <c r="AV59" i="64" s="1" a="1"/>
  <c r="AV59" i="64" s="1"/>
  <c r="AL102" i="38"/>
  <c r="AO102" i="64"/>
  <c r="AV102" i="64" s="1" a="1"/>
  <c r="AV102" i="64" s="1"/>
  <c r="AZ45" i="64"/>
  <c r="AX45" i="64"/>
  <c r="AW45" i="64"/>
  <c r="AZ64" i="64"/>
  <c r="AX64" i="64"/>
  <c r="AZ23" i="64"/>
  <c r="AX23" i="64"/>
  <c r="AW26" i="64"/>
  <c r="AZ26" i="64"/>
  <c r="AX26" i="64"/>
  <c r="AX63" i="64"/>
  <c r="AZ63" i="64"/>
  <c r="AL93" i="38"/>
  <c r="AO93" i="64"/>
  <c r="AV93" i="64" s="1" a="1"/>
  <c r="AV93" i="64" s="1"/>
  <c r="AL84" i="38"/>
  <c r="AO84" i="64"/>
  <c r="AV84" i="64" s="1" a="1"/>
  <c r="AV84" i="64" s="1"/>
  <c r="AZ74" i="64"/>
  <c r="AX74" i="64"/>
  <c r="AZ39" i="64"/>
  <c r="AX39" i="64"/>
  <c r="AW39" i="64"/>
  <c r="AX72" i="64"/>
  <c r="AZ72" i="64"/>
  <c r="AW72" i="64"/>
  <c r="AW11" i="64"/>
  <c r="AX11" i="64"/>
  <c r="AZ11" i="64"/>
  <c r="AZ47" i="64"/>
  <c r="AX47" i="64"/>
  <c r="AW47" i="64"/>
  <c r="AX65" i="64"/>
  <c r="AZ65" i="64"/>
  <c r="AL90" i="38"/>
  <c r="AO90" i="64"/>
  <c r="AV90" i="64" s="1" a="1"/>
  <c r="AV90" i="64" s="1"/>
  <c r="AX75" i="62"/>
  <c r="AW31" i="64"/>
  <c r="AZ31" i="64"/>
  <c r="AX31" i="64"/>
  <c r="AW20" i="64"/>
  <c r="AZ20" i="64"/>
  <c r="AX20" i="64"/>
  <c r="AL96" i="38"/>
  <c r="AO96" i="64"/>
  <c r="AV96" i="64" s="1" a="1"/>
  <c r="AV96" i="64" s="1"/>
  <c r="AX62" i="64"/>
  <c r="AZ62" i="64"/>
  <c r="AW50" i="64"/>
  <c r="AZ50" i="64"/>
  <c r="AX50" i="64"/>
  <c r="AX57" i="64"/>
  <c r="AZ57" i="64"/>
  <c r="AL77" i="38"/>
  <c r="AO77" i="64"/>
  <c r="AV77" i="64" s="1" a="1"/>
  <c r="AV77" i="64" s="1"/>
  <c r="AZ9" i="64"/>
  <c r="AX9" i="64"/>
  <c r="AW9" i="64"/>
  <c r="AZ46" i="64"/>
  <c r="AX46" i="64"/>
  <c r="AL75" i="38"/>
  <c r="AO75" i="64"/>
  <c r="AV75" i="64" s="1" a="1"/>
  <c r="AV75" i="64" s="1"/>
  <c r="AL83" i="38"/>
  <c r="AO83" i="64"/>
  <c r="AV83" i="64" s="1" a="1"/>
  <c r="AV83" i="64" s="1"/>
  <c r="AW34" i="64"/>
  <c r="AZ34" i="64"/>
  <c r="AX34" i="64"/>
  <c r="AW49" i="64"/>
  <c r="AZ49" i="64"/>
  <c r="AX49" i="64"/>
  <c r="AL81" i="38"/>
  <c r="AO81" i="64"/>
  <c r="AV81" i="64" s="1" a="1"/>
  <c r="AV81" i="64" s="1"/>
  <c r="AL60" i="38"/>
  <c r="AO60" i="64"/>
  <c r="AV60" i="64" s="1" a="1"/>
  <c r="AV60" i="64" s="1"/>
  <c r="AW6" i="64"/>
  <c r="AZ6" i="64"/>
  <c r="AX6" i="64"/>
  <c r="AW33" i="64"/>
  <c r="AZ33" i="64"/>
  <c r="AX33" i="64"/>
  <c r="AL103" i="38"/>
  <c r="AO103" i="64"/>
  <c r="AV103" i="64" s="1" a="1"/>
  <c r="AV103" i="64" s="1"/>
  <c r="AL79" i="38"/>
  <c r="AO79" i="64"/>
  <c r="AV79" i="64" s="1" a="1"/>
  <c r="AV79" i="64" s="1"/>
  <c r="AZ56" i="64"/>
  <c r="AX56" i="64"/>
  <c r="AZ19" i="64"/>
  <c r="AX19" i="64"/>
  <c r="AZ38" i="64"/>
  <c r="AX38" i="64"/>
  <c r="AW38" i="64"/>
  <c r="AL85" i="38"/>
  <c r="AO85" i="64"/>
  <c r="AV85" i="64" s="1" a="1"/>
  <c r="AV85" i="64" s="1"/>
  <c r="AW85" i="64" s="1"/>
  <c r="AZ54" i="64"/>
  <c r="AX54" i="64"/>
  <c r="AW54" i="64"/>
  <c r="AZ42" i="64"/>
  <c r="AX42" i="64"/>
  <c r="AW42" i="64"/>
  <c r="AW27" i="64"/>
  <c r="AX27" i="64"/>
  <c r="AZ27" i="64"/>
  <c r="AL99" i="38"/>
  <c r="AO99" i="64"/>
  <c r="AV99" i="64" s="1" a="1"/>
  <c r="AV99" i="64" s="1"/>
  <c r="AZ51" i="64"/>
  <c r="AX51" i="64"/>
  <c r="AW78" i="64"/>
  <c r="AZ78" i="64"/>
  <c r="AX78" i="64"/>
  <c r="AX28" i="62"/>
  <c r="AX81" i="62"/>
  <c r="AX83" i="62"/>
  <c r="W37" i="57"/>
  <c r="X37" i="57"/>
  <c r="K106" i="61"/>
  <c r="D5" i="61"/>
  <c r="D93" i="61"/>
  <c r="D13" i="61"/>
  <c r="D45" i="61"/>
  <c r="D33" i="61"/>
  <c r="D21" i="61"/>
  <c r="D53" i="61"/>
  <c r="D89" i="61"/>
  <c r="D9" i="61"/>
  <c r="D41" i="61"/>
  <c r="D57" i="61"/>
  <c r="D29" i="61"/>
  <c r="D61" i="61"/>
  <c r="D37" i="61"/>
  <c r="D25" i="61"/>
  <c r="D17" i="61"/>
  <c r="D49" i="61"/>
  <c r="D85" i="61"/>
  <c r="D102" i="61"/>
  <c r="D69" i="61"/>
  <c r="D77" i="61"/>
  <c r="D101" i="61"/>
  <c r="D18" i="61"/>
  <c r="D30" i="61"/>
  <c r="D38" i="61"/>
  <c r="D54" i="61"/>
  <c r="D94" i="61"/>
  <c r="D65" i="61"/>
  <c r="D73" i="61"/>
  <c r="D81" i="61"/>
  <c r="D97" i="61"/>
  <c r="D6" i="61"/>
  <c r="D14" i="61"/>
  <c r="D26" i="61"/>
  <c r="D42" i="61"/>
  <c r="D58" i="61"/>
  <c r="D62" i="61"/>
  <c r="D66" i="61"/>
  <c r="D70" i="61"/>
  <c r="D74" i="61"/>
  <c r="D78" i="61"/>
  <c r="D90" i="61"/>
  <c r="D7" i="61"/>
  <c r="D11" i="61"/>
  <c r="D15" i="61"/>
  <c r="D19" i="61"/>
  <c r="D23" i="61"/>
  <c r="D27" i="61"/>
  <c r="D31" i="61"/>
  <c r="D35" i="61"/>
  <c r="D39" i="61"/>
  <c r="D43" i="61"/>
  <c r="D47" i="61"/>
  <c r="D51" i="61"/>
  <c r="D55" i="61"/>
  <c r="D59" i="61"/>
  <c r="D63" i="61"/>
  <c r="D67" i="61"/>
  <c r="D71" i="61"/>
  <c r="D75" i="61"/>
  <c r="D79" i="61"/>
  <c r="D83" i="61"/>
  <c r="D87" i="61"/>
  <c r="D91" i="61"/>
  <c r="D95" i="61"/>
  <c r="D99" i="61"/>
  <c r="D86" i="61"/>
  <c r="D10" i="61"/>
  <c r="D34" i="61"/>
  <c r="D50" i="61"/>
  <c r="D98" i="61"/>
  <c r="D4" i="61"/>
  <c r="E4" i="61" s="1"/>
  <c r="D8" i="61"/>
  <c r="D12" i="61"/>
  <c r="D16" i="61"/>
  <c r="D20" i="61"/>
  <c r="D24" i="61"/>
  <c r="D28" i="61"/>
  <c r="D32" i="61"/>
  <c r="D36" i="61"/>
  <c r="D40" i="61"/>
  <c r="D44" i="61"/>
  <c r="D48" i="61"/>
  <c r="D52" i="61"/>
  <c r="D56" i="61"/>
  <c r="D60" i="61"/>
  <c r="D64" i="61"/>
  <c r="D68" i="61"/>
  <c r="D72" i="61"/>
  <c r="D76" i="61"/>
  <c r="D80" i="61"/>
  <c r="D84" i="61"/>
  <c r="D88" i="61"/>
  <c r="D92" i="61"/>
  <c r="D96" i="61"/>
  <c r="D100" i="61"/>
  <c r="D22" i="61"/>
  <c r="D46" i="61"/>
  <c r="D82" i="61"/>
  <c r="AM127" i="60"/>
  <c r="U24" i="3"/>
  <c r="AG127" i="60"/>
  <c r="Q24" i="3"/>
  <c r="AE127" i="60"/>
  <c r="R24" i="3"/>
  <c r="Z127" i="60"/>
  <c r="N24" i="3"/>
  <c r="Y127" i="60"/>
  <c r="M24" i="3"/>
  <c r="AF3" i="60"/>
  <c r="W127" i="60"/>
  <c r="K24" i="3"/>
  <c r="V127" i="60"/>
  <c r="J24" i="3"/>
  <c r="L24" i="3" s="1"/>
  <c r="X106" i="60"/>
  <c r="X127" i="60" s="1"/>
  <c r="X126" i="60"/>
  <c r="T127" i="60"/>
  <c r="I24" i="3"/>
  <c r="AS3" i="60"/>
  <c r="U126" i="60"/>
  <c r="AD3" i="60"/>
  <c r="AD126" i="60" s="1"/>
  <c r="S127" i="60"/>
  <c r="AI127" i="60"/>
  <c r="AU105" i="60"/>
  <c r="AB126" i="60"/>
  <c r="Q126" i="60"/>
  <c r="N127" i="60"/>
  <c r="G24" i="3"/>
  <c r="F6" i="63"/>
  <c r="E7" i="63"/>
  <c r="AZ87" i="62"/>
  <c r="AX87" i="62"/>
  <c r="AZ85" i="62"/>
  <c r="AX85" i="62"/>
  <c r="AV105" i="62"/>
  <c r="AZ86" i="62"/>
  <c r="AX86" i="62"/>
  <c r="AZ3" i="62"/>
  <c r="AX3" i="62"/>
  <c r="AO106" i="62"/>
  <c r="AO127" i="62" s="1"/>
  <c r="J106" i="55"/>
  <c r="K105" i="55" s="1"/>
  <c r="AB44" i="56"/>
  <c r="AB36" i="56"/>
  <c r="AB14" i="56"/>
  <c r="AB96" i="56"/>
  <c r="AB88" i="56"/>
  <c r="AB80" i="56"/>
  <c r="AB72" i="56"/>
  <c r="AB64" i="56"/>
  <c r="AB56" i="56"/>
  <c r="AB48" i="56"/>
  <c r="AB40" i="56"/>
  <c r="AB32" i="56"/>
  <c r="AB24" i="56"/>
  <c r="AB16" i="56"/>
  <c r="AB8" i="56"/>
  <c r="AB5" i="56"/>
  <c r="AB61" i="56"/>
  <c r="AB29" i="56"/>
  <c r="AB98" i="56"/>
  <c r="AB90" i="56"/>
  <c r="AB82" i="56"/>
  <c r="AB74" i="56"/>
  <c r="AB66" i="56"/>
  <c r="AB58" i="56"/>
  <c r="AB50" i="56"/>
  <c r="AB42" i="56"/>
  <c r="AB34" i="56"/>
  <c r="AB26" i="56"/>
  <c r="AB18" i="56"/>
  <c r="AB10" i="56"/>
  <c r="AB69" i="56"/>
  <c r="AB45" i="56"/>
  <c r="AB13" i="56"/>
  <c r="N126" i="56"/>
  <c r="G23" i="57" s="1"/>
  <c r="AB103" i="56"/>
  <c r="AB95" i="56"/>
  <c r="AB87" i="56"/>
  <c r="AB79" i="56"/>
  <c r="AB71" i="56"/>
  <c r="AB63" i="56"/>
  <c r="AB55" i="56"/>
  <c r="AB47" i="56"/>
  <c r="AB39" i="56"/>
  <c r="AB31" i="56"/>
  <c r="AB23" i="56"/>
  <c r="AB15" i="56"/>
  <c r="AB7" i="56"/>
  <c r="AB101" i="56"/>
  <c r="AB85" i="56"/>
  <c r="AB28" i="56"/>
  <c r="AB93" i="56"/>
  <c r="AB53" i="56"/>
  <c r="AB21" i="56"/>
  <c r="AB97" i="56"/>
  <c r="AB89" i="56"/>
  <c r="AB81" i="56"/>
  <c r="AB73" i="56"/>
  <c r="AB65" i="56"/>
  <c r="AB57" i="56"/>
  <c r="AB49" i="56"/>
  <c r="AB41" i="56"/>
  <c r="AB33" i="56"/>
  <c r="AB17" i="56"/>
  <c r="AB9" i="56"/>
  <c r="AB77" i="56"/>
  <c r="AB37" i="56"/>
  <c r="AB102" i="56"/>
  <c r="AB94" i="56"/>
  <c r="AB86" i="56"/>
  <c r="AB78" i="56"/>
  <c r="AB70" i="56"/>
  <c r="AB62" i="56"/>
  <c r="AB54" i="56"/>
  <c r="AB46" i="56"/>
  <c r="AB38" i="56"/>
  <c r="AB30" i="56"/>
  <c r="AB22" i="56"/>
  <c r="AB6" i="56"/>
  <c r="AB104" i="56"/>
  <c r="N106" i="56"/>
  <c r="G23" i="3" s="1"/>
  <c r="AK23" i="57"/>
  <c r="AF23" i="57"/>
  <c r="AH23" i="57"/>
  <c r="AA104" i="56"/>
  <c r="X104" i="56"/>
  <c r="AN104" i="56" s="1"/>
  <c r="AF104" i="56"/>
  <c r="E104" i="56"/>
  <c r="L104" i="56" s="1"/>
  <c r="D105" i="61"/>
  <c r="D104" i="61"/>
  <c r="L4" i="61"/>
  <c r="AA106" i="60"/>
  <c r="AA127" i="60" s="1"/>
  <c r="AQ3" i="60"/>
  <c r="AQ6" i="60"/>
  <c r="R7" i="60"/>
  <c r="AS8" i="60"/>
  <c r="R15" i="60"/>
  <c r="AS16" i="60"/>
  <c r="E27" i="60"/>
  <c r="L27" i="60" s="1"/>
  <c r="AQ43" i="60"/>
  <c r="R43" i="60"/>
  <c r="AS43" i="60"/>
  <c r="R44" i="60"/>
  <c r="AQ44" i="60"/>
  <c r="AS44" i="60"/>
  <c r="AQ51" i="60"/>
  <c r="AW51" i="60" s="1"/>
  <c r="R51" i="60"/>
  <c r="AS51" i="60"/>
  <c r="R52" i="60"/>
  <c r="AQ52" i="60"/>
  <c r="AS52" i="60"/>
  <c r="AQ59" i="60"/>
  <c r="AW59" i="60" s="1"/>
  <c r="R59" i="60"/>
  <c r="AS59" i="60"/>
  <c r="AS60" i="60"/>
  <c r="R60" i="60"/>
  <c r="AQ60" i="60"/>
  <c r="AB106" i="60"/>
  <c r="AB127" i="60" s="1"/>
  <c r="AQ9" i="60"/>
  <c r="R10" i="60"/>
  <c r="AS11" i="60"/>
  <c r="AQ17" i="60"/>
  <c r="R18" i="60"/>
  <c r="AS19" i="60"/>
  <c r="AQ21" i="60"/>
  <c r="AS22" i="60"/>
  <c r="AQ22" i="60"/>
  <c r="AS24" i="60"/>
  <c r="AQ24" i="60"/>
  <c r="R30" i="60"/>
  <c r="AQ30" i="60"/>
  <c r="AW30" i="60" s="1"/>
  <c r="AS30" i="60"/>
  <c r="AQ35" i="60"/>
  <c r="AW35" i="60" s="1"/>
  <c r="R35" i="60"/>
  <c r="AS35" i="60"/>
  <c r="R36" i="60"/>
  <c r="AQ36" i="60"/>
  <c r="AW36" i="60" s="1"/>
  <c r="AS36" i="60"/>
  <c r="AL25" i="60"/>
  <c r="R5" i="60"/>
  <c r="R13" i="60"/>
  <c r="E39" i="60"/>
  <c r="L39" i="60" s="1"/>
  <c r="L3" i="60"/>
  <c r="AS9" i="60"/>
  <c r="AS17" i="60"/>
  <c r="R23" i="60"/>
  <c r="AR105" i="60"/>
  <c r="R11" i="60"/>
  <c r="AD106" i="60"/>
  <c r="R19" i="60"/>
  <c r="AS23" i="60"/>
  <c r="AQ47" i="60"/>
  <c r="AS47" i="60"/>
  <c r="R47" i="60"/>
  <c r="R48" i="60"/>
  <c r="AS48" i="60"/>
  <c r="AQ48" i="60"/>
  <c r="AQ55" i="60"/>
  <c r="AW55" i="60" s="1"/>
  <c r="AS55" i="60"/>
  <c r="R55" i="60"/>
  <c r="R56" i="60"/>
  <c r="AS56" i="60"/>
  <c r="AQ56" i="60"/>
  <c r="AW56" i="60" s="1"/>
  <c r="AQ27" i="60"/>
  <c r="E30" i="60"/>
  <c r="L30" i="60" s="1"/>
  <c r="E36" i="60"/>
  <c r="L36" i="60" s="1"/>
  <c r="E37" i="60"/>
  <c r="L37" i="60" s="1"/>
  <c r="AQ39" i="60"/>
  <c r="AS39" i="60"/>
  <c r="R39" i="60"/>
  <c r="R40" i="60"/>
  <c r="AS40" i="60"/>
  <c r="AQ40" i="60"/>
  <c r="R71" i="60"/>
  <c r="AS71" i="60"/>
  <c r="AQ71" i="60"/>
  <c r="AW71" i="60" s="1"/>
  <c r="U106" i="60"/>
  <c r="U127" i="60" s="1"/>
  <c r="AN3" i="60"/>
  <c r="AT105" i="60"/>
  <c r="R9" i="60"/>
  <c r="R17" i="60"/>
  <c r="AS27" i="60"/>
  <c r="R32" i="60"/>
  <c r="AS32" i="60"/>
  <c r="AQ32" i="60"/>
  <c r="AW32" i="60" s="1"/>
  <c r="AL53" i="60"/>
  <c r="AL66" i="60"/>
  <c r="AO66" i="60" s="1"/>
  <c r="R25" i="60"/>
  <c r="R38" i="60"/>
  <c r="R46" i="60"/>
  <c r="R54" i="60"/>
  <c r="E61" i="60"/>
  <c r="L61" i="60" s="1"/>
  <c r="AL88" i="60"/>
  <c r="R66" i="60"/>
  <c r="AQ66" i="60"/>
  <c r="AW66" i="60" s="1"/>
  <c r="AS66" i="60"/>
  <c r="AL71" i="60"/>
  <c r="AO71" i="60" s="1"/>
  <c r="E78" i="60"/>
  <c r="L78" i="60" s="1"/>
  <c r="AQ38" i="60"/>
  <c r="AW38" i="60" s="1"/>
  <c r="AQ46" i="60"/>
  <c r="AW46" i="60" s="1"/>
  <c r="AQ54" i="60"/>
  <c r="AL68" i="60"/>
  <c r="AS38" i="60"/>
  <c r="AS46" i="60"/>
  <c r="AS54" i="60"/>
  <c r="AQ62" i="60"/>
  <c r="AW62" i="60" s="1"/>
  <c r="E75" i="60"/>
  <c r="L75" i="60" s="1"/>
  <c r="E34" i="60"/>
  <c r="L34" i="60" s="1"/>
  <c r="E42" i="60"/>
  <c r="L42" i="60" s="1"/>
  <c r="E50" i="60"/>
  <c r="L50" i="60" s="1"/>
  <c r="E58" i="60"/>
  <c r="L58" i="60" s="1"/>
  <c r="AL75" i="60"/>
  <c r="R64" i="60"/>
  <c r="AL83" i="60"/>
  <c r="AL86" i="60"/>
  <c r="AO86" i="60" s="1"/>
  <c r="AL96" i="60"/>
  <c r="AO96" i="60" s="1"/>
  <c r="AL81" i="60"/>
  <c r="R87" i="60"/>
  <c r="AS87" i="60"/>
  <c r="AQ87" i="60"/>
  <c r="E91" i="60"/>
  <c r="L91" i="60" s="1"/>
  <c r="E94" i="60"/>
  <c r="L94" i="60" s="1"/>
  <c r="AL95" i="60"/>
  <c r="AO95" i="60" s="1"/>
  <c r="E102" i="60"/>
  <c r="L102" i="60" s="1"/>
  <c r="AL94" i="60"/>
  <c r="AO94" i="60" s="1"/>
  <c r="E99" i="60"/>
  <c r="L99" i="60" s="1"/>
  <c r="AH127" i="60"/>
  <c r="AL70" i="60"/>
  <c r="AO70" i="60" s="1"/>
  <c r="AL78" i="60"/>
  <c r="AO78" i="60" s="1"/>
  <c r="AL92" i="60"/>
  <c r="R95" i="60"/>
  <c r="AS95" i="60"/>
  <c r="AQ95" i="60"/>
  <c r="AW95" i="60" s="1"/>
  <c r="R103" i="60"/>
  <c r="AS103" i="60"/>
  <c r="AQ103" i="60"/>
  <c r="AW103" i="60" s="1"/>
  <c r="AF114" i="60"/>
  <c r="AL99" i="60"/>
  <c r="R79" i="60"/>
  <c r="AS79" i="60"/>
  <c r="AQ79" i="60"/>
  <c r="E83" i="60"/>
  <c r="L83" i="60" s="1"/>
  <c r="E86" i="60"/>
  <c r="L86" i="60" s="1"/>
  <c r="AU114" i="60"/>
  <c r="AL87" i="60"/>
  <c r="AO87" i="60" s="1"/>
  <c r="R72" i="60"/>
  <c r="R80" i="60"/>
  <c r="AS81" i="60"/>
  <c r="R88" i="60"/>
  <c r="AS89" i="60"/>
  <c r="R96" i="60"/>
  <c r="AS97" i="60"/>
  <c r="R104" i="60"/>
  <c r="AS68" i="60"/>
  <c r="AQ74" i="60"/>
  <c r="AW74" i="60" s="1"/>
  <c r="AS76" i="60"/>
  <c r="AQ82" i="60"/>
  <c r="AW82" i="60" s="1"/>
  <c r="AQ90" i="60"/>
  <c r="AW90" i="60" s="1"/>
  <c r="AQ98" i="60"/>
  <c r="AS100" i="60"/>
  <c r="AQ69" i="60"/>
  <c r="R70" i="60"/>
  <c r="AQ77" i="60"/>
  <c r="R78" i="60"/>
  <c r="R86" i="60"/>
  <c r="R94" i="60"/>
  <c r="AV96" i="60" a="1"/>
  <c r="AV96" i="60" s="1"/>
  <c r="R102" i="60"/>
  <c r="AF106" i="60"/>
  <c r="AS74" i="60"/>
  <c r="AQ80" i="60"/>
  <c r="AW80" i="60" s="1"/>
  <c r="AS82" i="60"/>
  <c r="AQ88" i="60"/>
  <c r="AW88" i="60" s="1"/>
  <c r="AS90" i="60"/>
  <c r="AQ96" i="60"/>
  <c r="AW96" i="60" s="1"/>
  <c r="R97" i="60"/>
  <c r="AS98" i="60"/>
  <c r="AQ104" i="60"/>
  <c r="AU106" i="60"/>
  <c r="AN103" i="43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N3" i="35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M17" i="67" l="1"/>
  <c r="G17" i="67" s="1"/>
  <c r="L18" i="67"/>
  <c r="F15" i="67"/>
  <c r="E16" i="67"/>
  <c r="F31" i="69"/>
  <c r="E32" i="69"/>
  <c r="M28" i="69"/>
  <c r="G28" i="69" s="1"/>
  <c r="L29" i="69"/>
  <c r="M7" i="63"/>
  <c r="L8" i="63"/>
  <c r="F28" i="66"/>
  <c r="E29" i="66"/>
  <c r="L28" i="66"/>
  <c r="M27" i="66"/>
  <c r="G27" i="66" s="1"/>
  <c r="AW105" i="62"/>
  <c r="AF48" i="3"/>
  <c r="AJ25" i="3"/>
  <c r="AI25" i="3"/>
  <c r="T49" i="3"/>
  <c r="AD49" i="3"/>
  <c r="S49" i="3"/>
  <c r="Z49" i="3"/>
  <c r="X49" i="3"/>
  <c r="W49" i="3"/>
  <c r="V49" i="3"/>
  <c r="AB49" i="3"/>
  <c r="AA49" i="3"/>
  <c r="Y49" i="3"/>
  <c r="R49" i="3"/>
  <c r="Q49" i="3"/>
  <c r="U49" i="3"/>
  <c r="P49" i="3"/>
  <c r="AV105" i="64"/>
  <c r="AX3" i="64"/>
  <c r="AZ3" i="64"/>
  <c r="AW3" i="64"/>
  <c r="AZ75" i="64"/>
  <c r="AW75" i="64"/>
  <c r="AX75" i="64"/>
  <c r="AZ96" i="64"/>
  <c r="AX96" i="64"/>
  <c r="AW87" i="64"/>
  <c r="AZ87" i="64"/>
  <c r="AX87" i="64"/>
  <c r="AX85" i="64"/>
  <c r="AZ85" i="64"/>
  <c r="AW90" i="64"/>
  <c r="AZ90" i="64"/>
  <c r="AX90" i="64"/>
  <c r="AZ71" i="64"/>
  <c r="AX71" i="64"/>
  <c r="AW71" i="64"/>
  <c r="AZ77" i="64"/>
  <c r="AX77" i="64"/>
  <c r="AW77" i="64"/>
  <c r="AX79" i="64"/>
  <c r="AZ79" i="64"/>
  <c r="AW79" i="64"/>
  <c r="AZ69" i="64"/>
  <c r="AW69" i="64"/>
  <c r="AX69" i="64"/>
  <c r="AZ100" i="64"/>
  <c r="AX100" i="64"/>
  <c r="AW100" i="64"/>
  <c r="AZ88" i="64"/>
  <c r="AW88" i="64"/>
  <c r="AX88" i="64"/>
  <c r="AZ59" i="64"/>
  <c r="AX59" i="64"/>
  <c r="AZ84" i="64"/>
  <c r="AX84" i="64"/>
  <c r="AW84" i="64"/>
  <c r="AW102" i="64"/>
  <c r="AX102" i="64"/>
  <c r="AZ102" i="64"/>
  <c r="AX94" i="64"/>
  <c r="AZ94" i="64"/>
  <c r="AW104" i="64"/>
  <c r="AZ104" i="64"/>
  <c r="AX104" i="64"/>
  <c r="AX82" i="64"/>
  <c r="AW82" i="64"/>
  <c r="AZ82" i="64"/>
  <c r="AZ86" i="64"/>
  <c r="AX86" i="64"/>
  <c r="AW86" i="64"/>
  <c r="AX89" i="64"/>
  <c r="AW89" i="64"/>
  <c r="AZ89" i="64"/>
  <c r="AX103" i="64"/>
  <c r="AZ103" i="64"/>
  <c r="AW60" i="64"/>
  <c r="AZ60" i="64"/>
  <c r="AX60" i="64"/>
  <c r="AW80" i="64"/>
  <c r="AZ80" i="64"/>
  <c r="AX80" i="64"/>
  <c r="AX101" i="64"/>
  <c r="AZ101" i="64"/>
  <c r="AW92" i="64"/>
  <c r="AZ92" i="64"/>
  <c r="AX92" i="64"/>
  <c r="AZ93" i="64"/>
  <c r="AX93" i="64"/>
  <c r="AW93" i="64"/>
  <c r="AW91" i="64"/>
  <c r="AZ91" i="64"/>
  <c r="AX91" i="64"/>
  <c r="AX95" i="64"/>
  <c r="AZ95" i="64"/>
  <c r="AZ55" i="64"/>
  <c r="AX55" i="64"/>
  <c r="AW97" i="64"/>
  <c r="AX97" i="64"/>
  <c r="AZ97" i="64"/>
  <c r="AZ99" i="64"/>
  <c r="AX99" i="64"/>
  <c r="AX81" i="64"/>
  <c r="AZ81" i="64"/>
  <c r="AW81" i="64"/>
  <c r="AW83" i="64"/>
  <c r="AZ83" i="64"/>
  <c r="AX83" i="64"/>
  <c r="AL106" i="38"/>
  <c r="AO106" i="64"/>
  <c r="AO127" i="64" s="1"/>
  <c r="AZ98" i="64"/>
  <c r="AX98" i="64"/>
  <c r="AW98" i="64"/>
  <c r="AX105" i="62"/>
  <c r="AZ106" i="62"/>
  <c r="AZ127" i="62" s="1"/>
  <c r="D106" i="61"/>
  <c r="R126" i="60"/>
  <c r="AS105" i="60"/>
  <c r="AC90" i="60"/>
  <c r="AC84" i="60"/>
  <c r="AC98" i="60"/>
  <c r="AC17" i="60"/>
  <c r="AC26" i="60"/>
  <c r="AC58" i="60"/>
  <c r="AC10" i="60"/>
  <c r="AC19" i="60"/>
  <c r="AC31" i="60"/>
  <c r="AC33" i="60"/>
  <c r="AC43" i="60"/>
  <c r="AC63" i="60"/>
  <c r="AC65" i="60"/>
  <c r="AC75" i="60"/>
  <c r="AC95" i="60"/>
  <c r="AC50" i="60"/>
  <c r="AC82" i="60"/>
  <c r="AC18" i="60"/>
  <c r="AC42" i="60"/>
  <c r="AC74" i="60"/>
  <c r="AC101" i="60"/>
  <c r="AC8" i="60"/>
  <c r="AC64" i="60"/>
  <c r="AC37" i="60"/>
  <c r="AC35" i="60"/>
  <c r="AC28" i="60"/>
  <c r="AC12" i="60"/>
  <c r="AC93" i="60"/>
  <c r="AC51" i="60"/>
  <c r="AC66" i="60"/>
  <c r="AC32" i="60"/>
  <c r="AC61" i="60"/>
  <c r="AC20" i="60"/>
  <c r="AC67" i="60"/>
  <c r="AC6" i="60"/>
  <c r="AC69" i="60"/>
  <c r="AC100" i="60"/>
  <c r="AC29" i="60"/>
  <c r="AC104" i="60"/>
  <c r="AC49" i="60"/>
  <c r="AC25" i="60"/>
  <c r="AC40" i="60"/>
  <c r="AC80" i="60"/>
  <c r="AC96" i="60"/>
  <c r="AC48" i="60"/>
  <c r="AC59" i="60"/>
  <c r="AC9" i="60"/>
  <c r="AC24" i="60"/>
  <c r="AC88" i="60"/>
  <c r="AC39" i="60"/>
  <c r="AC57" i="60"/>
  <c r="AC72" i="60"/>
  <c r="AC85" i="60"/>
  <c r="AC103" i="60"/>
  <c r="AC47" i="60"/>
  <c r="AC71" i="60"/>
  <c r="AC81" i="60"/>
  <c r="AC7" i="60"/>
  <c r="AC92" i="60"/>
  <c r="AC55" i="60"/>
  <c r="AC53" i="60"/>
  <c r="AC11" i="60"/>
  <c r="AC91" i="60"/>
  <c r="AC23" i="60"/>
  <c r="AC97" i="60"/>
  <c r="AC87" i="60"/>
  <c r="AC62" i="60"/>
  <c r="AC21" i="60"/>
  <c r="AC83" i="60"/>
  <c r="AC5" i="60"/>
  <c r="AC89" i="60"/>
  <c r="AC34" i="60"/>
  <c r="AC56" i="60"/>
  <c r="AC73" i="60"/>
  <c r="AC13" i="60"/>
  <c r="AC4" i="60"/>
  <c r="AC38" i="60"/>
  <c r="AC79" i="60"/>
  <c r="AC41" i="60"/>
  <c r="AC15" i="60"/>
  <c r="AC77" i="60"/>
  <c r="AC45" i="60"/>
  <c r="AC16" i="60"/>
  <c r="AC27" i="60"/>
  <c r="AC68" i="60"/>
  <c r="AC44" i="60"/>
  <c r="AC46" i="60"/>
  <c r="AC52" i="60"/>
  <c r="AC102" i="60"/>
  <c r="AC54" i="60"/>
  <c r="AC30" i="60"/>
  <c r="AC78" i="60"/>
  <c r="AC22" i="60"/>
  <c r="AC36" i="60"/>
  <c r="AC94" i="60"/>
  <c r="AC60" i="60"/>
  <c r="AC99" i="60"/>
  <c r="AC70" i="60"/>
  <c r="AC14" i="60"/>
  <c r="AC76" i="60"/>
  <c r="AC86" i="60"/>
  <c r="O24" i="3"/>
  <c r="AF127" i="60"/>
  <c r="AN106" i="60"/>
  <c r="AN126" i="60"/>
  <c r="AD127" i="60"/>
  <c r="P24" i="3"/>
  <c r="AO81" i="60"/>
  <c r="AV81" i="60" s="1" a="1"/>
  <c r="AV81" i="60" s="1"/>
  <c r="AO88" i="60"/>
  <c r="AV88" i="60" s="1" a="1"/>
  <c r="AV88" i="60" s="1"/>
  <c r="AO25" i="60"/>
  <c r="AV25" i="60" s="1" a="1"/>
  <c r="AV25" i="60" s="1"/>
  <c r="AO75" i="60"/>
  <c r="AV75" i="60" s="1" a="1"/>
  <c r="AV75" i="60" s="1"/>
  <c r="AO99" i="60"/>
  <c r="AV99" i="60" s="1" a="1"/>
  <c r="AV99" i="60" s="1"/>
  <c r="AV68" i="60" a="1"/>
  <c r="AV68" i="60" s="1"/>
  <c r="AX68" i="60" s="1"/>
  <c r="AO68" i="60"/>
  <c r="AO92" i="60"/>
  <c r="AV92" i="60" s="1" a="1"/>
  <c r="AV92" i="60" s="1"/>
  <c r="AW92" i="60" s="1"/>
  <c r="AO83" i="60"/>
  <c r="AV83" i="60" s="1" a="1"/>
  <c r="AV83" i="60" s="1"/>
  <c r="AO53" i="60"/>
  <c r="AV53" i="60" s="1" a="1"/>
  <c r="AV53" i="60" s="1"/>
  <c r="AU127" i="60"/>
  <c r="AL91" i="60"/>
  <c r="AL44" i="60"/>
  <c r="AL37" i="60"/>
  <c r="AL30" i="60"/>
  <c r="AO30" i="60" s="1"/>
  <c r="AL102" i="60"/>
  <c r="AL67" i="60"/>
  <c r="L126" i="60"/>
  <c r="AL104" i="60"/>
  <c r="E126" i="60"/>
  <c r="AL80" i="60"/>
  <c r="AL40" i="60"/>
  <c r="AV30" i="60" a="1"/>
  <c r="AV30" i="60" s="1"/>
  <c r="AX30" i="60" s="1"/>
  <c r="AL84" i="60"/>
  <c r="AV66" i="60" a="1"/>
  <c r="AV66" i="60" s="1"/>
  <c r="AX66" i="60" s="1"/>
  <c r="AL52" i="60"/>
  <c r="AL28" i="60"/>
  <c r="AO28" i="60" s="1"/>
  <c r="AL56" i="60"/>
  <c r="AL32" i="60"/>
  <c r="AL47" i="60"/>
  <c r="AL72" i="60"/>
  <c r="AL64" i="60"/>
  <c r="E8" i="63"/>
  <c r="F7" i="63"/>
  <c r="AJ23" i="57"/>
  <c r="AI23" i="57"/>
  <c r="AT104" i="56"/>
  <c r="U104" i="56"/>
  <c r="AU104" i="56"/>
  <c r="L5" i="61"/>
  <c r="M4" i="61"/>
  <c r="F4" i="61"/>
  <c r="E5" i="61"/>
  <c r="AV70" i="60" a="1"/>
  <c r="AV70" i="60" s="1"/>
  <c r="AZ70" i="60" s="1"/>
  <c r="AL23" i="60"/>
  <c r="AV86" i="60" a="1"/>
  <c r="AV86" i="60" s="1"/>
  <c r="AL48" i="60"/>
  <c r="AL76" i="60"/>
  <c r="AL45" i="60"/>
  <c r="AL21" i="60"/>
  <c r="AL55" i="60"/>
  <c r="AL62" i="60"/>
  <c r="AZ96" i="60"/>
  <c r="AX96" i="60"/>
  <c r="AV87" i="60" a="1"/>
  <c r="AV87" i="60" s="1"/>
  <c r="AW87" i="60" s="1"/>
  <c r="AL39" i="60"/>
  <c r="AL5" i="60"/>
  <c r="AL15" i="60"/>
  <c r="AV78" i="60" a="1"/>
  <c r="AV78" i="60" s="1"/>
  <c r="AW78" i="60" s="1"/>
  <c r="AL18" i="60"/>
  <c r="AL10" i="60"/>
  <c r="AL103" i="60"/>
  <c r="AO103" i="60" s="1"/>
  <c r="AV103" i="60" s="1" a="1"/>
  <c r="AV103" i="60" s="1"/>
  <c r="AL79" i="60"/>
  <c r="AL100" i="60"/>
  <c r="AL97" i="60"/>
  <c r="AL89" i="60"/>
  <c r="AL73" i="60"/>
  <c r="AL101" i="60"/>
  <c r="AL93" i="60"/>
  <c r="AL85" i="60"/>
  <c r="AL77" i="60"/>
  <c r="AL98" i="60"/>
  <c r="AL82" i="60"/>
  <c r="AL74" i="60"/>
  <c r="AL90" i="60"/>
  <c r="AL57" i="60"/>
  <c r="AL49" i="60"/>
  <c r="AL41" i="60"/>
  <c r="AL33" i="60"/>
  <c r="AL69" i="60"/>
  <c r="AL65" i="60"/>
  <c r="AL24" i="60"/>
  <c r="AL60" i="60"/>
  <c r="AL35" i="60"/>
  <c r="AL26" i="60"/>
  <c r="AL14" i="60"/>
  <c r="AL6" i="60"/>
  <c r="AL3" i="60"/>
  <c r="AO3" i="60" s="1"/>
  <c r="AL12" i="60"/>
  <c r="AL4" i="60"/>
  <c r="AL63" i="60"/>
  <c r="AL59" i="60"/>
  <c r="AL51" i="60"/>
  <c r="AO51" i="60" s="1"/>
  <c r="AV51" i="60" s="1" a="1"/>
  <c r="AV51" i="60" s="1"/>
  <c r="AL43" i="60"/>
  <c r="AL34" i="60"/>
  <c r="AL19" i="60"/>
  <c r="AL11" i="60"/>
  <c r="AL22" i="60"/>
  <c r="AL58" i="60"/>
  <c r="AL50" i="60"/>
  <c r="AL42" i="60"/>
  <c r="AL29" i="60"/>
  <c r="AL27" i="60"/>
  <c r="AL16" i="60"/>
  <c r="AL8" i="60"/>
  <c r="AL38" i="60"/>
  <c r="AL20" i="60"/>
  <c r="AL61" i="60"/>
  <c r="AL54" i="60"/>
  <c r="AL46" i="60"/>
  <c r="AV95" i="60" a="1"/>
  <c r="AV95" i="60" s="1"/>
  <c r="AQ105" i="60"/>
  <c r="AL36" i="60"/>
  <c r="AL17" i="60"/>
  <c r="AV94" i="60" a="1"/>
  <c r="AV94" i="60" s="1"/>
  <c r="E106" i="60"/>
  <c r="E127" i="60" s="1"/>
  <c r="AL31" i="60"/>
  <c r="AC3" i="60"/>
  <c r="AL9" i="60"/>
  <c r="AV71" i="60" a="1"/>
  <c r="AV71" i="60" s="1"/>
  <c r="L106" i="60"/>
  <c r="L127" i="60" s="1"/>
  <c r="AL7" i="60"/>
  <c r="AL13" i="60"/>
  <c r="AA125" i="52"/>
  <c r="AC21" i="57"/>
  <c r="Z21" i="57"/>
  <c r="X21" i="57"/>
  <c r="W21" i="57"/>
  <c r="U21" i="57"/>
  <c r="S21" i="57"/>
  <c r="R21" i="57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C22" i="57"/>
  <c r="Z22" i="57"/>
  <c r="Z29" i="57" s="1"/>
  <c r="X22" i="57"/>
  <c r="W22" i="57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C22" i="3"/>
  <c r="Z22" i="3"/>
  <c r="X22" i="3"/>
  <c r="W22" i="3"/>
  <c r="U22" i="3"/>
  <c r="S22" i="3"/>
  <c r="R22" i="3"/>
  <c r="Q22" i="3"/>
  <c r="P22" i="3"/>
  <c r="N22" i="3"/>
  <c r="M22" i="3"/>
  <c r="K22" i="3"/>
  <c r="J22" i="3"/>
  <c r="I22" i="3"/>
  <c r="H22" i="3"/>
  <c r="G22" i="3"/>
  <c r="AG29" i="57"/>
  <c r="AD29" i="57"/>
  <c r="AC29" i="57"/>
  <c r="X29" i="57"/>
  <c r="V29" i="57"/>
  <c r="U29" i="57"/>
  <c r="T29" i="57"/>
  <c r="P29" i="57"/>
  <c r="M29" i="57"/>
  <c r="K29" i="57"/>
  <c r="J29" i="57"/>
  <c r="AD28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E17" i="67" l="1"/>
  <c r="F16" i="67"/>
  <c r="L19" i="67"/>
  <c r="M18" i="67"/>
  <c r="G19" i="67" s="1"/>
  <c r="M29" i="69"/>
  <c r="G29" i="69" s="1"/>
  <c r="L30" i="69"/>
  <c r="F32" i="69"/>
  <c r="E33" i="69"/>
  <c r="M8" i="63"/>
  <c r="L9" i="63"/>
  <c r="L29" i="66"/>
  <c r="M28" i="66"/>
  <c r="F29" i="66"/>
  <c r="E30" i="66"/>
  <c r="AG49" i="3"/>
  <c r="AF49" i="3"/>
  <c r="AG48" i="3"/>
  <c r="AW105" i="64"/>
  <c r="AX105" i="64"/>
  <c r="AZ106" i="64"/>
  <c r="AZ127" i="64" s="1"/>
  <c r="W29" i="57"/>
  <c r="R29" i="57"/>
  <c r="S29" i="57"/>
  <c r="AK24" i="3"/>
  <c r="F24" i="3"/>
  <c r="AX75" i="60"/>
  <c r="AW75" i="60"/>
  <c r="AZ86" i="60"/>
  <c r="AW86" i="60"/>
  <c r="AH24" i="3"/>
  <c r="AZ88" i="60"/>
  <c r="AX88" i="60"/>
  <c r="AC126" i="60"/>
  <c r="AC106" i="60"/>
  <c r="AC127" i="60" s="1"/>
  <c r="AN127" i="60"/>
  <c r="AC24" i="3"/>
  <c r="AX83" i="60"/>
  <c r="AZ83" i="60"/>
  <c r="AZ68" i="60"/>
  <c r="AZ92" i="60"/>
  <c r="AX92" i="60"/>
  <c r="AZ81" i="60"/>
  <c r="AX81" i="60"/>
  <c r="AX99" i="60"/>
  <c r="AZ99" i="60"/>
  <c r="AX53" i="60"/>
  <c r="AZ53" i="60"/>
  <c r="AZ25" i="60"/>
  <c r="AX25" i="60"/>
  <c r="AO13" i="60"/>
  <c r="AV13" i="60" s="1" a="1"/>
  <c r="AV13" i="60" s="1"/>
  <c r="AW13" i="60" s="1"/>
  <c r="AO46" i="60"/>
  <c r="AV46" i="60" s="1" a="1"/>
  <c r="AV46" i="60" s="1"/>
  <c r="AO9" i="60"/>
  <c r="AV9" i="60" s="1" a="1"/>
  <c r="AV9" i="60" s="1"/>
  <c r="AW9" i="60" s="1"/>
  <c r="AO49" i="60"/>
  <c r="AV49" i="60" s="1" a="1"/>
  <c r="AV49" i="60" s="1"/>
  <c r="AW49" i="60" s="1"/>
  <c r="AO93" i="60"/>
  <c r="AV93" i="60" s="1" a="1"/>
  <c r="AV93" i="60" s="1"/>
  <c r="AO5" i="60"/>
  <c r="AV5" i="60" s="1" a="1"/>
  <c r="AV5" i="60" s="1"/>
  <c r="AW5" i="60" s="1"/>
  <c r="AO76" i="60"/>
  <c r="AV76" i="60" s="1" a="1"/>
  <c r="AV76" i="60" s="1"/>
  <c r="AO52" i="60"/>
  <c r="AV52" i="60" s="1" a="1"/>
  <c r="AV52" i="60" s="1"/>
  <c r="AW52" i="60" s="1"/>
  <c r="AO17" i="60"/>
  <c r="AV17" i="60" s="1" a="1"/>
  <c r="AV17" i="60" s="1"/>
  <c r="AW17" i="60" s="1"/>
  <c r="AO20" i="60"/>
  <c r="AV20" i="60" s="1" a="1"/>
  <c r="AV20" i="60" s="1"/>
  <c r="AW20" i="60" s="1"/>
  <c r="AO58" i="60"/>
  <c r="AV58" i="60" s="1" a="1"/>
  <c r="AV58" i="60" s="1"/>
  <c r="AO63" i="60"/>
  <c r="AV63" i="60" s="1" a="1"/>
  <c r="AV63" i="60" s="1"/>
  <c r="AO60" i="60"/>
  <c r="AV60" i="60" s="1" a="1"/>
  <c r="AV60" i="60" s="1"/>
  <c r="AO90" i="60"/>
  <c r="AV90" i="60" s="1" a="1"/>
  <c r="AV90" i="60" s="1"/>
  <c r="AO73" i="60"/>
  <c r="AV73" i="60" s="1" a="1"/>
  <c r="AV73" i="60" s="1"/>
  <c r="AW73" i="60" s="1"/>
  <c r="AZ75" i="60"/>
  <c r="AZ30" i="60"/>
  <c r="AO64" i="60"/>
  <c r="AV64" i="60" s="1" a="1"/>
  <c r="AV64" i="60" s="1"/>
  <c r="AZ64" i="60" s="1"/>
  <c r="AO84" i="60"/>
  <c r="AV84" i="60" s="1" a="1"/>
  <c r="AV84" i="60" s="1"/>
  <c r="AO102" i="60"/>
  <c r="AV102" i="60" s="1" a="1"/>
  <c r="AV102" i="60" s="1"/>
  <c r="AW102" i="60" s="1"/>
  <c r="AO38" i="60"/>
  <c r="AV38" i="60" s="1" a="1"/>
  <c r="AV38" i="60" s="1"/>
  <c r="AO22" i="60"/>
  <c r="AV22" i="60" s="1" a="1"/>
  <c r="AV22" i="60" s="1"/>
  <c r="AW22" i="60" s="1"/>
  <c r="AO4" i="60"/>
  <c r="AV4" i="60" s="1" a="1"/>
  <c r="AV4" i="60" s="1"/>
  <c r="AW4" i="60" s="1"/>
  <c r="AO24" i="60"/>
  <c r="AV24" i="60" s="1" a="1"/>
  <c r="AV24" i="60" s="1"/>
  <c r="AW24" i="60" s="1"/>
  <c r="AO74" i="60"/>
  <c r="AV74" i="60" s="1" a="1"/>
  <c r="AV74" i="60" s="1"/>
  <c r="AO89" i="60"/>
  <c r="AV89" i="60" s="1" a="1"/>
  <c r="AV89" i="60" s="1"/>
  <c r="AO10" i="60"/>
  <c r="AV10" i="60" s="1" a="1"/>
  <c r="AV10" i="60" s="1"/>
  <c r="AW10" i="60" s="1"/>
  <c r="AO62" i="60"/>
  <c r="AV62" i="60" s="1" a="1"/>
  <c r="AV62" i="60" s="1"/>
  <c r="AO23" i="60"/>
  <c r="AV23" i="60" s="1" a="1"/>
  <c r="AV23" i="60" s="1"/>
  <c r="AO72" i="60"/>
  <c r="AV72" i="60" s="1" a="1"/>
  <c r="AV72" i="60" s="1"/>
  <c r="AO16" i="60"/>
  <c r="AV16" i="60" s="1" a="1"/>
  <c r="AV16" i="60" s="1"/>
  <c r="AO69" i="60"/>
  <c r="AV69" i="60" s="1" a="1"/>
  <c r="AV69" i="60" s="1"/>
  <c r="AW69" i="60" s="1"/>
  <c r="AO98" i="60"/>
  <c r="AV98" i="60" s="1" a="1"/>
  <c r="AV98" i="60" s="1"/>
  <c r="AW98" i="60" s="1"/>
  <c r="AO100" i="60"/>
  <c r="AV100" i="60" s="1" a="1"/>
  <c r="AV100" i="60" s="1"/>
  <c r="AW100" i="60" s="1"/>
  <c r="AO55" i="60"/>
  <c r="AV55" i="60" s="1" a="1"/>
  <c r="AV55" i="60" s="1"/>
  <c r="AO32" i="60"/>
  <c r="AV32" i="60" s="1" a="1"/>
  <c r="AV32" i="60" s="1"/>
  <c r="AO80" i="60"/>
  <c r="AV80" i="60" s="1" a="1"/>
  <c r="AV80" i="60" s="1"/>
  <c r="AO44" i="60"/>
  <c r="AV44" i="60" s="1" a="1"/>
  <c r="AV44" i="60" s="1"/>
  <c r="AW44" i="60" s="1"/>
  <c r="AO36" i="60"/>
  <c r="AV36" i="60" s="1" a="1"/>
  <c r="AV36" i="60" s="1"/>
  <c r="AO8" i="60"/>
  <c r="AV8" i="60" s="1" a="1"/>
  <c r="AV8" i="60" s="1"/>
  <c r="AW8" i="60" s="1"/>
  <c r="AO11" i="60"/>
  <c r="AV11" i="60" s="1" a="1"/>
  <c r="AV11" i="60" s="1"/>
  <c r="AW11" i="60" s="1"/>
  <c r="AO12" i="60"/>
  <c r="AV12" i="60" s="1" a="1"/>
  <c r="AV12" i="60" s="1"/>
  <c r="AO65" i="60"/>
  <c r="AV65" i="60" s="1" a="1"/>
  <c r="AV65" i="60" s="1"/>
  <c r="AO82" i="60"/>
  <c r="AV82" i="60" s="1" a="1"/>
  <c r="AV82" i="60" s="1"/>
  <c r="AO97" i="60"/>
  <c r="AV97" i="60" s="1" a="1"/>
  <c r="AV97" i="60" s="1"/>
  <c r="AO18" i="60"/>
  <c r="AV18" i="60" s="1" a="1"/>
  <c r="AV18" i="60" s="1"/>
  <c r="AW18" i="60" s="1"/>
  <c r="AO47" i="60"/>
  <c r="AV47" i="60" s="1" a="1"/>
  <c r="AV47" i="60" s="1"/>
  <c r="AO40" i="60"/>
  <c r="AV40" i="60" s="1" a="1"/>
  <c r="AV40" i="60" s="1"/>
  <c r="AW40" i="60" s="1"/>
  <c r="AO37" i="60"/>
  <c r="AV37" i="60" s="1" a="1"/>
  <c r="AV37" i="60" s="1"/>
  <c r="AO19" i="60"/>
  <c r="AV19" i="60" s="1" a="1"/>
  <c r="AV19" i="60" s="1"/>
  <c r="AO27" i="60"/>
  <c r="AV27" i="60" s="1" a="1"/>
  <c r="AV27" i="60" s="1"/>
  <c r="AZ27" i="60" s="1"/>
  <c r="AO34" i="60"/>
  <c r="AV34" i="60" s="1" a="1"/>
  <c r="AV34" i="60" s="1"/>
  <c r="AW34" i="60" s="1"/>
  <c r="AO6" i="60"/>
  <c r="AV6" i="60" s="1" a="1"/>
  <c r="AV6" i="60" s="1"/>
  <c r="AW6" i="60" s="1"/>
  <c r="AO33" i="60"/>
  <c r="AV33" i="60" s="1" a="1"/>
  <c r="AV33" i="60" s="1"/>
  <c r="AW33" i="60" s="1"/>
  <c r="AO77" i="60"/>
  <c r="AV77" i="60" s="1" a="1"/>
  <c r="AV77" i="60" s="1"/>
  <c r="AW77" i="60" s="1"/>
  <c r="AO79" i="60"/>
  <c r="AV79" i="60" s="1" a="1"/>
  <c r="AV79" i="60" s="1"/>
  <c r="AW79" i="60" s="1"/>
  <c r="AO21" i="60"/>
  <c r="AV21" i="60" s="1" a="1"/>
  <c r="AV21" i="60" s="1"/>
  <c r="AW21" i="60" s="1"/>
  <c r="AO56" i="60"/>
  <c r="AV56" i="60" s="1" a="1"/>
  <c r="AV56" i="60" s="1"/>
  <c r="AZ56" i="60" s="1"/>
  <c r="AO91" i="60"/>
  <c r="AV91" i="60" s="1" a="1"/>
  <c r="AV91" i="60" s="1"/>
  <c r="AW91" i="60" s="1"/>
  <c r="AO31" i="60"/>
  <c r="AV31" i="60" s="1" a="1"/>
  <c r="AV31" i="60" s="1"/>
  <c r="AO43" i="60"/>
  <c r="AV43" i="60" s="1" a="1"/>
  <c r="AV43" i="60" s="1"/>
  <c r="AW43" i="60" s="1"/>
  <c r="AO14" i="60"/>
  <c r="AV14" i="60" s="1" a="1"/>
  <c r="AV14" i="60" s="1"/>
  <c r="AO41" i="60"/>
  <c r="AV41" i="60" s="1" a="1"/>
  <c r="AV41" i="60" s="1"/>
  <c r="AO85" i="60"/>
  <c r="AV85" i="60" s="1" a="1"/>
  <c r="AV85" i="60" s="1"/>
  <c r="AO15" i="60"/>
  <c r="AV15" i="60" s="1" a="1"/>
  <c r="AV15" i="60" s="1"/>
  <c r="AW15" i="60" s="1"/>
  <c r="AO45" i="60"/>
  <c r="AV45" i="60" s="1" a="1"/>
  <c r="AV45" i="60" s="1"/>
  <c r="AO104" i="60"/>
  <c r="AV104" i="60" s="1" a="1"/>
  <c r="AV104" i="60" s="1"/>
  <c r="AO29" i="60"/>
  <c r="AV29" i="60" s="1" a="1"/>
  <c r="AV29" i="60" s="1"/>
  <c r="AO7" i="60"/>
  <c r="AV7" i="60" s="1" a="1"/>
  <c r="AV7" i="60" s="1"/>
  <c r="AW7" i="60" s="1"/>
  <c r="AO54" i="60"/>
  <c r="AV54" i="60" s="1" a="1"/>
  <c r="AV54" i="60" s="1"/>
  <c r="AW54" i="60" s="1"/>
  <c r="AO42" i="60"/>
  <c r="AV42" i="60" s="1" a="1"/>
  <c r="AV42" i="60" s="1"/>
  <c r="AO26" i="60"/>
  <c r="AV26" i="60" s="1" a="1"/>
  <c r="AV26" i="60" s="1"/>
  <c r="AW26" i="60" s="1"/>
  <c r="AO61" i="60"/>
  <c r="AV61" i="60" s="1" a="1"/>
  <c r="AV61" i="60" s="1"/>
  <c r="AW61" i="60" s="1"/>
  <c r="AO50" i="60"/>
  <c r="AV50" i="60" s="1" a="1"/>
  <c r="AV50" i="60" s="1"/>
  <c r="AO59" i="60"/>
  <c r="AV59" i="60" s="1" a="1"/>
  <c r="AV59" i="60" s="1"/>
  <c r="AO35" i="60"/>
  <c r="AV35" i="60" s="1" a="1"/>
  <c r="AV35" i="60" s="1"/>
  <c r="AO57" i="60"/>
  <c r="AV57" i="60" s="1" a="1"/>
  <c r="AV57" i="60" s="1"/>
  <c r="AO101" i="60"/>
  <c r="AV101" i="60" s="1" a="1"/>
  <c r="AV101" i="60" s="1"/>
  <c r="AZ101" i="60" s="1"/>
  <c r="AO39" i="60"/>
  <c r="AV39" i="60" s="1" a="1"/>
  <c r="AV39" i="60" s="1"/>
  <c r="AO48" i="60"/>
  <c r="AV48" i="60" s="1" a="1"/>
  <c r="AV48" i="60" s="1"/>
  <c r="AW48" i="60" s="1"/>
  <c r="AO67" i="60"/>
  <c r="AV67" i="60" s="1" a="1"/>
  <c r="AV67" i="60" s="1"/>
  <c r="AX70" i="60"/>
  <c r="AX86" i="60"/>
  <c r="AZ66" i="60"/>
  <c r="AL126" i="60"/>
  <c r="E9" i="63"/>
  <c r="F8" i="63"/>
  <c r="AS104" i="56"/>
  <c r="R104" i="56"/>
  <c r="AD104" i="56"/>
  <c r="AQ104" i="56"/>
  <c r="AW104" i="56" s="1"/>
  <c r="F5" i="61"/>
  <c r="E6" i="61"/>
  <c r="M5" i="61"/>
  <c r="G5" i="61" s="1"/>
  <c r="L6" i="61"/>
  <c r="AZ51" i="60"/>
  <c r="AX51" i="60"/>
  <c r="AZ87" i="60"/>
  <c r="AX87" i="60"/>
  <c r="AZ95" i="60"/>
  <c r="AX95" i="60"/>
  <c r="AZ78" i="60"/>
  <c r="AX78" i="60"/>
  <c r="AZ71" i="60"/>
  <c r="AX71" i="60"/>
  <c r="AZ94" i="60"/>
  <c r="AX94" i="60"/>
  <c r="AZ103" i="60"/>
  <c r="AX103" i="60"/>
  <c r="AL106" i="60"/>
  <c r="S24" i="3" s="1"/>
  <c r="AE24" i="3" s="1"/>
  <c r="I29" i="57"/>
  <c r="H29" i="57"/>
  <c r="O22" i="57"/>
  <c r="W36" i="57" s="1"/>
  <c r="AK16" i="57"/>
  <c r="AH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L20" i="67" l="1"/>
  <c r="M19" i="67"/>
  <c r="G18" i="67" s="1"/>
  <c r="F17" i="67"/>
  <c r="E18" i="67"/>
  <c r="F33" i="69"/>
  <c r="E34" i="69"/>
  <c r="M30" i="69"/>
  <c r="G30" i="69" s="1"/>
  <c r="L31" i="69"/>
  <c r="G23" i="66"/>
  <c r="G6" i="63"/>
  <c r="L10" i="63"/>
  <c r="M9" i="63"/>
  <c r="F30" i="66"/>
  <c r="E31" i="66"/>
  <c r="M29" i="66"/>
  <c r="G29" i="66" s="1"/>
  <c r="L30" i="66"/>
  <c r="X36" i="57"/>
  <c r="AW16" i="60"/>
  <c r="AZ16" i="60"/>
  <c r="AX16" i="60"/>
  <c r="AZ104" i="60"/>
  <c r="AW104" i="60"/>
  <c r="AZ50" i="60"/>
  <c r="AW50" i="60"/>
  <c r="AZ55" i="60"/>
  <c r="AX55" i="60"/>
  <c r="AZ84" i="60"/>
  <c r="AW84" i="60"/>
  <c r="AZ12" i="60"/>
  <c r="AW12" i="60"/>
  <c r="AZ89" i="60"/>
  <c r="AW89" i="60"/>
  <c r="AX89" i="60"/>
  <c r="AZ39" i="60"/>
  <c r="AW39" i="60"/>
  <c r="AX39" i="60"/>
  <c r="AZ41" i="60"/>
  <c r="AW41" i="60"/>
  <c r="AX41" i="60"/>
  <c r="AX14" i="60"/>
  <c r="AW14" i="60"/>
  <c r="AZ60" i="60"/>
  <c r="AW60" i="60"/>
  <c r="AZ47" i="60"/>
  <c r="AW47" i="60"/>
  <c r="AX45" i="60"/>
  <c r="AW45" i="60"/>
  <c r="AX27" i="60"/>
  <c r="AW27" i="60"/>
  <c r="AZ18" i="60"/>
  <c r="AX18" i="60"/>
  <c r="AX46" i="60"/>
  <c r="AZ46" i="60"/>
  <c r="AX59" i="60"/>
  <c r="AZ59" i="60"/>
  <c r="AX19" i="60"/>
  <c r="AZ19" i="60"/>
  <c r="AZ65" i="60"/>
  <c r="AX65" i="60"/>
  <c r="AZ20" i="60"/>
  <c r="AX20" i="60"/>
  <c r="AZ77" i="60"/>
  <c r="AX77" i="60"/>
  <c r="AX4" i="60"/>
  <c r="AZ4" i="60"/>
  <c r="AZ17" i="60"/>
  <c r="AX17" i="60"/>
  <c r="AZ33" i="60"/>
  <c r="AX33" i="60"/>
  <c r="AZ22" i="60"/>
  <c r="AX22" i="60"/>
  <c r="AZ13" i="60"/>
  <c r="AX13" i="60"/>
  <c r="AX100" i="60"/>
  <c r="AZ100" i="60"/>
  <c r="AZ90" i="60"/>
  <c r="AX90" i="60"/>
  <c r="AX91" i="60"/>
  <c r="AZ91" i="60"/>
  <c r="AZ10" i="60"/>
  <c r="AX10" i="60"/>
  <c r="AZ5" i="60"/>
  <c r="AX5" i="60"/>
  <c r="AZ42" i="60"/>
  <c r="AX42" i="60"/>
  <c r="AX36" i="60"/>
  <c r="AZ36" i="60"/>
  <c r="AZ93" i="60"/>
  <c r="AX93" i="60"/>
  <c r="AZ54" i="60"/>
  <c r="AX54" i="60"/>
  <c r="AX44" i="60"/>
  <c r="AZ44" i="60"/>
  <c r="AZ14" i="60"/>
  <c r="AX84" i="60"/>
  <c r="AX60" i="60"/>
  <c r="AX47" i="60"/>
  <c r="AZ31" i="60"/>
  <c r="AX31" i="60"/>
  <c r="AX62" i="60"/>
  <c r="AZ62" i="60"/>
  <c r="AZ67" i="60"/>
  <c r="AX67" i="60"/>
  <c r="AZ37" i="60"/>
  <c r="AX37" i="60"/>
  <c r="AZ58" i="60"/>
  <c r="AX58" i="60"/>
  <c r="AX85" i="60"/>
  <c r="AZ85" i="60"/>
  <c r="AZ6" i="60"/>
  <c r="AX6" i="60"/>
  <c r="AZ73" i="60"/>
  <c r="AX73" i="60"/>
  <c r="AZ29" i="60"/>
  <c r="AX29" i="60"/>
  <c r="AZ32" i="60"/>
  <c r="AX32" i="60"/>
  <c r="AZ102" i="60"/>
  <c r="AX102" i="60"/>
  <c r="AZ49" i="60"/>
  <c r="AX49" i="60"/>
  <c r="AZ61" i="60"/>
  <c r="AX61" i="60"/>
  <c r="AZ21" i="60"/>
  <c r="AX21" i="60"/>
  <c r="AZ11" i="60"/>
  <c r="AX11" i="60"/>
  <c r="AZ74" i="60"/>
  <c r="AX74" i="60"/>
  <c r="AZ9" i="60"/>
  <c r="AX9" i="60"/>
  <c r="AX7" i="60"/>
  <c r="AZ7" i="60"/>
  <c r="AX38" i="60"/>
  <c r="AZ38" i="60"/>
  <c r="AZ79" i="60"/>
  <c r="AX79" i="60"/>
  <c r="AZ8" i="60"/>
  <c r="AX8" i="60"/>
  <c r="AX24" i="60"/>
  <c r="AZ24" i="60"/>
  <c r="AZ52" i="60"/>
  <c r="AX52" i="60"/>
  <c r="AX35" i="60"/>
  <c r="AZ35" i="60"/>
  <c r="AX82" i="60"/>
  <c r="AZ82" i="60"/>
  <c r="AX63" i="60"/>
  <c r="AZ63" i="60"/>
  <c r="AZ15" i="60"/>
  <c r="AX15" i="60"/>
  <c r="AZ98" i="60"/>
  <c r="AX98" i="60"/>
  <c r="AX48" i="60"/>
  <c r="AZ48" i="60"/>
  <c r="AX40" i="60"/>
  <c r="AZ40" i="60"/>
  <c r="AZ69" i="60"/>
  <c r="AX69" i="60"/>
  <c r="AZ80" i="60"/>
  <c r="AX80" i="60"/>
  <c r="AZ34" i="60"/>
  <c r="AX34" i="60"/>
  <c r="AX26" i="60"/>
  <c r="AZ26" i="60"/>
  <c r="AX57" i="60"/>
  <c r="AZ57" i="60"/>
  <c r="AZ43" i="60"/>
  <c r="AX43" i="60"/>
  <c r="AZ97" i="60"/>
  <c r="AX97" i="60"/>
  <c r="AZ23" i="60"/>
  <c r="AX23" i="60"/>
  <c r="AZ76" i="60"/>
  <c r="AX76" i="60"/>
  <c r="AX12" i="60"/>
  <c r="AX50" i="60"/>
  <c r="AX56" i="60"/>
  <c r="AZ45" i="60"/>
  <c r="AX104" i="60"/>
  <c r="AX101" i="60"/>
  <c r="AX64" i="60"/>
  <c r="AZ72" i="60"/>
  <c r="AX72" i="60"/>
  <c r="AF24" i="3"/>
  <c r="AV28" i="60"/>
  <c r="AW28" i="60" s="1"/>
  <c r="AO126" i="60"/>
  <c r="F9" i="63"/>
  <c r="E10" i="63"/>
  <c r="M6" i="61"/>
  <c r="L7" i="61"/>
  <c r="E7" i="61"/>
  <c r="F6" i="61"/>
  <c r="AO106" i="60"/>
  <c r="AO127" i="60" s="1"/>
  <c r="AV3" i="60"/>
  <c r="AW3" i="60" s="1"/>
  <c r="O29" i="57"/>
  <c r="AH22" i="57"/>
  <c r="F22" i="57"/>
  <c r="AE22" i="57"/>
  <c r="AF22" i="57"/>
  <c r="AK22" i="57"/>
  <c r="O21" i="57"/>
  <c r="F20" i="57"/>
  <c r="F21" i="57"/>
  <c r="F9" i="57"/>
  <c r="AH11" i="57"/>
  <c r="AH6" i="57"/>
  <c r="AK13" i="57"/>
  <c r="AK14" i="57"/>
  <c r="AK15" i="57"/>
  <c r="AH8" i="57"/>
  <c r="AK20" i="57"/>
  <c r="AH20" i="57"/>
  <c r="AH14" i="57"/>
  <c r="AH15" i="57"/>
  <c r="N31" i="57"/>
  <c r="AK5" i="57"/>
  <c r="F14" i="57"/>
  <c r="AH5" i="57"/>
  <c r="AK6" i="57"/>
  <c r="AH7" i="57"/>
  <c r="L21" i="57"/>
  <c r="L29" i="57" s="1"/>
  <c r="AH10" i="57"/>
  <c r="AH17" i="57"/>
  <c r="F17" i="57"/>
  <c r="AK17" i="57"/>
  <c r="AK19" i="57"/>
  <c r="AJ6" i="57"/>
  <c r="AI6" i="57"/>
  <c r="F7" i="57"/>
  <c r="AK8" i="57"/>
  <c r="F18" i="57"/>
  <c r="AH18" i="57"/>
  <c r="AK18" i="57"/>
  <c r="F19" i="57"/>
  <c r="AH19" i="57"/>
  <c r="F8" i="57"/>
  <c r="AK10" i="57"/>
  <c r="F13" i="57"/>
  <c r="AH13" i="57"/>
  <c r="F10" i="57"/>
  <c r="F12" i="57"/>
  <c r="AK12" i="57"/>
  <c r="AH12" i="57"/>
  <c r="F5" i="57"/>
  <c r="AE21" i="57"/>
  <c r="AK9" i="57"/>
  <c r="F6" i="57"/>
  <c r="F11" i="57"/>
  <c r="AK11" i="57"/>
  <c r="AF21" i="57"/>
  <c r="AH9" i="57"/>
  <c r="F15" i="57"/>
  <c r="F18" i="67" l="1"/>
  <c r="E19" i="67"/>
  <c r="L21" i="67"/>
  <c r="M20" i="67"/>
  <c r="G16" i="67" s="1"/>
  <c r="G21" i="67"/>
  <c r="L32" i="69"/>
  <c r="M31" i="69"/>
  <c r="G31" i="69" s="1"/>
  <c r="F34" i="69"/>
  <c r="E35" i="69"/>
  <c r="M10" i="63"/>
  <c r="L11" i="63"/>
  <c r="M30" i="66"/>
  <c r="L31" i="66"/>
  <c r="E32" i="66"/>
  <c r="F31" i="66"/>
  <c r="W35" i="57"/>
  <c r="X35" i="57"/>
  <c r="AE29" i="57"/>
  <c r="AW105" i="60"/>
  <c r="AZ28" i="60"/>
  <c r="AX28" i="60"/>
  <c r="AX105" i="60" s="1"/>
  <c r="AV105" i="60"/>
  <c r="AI24" i="3"/>
  <c r="AJ24" i="3"/>
  <c r="F10" i="63"/>
  <c r="E11" i="63"/>
  <c r="E8" i="61"/>
  <c r="F7" i="61"/>
  <c r="M7" i="61"/>
  <c r="L8" i="61"/>
  <c r="AZ3" i="60"/>
  <c r="AX3" i="60"/>
  <c r="AK21" i="57"/>
  <c r="AH21" i="57"/>
  <c r="AI21" i="57"/>
  <c r="AJ21" i="57"/>
  <c r="F29" i="57"/>
  <c r="AI22" i="57"/>
  <c r="AJ22" i="57"/>
  <c r="AF29" i="57"/>
  <c r="AK7" i="57"/>
  <c r="AJ12" i="57"/>
  <c r="AI12" i="57"/>
  <c r="AJ10" i="57"/>
  <c r="AI10" i="57"/>
  <c r="AI8" i="57"/>
  <c r="AJ8" i="57"/>
  <c r="AI20" i="57"/>
  <c r="AJ20" i="57"/>
  <c r="AJ16" i="57"/>
  <c r="AI16" i="57"/>
  <c r="AJ13" i="57"/>
  <c r="AI13" i="57"/>
  <c r="AJ7" i="57"/>
  <c r="AI7" i="57"/>
  <c r="AG17" i="57"/>
  <c r="AI17" i="57"/>
  <c r="AJ17" i="57"/>
  <c r="AJ15" i="57"/>
  <c r="AI15" i="57"/>
  <c r="F4" i="57"/>
  <c r="AK4" i="57"/>
  <c r="AJ18" i="57"/>
  <c r="AI18" i="57"/>
  <c r="AI9" i="57"/>
  <c r="AJ9" i="57"/>
  <c r="AI14" i="57"/>
  <c r="AJ14" i="57"/>
  <c r="AI5" i="57"/>
  <c r="AJ5" i="57"/>
  <c r="AG6" i="57"/>
  <c r="AJ19" i="57"/>
  <c r="AI19" i="57"/>
  <c r="AH4" i="57"/>
  <c r="M21" i="67" l="1"/>
  <c r="L22" i="67"/>
  <c r="F19" i="67"/>
  <c r="E20" i="67"/>
  <c r="E36" i="69"/>
  <c r="E39" i="69"/>
  <c r="F35" i="69"/>
  <c r="L33" i="69"/>
  <c r="M32" i="69"/>
  <c r="G32" i="69" s="1"/>
  <c r="G21" i="66"/>
  <c r="G10" i="63"/>
  <c r="G4" i="63"/>
  <c r="M11" i="63"/>
  <c r="L12" i="63"/>
  <c r="E33" i="66"/>
  <c r="F32" i="66"/>
  <c r="M31" i="66"/>
  <c r="L32" i="66"/>
  <c r="AZ106" i="60"/>
  <c r="AZ127" i="60" s="1"/>
  <c r="F11" i="63"/>
  <c r="E12" i="63"/>
  <c r="M8" i="61"/>
  <c r="L9" i="61"/>
  <c r="E9" i="61"/>
  <c r="F8" i="61"/>
  <c r="W32" i="57"/>
  <c r="AK29" i="57"/>
  <c r="Z31" i="57"/>
  <c r="W31" i="57"/>
  <c r="X31" i="57"/>
  <c r="R31" i="57"/>
  <c r="V31" i="57"/>
  <c r="U31" i="57"/>
  <c r="AH29" i="57"/>
  <c r="Q31" i="57"/>
  <c r="P31" i="57"/>
  <c r="T31" i="57"/>
  <c r="AI11" i="57"/>
  <c r="AJ11" i="57"/>
  <c r="AI4" i="57"/>
  <c r="AG4" i="57"/>
  <c r="AJ4" i="57"/>
  <c r="AG9" i="57"/>
  <c r="S31" i="57"/>
  <c r="AC31" i="57"/>
  <c r="X99" i="52"/>
  <c r="AA99" i="52"/>
  <c r="AF99" i="52" s="1"/>
  <c r="AA100" i="52"/>
  <c r="F20" i="67" l="1"/>
  <c r="E21" i="67"/>
  <c r="M22" i="67"/>
  <c r="L23" i="67"/>
  <c r="M33" i="69"/>
  <c r="G33" i="69" s="1"/>
  <c r="L34" i="69"/>
  <c r="F39" i="69"/>
  <c r="E40" i="69"/>
  <c r="E37" i="69"/>
  <c r="F36" i="69"/>
  <c r="G11" i="63"/>
  <c r="G8" i="63"/>
  <c r="L13" i="63"/>
  <c r="M12" i="63"/>
  <c r="M32" i="66"/>
  <c r="L33" i="66"/>
  <c r="F33" i="66"/>
  <c r="E34" i="66"/>
  <c r="F12" i="63"/>
  <c r="E13" i="63"/>
  <c r="F9" i="61"/>
  <c r="E10" i="61"/>
  <c r="M9" i="61"/>
  <c r="L10" i="61"/>
  <c r="U100" i="52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G32" i="57"/>
  <c r="AJ29" i="57"/>
  <c r="AI29" i="57"/>
  <c r="AG31" i="57"/>
  <c r="L24" i="67" l="1"/>
  <c r="M23" i="67"/>
  <c r="G22" i="67" s="1"/>
  <c r="E22" i="67"/>
  <c r="F21" i="67"/>
  <c r="F37" i="69"/>
  <c r="E38" i="69"/>
  <c r="F38" i="69" s="1"/>
  <c r="F40" i="69"/>
  <c r="E41" i="69"/>
  <c r="M34" i="69"/>
  <c r="G34" i="69" s="1"/>
  <c r="L35" i="69"/>
  <c r="G22" i="66"/>
  <c r="M13" i="63"/>
  <c r="L14" i="63"/>
  <c r="F34" i="66"/>
  <c r="E35" i="66"/>
  <c r="M33" i="66"/>
  <c r="L34" i="66"/>
  <c r="G4" i="61"/>
  <c r="F13" i="63"/>
  <c r="E14" i="63"/>
  <c r="L11" i="61"/>
  <c r="M10" i="61"/>
  <c r="F10" i="61"/>
  <c r="E11" i="61"/>
  <c r="U49" i="52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F22" i="67" l="1"/>
  <c r="E23" i="67"/>
  <c r="M24" i="67"/>
  <c r="L25" i="67"/>
  <c r="G27" i="67"/>
  <c r="M35" i="69"/>
  <c r="G35" i="69" s="1"/>
  <c r="L36" i="69"/>
  <c r="L39" i="69"/>
  <c r="F41" i="69"/>
  <c r="E42" i="69"/>
  <c r="G13" i="63"/>
  <c r="G7" i="63"/>
  <c r="L15" i="63"/>
  <c r="M14" i="63"/>
  <c r="M34" i="66"/>
  <c r="L35" i="66"/>
  <c r="E36" i="66"/>
  <c r="F35" i="66"/>
  <c r="E39" i="66"/>
  <c r="G10" i="61"/>
  <c r="G6" i="61"/>
  <c r="F14" i="63"/>
  <c r="E15" i="63"/>
  <c r="F11" i="61"/>
  <c r="E12" i="61"/>
  <c r="L12" i="61"/>
  <c r="M11" i="61"/>
  <c r="G11" i="61" s="1"/>
  <c r="U63" i="52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L26" i="67" l="1"/>
  <c r="M25" i="67"/>
  <c r="G23" i="67" s="1"/>
  <c r="E24" i="67"/>
  <c r="F23" i="67"/>
  <c r="F42" i="69"/>
  <c r="E43" i="69"/>
  <c r="L40" i="69"/>
  <c r="M39" i="69"/>
  <c r="G39" i="69" s="1"/>
  <c r="M36" i="69"/>
  <c r="G36" i="69" s="1"/>
  <c r="L37" i="69"/>
  <c r="G14" i="63"/>
  <c r="G12" i="63"/>
  <c r="M15" i="63"/>
  <c r="L16" i="63"/>
  <c r="E40" i="66"/>
  <c r="F39" i="66"/>
  <c r="F36" i="66"/>
  <c r="E37" i="66"/>
  <c r="L36" i="66"/>
  <c r="L39" i="66"/>
  <c r="M35" i="66"/>
  <c r="E16" i="63"/>
  <c r="F15" i="63"/>
  <c r="L13" i="61"/>
  <c r="M12" i="61"/>
  <c r="F12" i="61"/>
  <c r="E13" i="61"/>
  <c r="AA93" i="52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F24" i="67" l="1"/>
  <c r="E25" i="67"/>
  <c r="M26" i="67"/>
  <c r="L27" i="67"/>
  <c r="M37" i="69"/>
  <c r="G37" i="69" s="1"/>
  <c r="L38" i="69"/>
  <c r="M38" i="69" s="1"/>
  <c r="G38" i="69" s="1"/>
  <c r="L41" i="69"/>
  <c r="M40" i="69"/>
  <c r="G40" i="69" s="1"/>
  <c r="E44" i="69"/>
  <c r="F43" i="69"/>
  <c r="M16" i="63"/>
  <c r="G16" i="63" s="1"/>
  <c r="L17" i="63"/>
  <c r="M39" i="66"/>
  <c r="L40" i="66"/>
  <c r="L37" i="66"/>
  <c r="M36" i="66"/>
  <c r="F37" i="66"/>
  <c r="E38" i="66"/>
  <c r="F38" i="66" s="1"/>
  <c r="E41" i="66"/>
  <c r="F40" i="66"/>
  <c r="G8" i="61"/>
  <c r="E17" i="63"/>
  <c r="F16" i="63"/>
  <c r="F13" i="61"/>
  <c r="E14" i="61"/>
  <c r="M13" i="61"/>
  <c r="G13" i="61" s="1"/>
  <c r="L14" i="61"/>
  <c r="T125" i="52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L28" i="67" l="1"/>
  <c r="M27" i="67"/>
  <c r="F25" i="67"/>
  <c r="E26" i="67"/>
  <c r="E45" i="69"/>
  <c r="F44" i="69"/>
  <c r="M41" i="69"/>
  <c r="G41" i="69" s="1"/>
  <c r="L42" i="69"/>
  <c r="G34" i="66"/>
  <c r="L18" i="63"/>
  <c r="M17" i="63"/>
  <c r="F41" i="66"/>
  <c r="E42" i="66"/>
  <c r="M37" i="66"/>
  <c r="L38" i="66"/>
  <c r="M38" i="66" s="1"/>
  <c r="M40" i="66"/>
  <c r="L41" i="66"/>
  <c r="G12" i="61"/>
  <c r="F17" i="63"/>
  <c r="E18" i="63"/>
  <c r="M14" i="61"/>
  <c r="L15" i="61"/>
  <c r="F14" i="61"/>
  <c r="E15" i="61"/>
  <c r="AF80" i="52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F26" i="67" l="1"/>
  <c r="E27" i="67"/>
  <c r="L29" i="67"/>
  <c r="M28" i="67"/>
  <c r="G25" i="67"/>
  <c r="M42" i="69"/>
  <c r="G42" i="69" s="1"/>
  <c r="L43" i="69"/>
  <c r="F45" i="69"/>
  <c r="E46" i="69"/>
  <c r="G17" i="63"/>
  <c r="G15" i="63"/>
  <c r="M18" i="63"/>
  <c r="L19" i="63"/>
  <c r="F42" i="66"/>
  <c r="E43" i="66"/>
  <c r="M41" i="66"/>
  <c r="L42" i="66"/>
  <c r="G14" i="61"/>
  <c r="G7" i="61"/>
  <c r="F18" i="63"/>
  <c r="E19" i="63"/>
  <c r="E16" i="61"/>
  <c r="F15" i="61"/>
  <c r="M15" i="61"/>
  <c r="L16" i="61"/>
  <c r="F105" i="52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P127" i="56"/>
  <c r="O127" i="56"/>
  <c r="M127" i="56"/>
  <c r="K127" i="56"/>
  <c r="AZ125" i="56"/>
  <c r="AO125" i="56"/>
  <c r="AN125" i="56"/>
  <c r="AM125" i="56"/>
  <c r="AL125" i="56"/>
  <c r="AK125" i="56"/>
  <c r="AJ125" i="56"/>
  <c r="AI125" i="56"/>
  <c r="AH125" i="56"/>
  <c r="AU125" i="56" s="1"/>
  <c r="AG125" i="56"/>
  <c r="AE125" i="56"/>
  <c r="AD125" i="56"/>
  <c r="AC125" i="56"/>
  <c r="AB125" i="56"/>
  <c r="AA125" i="56"/>
  <c r="Z125" i="56"/>
  <c r="Y125" i="56"/>
  <c r="X125" i="56"/>
  <c r="W125" i="56"/>
  <c r="V125" i="56"/>
  <c r="U125" i="56"/>
  <c r="T125" i="56"/>
  <c r="S125" i="56"/>
  <c r="N125" i="56"/>
  <c r="L125" i="56"/>
  <c r="E125" i="56"/>
  <c r="AX124" i="56"/>
  <c r="AW124" i="56"/>
  <c r="AV124" i="56"/>
  <c r="AU124" i="56"/>
  <c r="AT124" i="56"/>
  <c r="AS124" i="56"/>
  <c r="AR124" i="56"/>
  <c r="AQ124" i="56"/>
  <c r="AZ114" i="56"/>
  <c r="AO114" i="56"/>
  <c r="AN114" i="56"/>
  <c r="AM114" i="56"/>
  <c r="AL114" i="56"/>
  <c r="AK114" i="56"/>
  <c r="AJ114" i="56"/>
  <c r="AI114" i="56"/>
  <c r="AI127" i="56" s="1"/>
  <c r="AH114" i="56"/>
  <c r="AG114" i="56"/>
  <c r="AE114" i="56"/>
  <c r="AD114" i="56"/>
  <c r="AC114" i="56"/>
  <c r="AB114" i="56"/>
  <c r="AA114" i="56"/>
  <c r="Z114" i="56"/>
  <c r="Y114" i="56"/>
  <c r="X114" i="56"/>
  <c r="W114" i="56"/>
  <c r="V114" i="56"/>
  <c r="U114" i="56"/>
  <c r="T114" i="56"/>
  <c r="S114" i="56"/>
  <c r="N114" i="56"/>
  <c r="L114" i="56"/>
  <c r="E114" i="56"/>
  <c r="AX113" i="56"/>
  <c r="AW113" i="56"/>
  <c r="AV113" i="56"/>
  <c r="AU113" i="56"/>
  <c r="AT113" i="56"/>
  <c r="AS113" i="56"/>
  <c r="AR113" i="56"/>
  <c r="AQ113" i="56"/>
  <c r="AK127" i="56"/>
  <c r="AJ127" i="56"/>
  <c r="AH127" i="56"/>
  <c r="N127" i="56"/>
  <c r="AR103" i="56"/>
  <c r="Q103" i="56"/>
  <c r="E103" i="56"/>
  <c r="L103" i="56" s="1"/>
  <c r="AR102" i="56"/>
  <c r="Q102" i="56"/>
  <c r="E102" i="56"/>
  <c r="L102" i="56" s="1"/>
  <c r="AR101" i="56"/>
  <c r="Q101" i="56"/>
  <c r="E101" i="56"/>
  <c r="L101" i="56" s="1"/>
  <c r="AR100" i="56"/>
  <c r="Q100" i="56"/>
  <c r="E100" i="56"/>
  <c r="L100" i="56" s="1"/>
  <c r="AR99" i="56"/>
  <c r="Q99" i="56"/>
  <c r="E99" i="56"/>
  <c r="L99" i="56" s="1"/>
  <c r="AR98" i="56"/>
  <c r="Q98" i="56"/>
  <c r="E98" i="56"/>
  <c r="L98" i="56" s="1"/>
  <c r="AR97" i="56"/>
  <c r="Q97" i="56"/>
  <c r="E97" i="56"/>
  <c r="L97" i="56" s="1"/>
  <c r="AR96" i="56"/>
  <c r="Q96" i="56"/>
  <c r="E96" i="56"/>
  <c r="L96" i="56" s="1"/>
  <c r="AR95" i="56"/>
  <c r="Q95" i="56"/>
  <c r="E95" i="56"/>
  <c r="L95" i="56" s="1"/>
  <c r="AR94" i="56"/>
  <c r="Q94" i="56"/>
  <c r="E94" i="56"/>
  <c r="L94" i="56" s="1"/>
  <c r="AR93" i="56"/>
  <c r="Q93" i="56"/>
  <c r="E93" i="56"/>
  <c r="L93" i="56" s="1"/>
  <c r="AR92" i="56"/>
  <c r="Q92" i="56"/>
  <c r="E92" i="56"/>
  <c r="L92" i="56" s="1"/>
  <c r="AR91" i="56"/>
  <c r="Q91" i="56"/>
  <c r="E91" i="56"/>
  <c r="L91" i="56" s="1"/>
  <c r="AR90" i="56"/>
  <c r="Q90" i="56"/>
  <c r="E90" i="56"/>
  <c r="L90" i="56" s="1"/>
  <c r="AR89" i="56"/>
  <c r="Q89" i="56"/>
  <c r="E89" i="56"/>
  <c r="L89" i="56" s="1"/>
  <c r="AR88" i="56"/>
  <c r="Q88" i="56"/>
  <c r="E88" i="56"/>
  <c r="L88" i="56" s="1"/>
  <c r="AR87" i="56"/>
  <c r="Q87" i="56"/>
  <c r="E87" i="56"/>
  <c r="L87" i="56" s="1"/>
  <c r="AR86" i="56"/>
  <c r="Q86" i="56"/>
  <c r="E86" i="56"/>
  <c r="L86" i="56" s="1"/>
  <c r="AR85" i="56"/>
  <c r="Q85" i="56"/>
  <c r="E85" i="56"/>
  <c r="L85" i="56" s="1"/>
  <c r="AR84" i="56"/>
  <c r="Q84" i="56"/>
  <c r="E84" i="56"/>
  <c r="L84" i="56" s="1"/>
  <c r="AR83" i="56"/>
  <c r="Q83" i="56"/>
  <c r="E83" i="56"/>
  <c r="L83" i="56" s="1"/>
  <c r="AR82" i="56"/>
  <c r="Q82" i="56"/>
  <c r="E82" i="56"/>
  <c r="L82" i="56" s="1"/>
  <c r="AR81" i="56"/>
  <c r="Q81" i="56"/>
  <c r="E81" i="56"/>
  <c r="L81" i="56" s="1"/>
  <c r="AR80" i="56"/>
  <c r="Q80" i="56"/>
  <c r="E80" i="56"/>
  <c r="L80" i="56" s="1"/>
  <c r="AR79" i="56"/>
  <c r="Q79" i="56"/>
  <c r="E79" i="56"/>
  <c r="L79" i="56" s="1"/>
  <c r="AR78" i="56"/>
  <c r="Q78" i="56"/>
  <c r="E78" i="56"/>
  <c r="L78" i="56" s="1"/>
  <c r="AR77" i="56"/>
  <c r="Q77" i="56"/>
  <c r="E77" i="56"/>
  <c r="L77" i="56" s="1"/>
  <c r="AR76" i="56"/>
  <c r="Q76" i="56"/>
  <c r="E76" i="56"/>
  <c r="L76" i="56" s="1"/>
  <c r="AR75" i="56"/>
  <c r="Q75" i="56"/>
  <c r="E75" i="56"/>
  <c r="L75" i="56" s="1"/>
  <c r="AR74" i="56"/>
  <c r="Q74" i="56"/>
  <c r="E74" i="56"/>
  <c r="L74" i="56" s="1"/>
  <c r="AR73" i="56"/>
  <c r="Q73" i="56"/>
  <c r="E73" i="56"/>
  <c r="L73" i="56" s="1"/>
  <c r="AR72" i="56"/>
  <c r="Q72" i="56"/>
  <c r="E72" i="56"/>
  <c r="L72" i="56" s="1"/>
  <c r="AR71" i="56"/>
  <c r="Q71" i="56"/>
  <c r="E71" i="56"/>
  <c r="L71" i="56" s="1"/>
  <c r="AR70" i="56"/>
  <c r="Q70" i="56"/>
  <c r="E70" i="56"/>
  <c r="L70" i="56" s="1"/>
  <c r="AR69" i="56"/>
  <c r="Q69" i="56"/>
  <c r="E69" i="56"/>
  <c r="L69" i="56" s="1"/>
  <c r="AR68" i="56"/>
  <c r="Q68" i="56"/>
  <c r="E68" i="56"/>
  <c r="L68" i="56" s="1"/>
  <c r="AR67" i="56"/>
  <c r="Q67" i="56"/>
  <c r="E67" i="56"/>
  <c r="L67" i="56" s="1"/>
  <c r="AR66" i="56"/>
  <c r="Q66" i="56"/>
  <c r="E66" i="56"/>
  <c r="L66" i="56" s="1"/>
  <c r="AR65" i="56"/>
  <c r="Q65" i="56"/>
  <c r="E65" i="56"/>
  <c r="L65" i="56" s="1"/>
  <c r="AR64" i="56"/>
  <c r="Q64" i="56"/>
  <c r="E64" i="56"/>
  <c r="L64" i="56" s="1"/>
  <c r="AR63" i="56"/>
  <c r="Q63" i="56"/>
  <c r="E63" i="56"/>
  <c r="L63" i="56" s="1"/>
  <c r="AR62" i="56"/>
  <c r="Q62" i="56"/>
  <c r="E62" i="56"/>
  <c r="L62" i="56" s="1"/>
  <c r="AR61" i="56"/>
  <c r="Q61" i="56"/>
  <c r="E61" i="56"/>
  <c r="L61" i="56" s="1"/>
  <c r="AR60" i="56"/>
  <c r="Q60" i="56"/>
  <c r="E60" i="56"/>
  <c r="L60" i="56" s="1"/>
  <c r="AR59" i="56"/>
  <c r="Q59" i="56"/>
  <c r="E59" i="56"/>
  <c r="L59" i="56" s="1"/>
  <c r="AR58" i="56"/>
  <c r="Q58" i="56"/>
  <c r="E58" i="56"/>
  <c r="L58" i="56" s="1"/>
  <c r="AR57" i="56"/>
  <c r="Q57" i="56"/>
  <c r="E57" i="56"/>
  <c r="L57" i="56" s="1"/>
  <c r="AR56" i="56"/>
  <c r="Q56" i="56"/>
  <c r="E56" i="56"/>
  <c r="L56" i="56" s="1"/>
  <c r="AR55" i="56"/>
  <c r="Q55" i="56"/>
  <c r="E55" i="56"/>
  <c r="L55" i="56" s="1"/>
  <c r="AR54" i="56"/>
  <c r="Q54" i="56"/>
  <c r="E54" i="56"/>
  <c r="L54" i="56" s="1"/>
  <c r="AR53" i="56"/>
  <c r="Q53" i="56"/>
  <c r="E53" i="56"/>
  <c r="L53" i="56" s="1"/>
  <c r="AR52" i="56"/>
  <c r="Q52" i="56"/>
  <c r="E52" i="56"/>
  <c r="L52" i="56" s="1"/>
  <c r="AR51" i="56"/>
  <c r="Q51" i="56"/>
  <c r="E51" i="56"/>
  <c r="L51" i="56" s="1"/>
  <c r="AR50" i="56"/>
  <c r="Q50" i="56"/>
  <c r="E50" i="56"/>
  <c r="L50" i="56" s="1"/>
  <c r="AR49" i="56"/>
  <c r="Q49" i="56"/>
  <c r="E49" i="56"/>
  <c r="L49" i="56" s="1"/>
  <c r="AR48" i="56"/>
  <c r="Q48" i="56"/>
  <c r="E48" i="56"/>
  <c r="L48" i="56" s="1"/>
  <c r="AR47" i="56"/>
  <c r="Q47" i="56"/>
  <c r="E47" i="56"/>
  <c r="L47" i="56" s="1"/>
  <c r="AR46" i="56"/>
  <c r="Q46" i="56"/>
  <c r="E46" i="56"/>
  <c r="L46" i="56" s="1"/>
  <c r="AR45" i="56"/>
  <c r="Q45" i="56"/>
  <c r="E45" i="56"/>
  <c r="L45" i="56" s="1"/>
  <c r="AR44" i="56"/>
  <c r="Q44" i="56"/>
  <c r="E44" i="56"/>
  <c r="L44" i="56" s="1"/>
  <c r="AR43" i="56"/>
  <c r="Q43" i="56"/>
  <c r="E43" i="56"/>
  <c r="L43" i="56" s="1"/>
  <c r="AR42" i="56"/>
  <c r="Q42" i="56"/>
  <c r="E42" i="56"/>
  <c r="L42" i="56" s="1"/>
  <c r="AR41" i="56"/>
  <c r="Q41" i="56"/>
  <c r="E41" i="56"/>
  <c r="L41" i="56" s="1"/>
  <c r="AR40" i="56"/>
  <c r="Q40" i="56"/>
  <c r="E40" i="56"/>
  <c r="L40" i="56" s="1"/>
  <c r="AR39" i="56"/>
  <c r="Q39" i="56"/>
  <c r="E39" i="56"/>
  <c r="L39" i="56" s="1"/>
  <c r="AR38" i="56"/>
  <c r="Q38" i="56"/>
  <c r="E38" i="56"/>
  <c r="L38" i="56" s="1"/>
  <c r="AR37" i="56"/>
  <c r="Q37" i="56"/>
  <c r="E37" i="56"/>
  <c r="L37" i="56" s="1"/>
  <c r="AR36" i="56"/>
  <c r="Q36" i="56"/>
  <c r="E36" i="56"/>
  <c r="L36" i="56" s="1"/>
  <c r="AR35" i="56"/>
  <c r="Q35" i="56"/>
  <c r="E35" i="56"/>
  <c r="L35" i="56" s="1"/>
  <c r="AR34" i="56"/>
  <c r="Q34" i="56"/>
  <c r="E34" i="56"/>
  <c r="L34" i="56" s="1"/>
  <c r="AR33" i="56"/>
  <c r="Q33" i="56"/>
  <c r="E33" i="56"/>
  <c r="L33" i="56" s="1"/>
  <c r="AR32" i="56"/>
  <c r="Q32" i="56"/>
  <c r="E32" i="56"/>
  <c r="L32" i="56" s="1"/>
  <c r="AR31" i="56"/>
  <c r="Q31" i="56"/>
  <c r="E31" i="56"/>
  <c r="L31" i="56" s="1"/>
  <c r="AR30" i="56"/>
  <c r="Q30" i="56"/>
  <c r="E30" i="56"/>
  <c r="L30" i="56" s="1"/>
  <c r="AR29" i="56"/>
  <c r="Q29" i="56"/>
  <c r="E29" i="56"/>
  <c r="L29" i="56" s="1"/>
  <c r="AR28" i="56"/>
  <c r="Q28" i="56"/>
  <c r="E28" i="56"/>
  <c r="L28" i="56" s="1"/>
  <c r="AR27" i="56"/>
  <c r="Q27" i="56"/>
  <c r="E27" i="56"/>
  <c r="L27" i="56" s="1"/>
  <c r="AR26" i="56"/>
  <c r="Q26" i="56"/>
  <c r="E26" i="56"/>
  <c r="L26" i="56" s="1"/>
  <c r="AR25" i="56"/>
  <c r="Q25" i="56"/>
  <c r="E25" i="56"/>
  <c r="L25" i="56" s="1"/>
  <c r="AR24" i="56"/>
  <c r="Q24" i="56"/>
  <c r="E24" i="56"/>
  <c r="L24" i="56" s="1"/>
  <c r="AR23" i="56"/>
  <c r="Q23" i="56"/>
  <c r="E23" i="56"/>
  <c r="L23" i="56" s="1"/>
  <c r="AR22" i="56"/>
  <c r="Q22" i="56"/>
  <c r="E22" i="56"/>
  <c r="L22" i="56" s="1"/>
  <c r="AR21" i="56"/>
  <c r="Q21" i="56"/>
  <c r="E21" i="56"/>
  <c r="L21" i="56" s="1"/>
  <c r="AR20" i="56"/>
  <c r="Q20" i="56"/>
  <c r="E20" i="56"/>
  <c r="L20" i="56" s="1"/>
  <c r="AR19" i="56"/>
  <c r="Q19" i="56"/>
  <c r="E19" i="56"/>
  <c r="L19" i="56" s="1"/>
  <c r="AR18" i="56"/>
  <c r="Q18" i="56"/>
  <c r="E18" i="56"/>
  <c r="L18" i="56" s="1"/>
  <c r="AR17" i="56"/>
  <c r="Q17" i="56"/>
  <c r="E17" i="56"/>
  <c r="L17" i="56" s="1"/>
  <c r="AR16" i="56"/>
  <c r="Q16" i="56"/>
  <c r="E16" i="56"/>
  <c r="L16" i="56" s="1"/>
  <c r="AR15" i="56"/>
  <c r="Q15" i="56"/>
  <c r="E15" i="56"/>
  <c r="L15" i="56" s="1"/>
  <c r="AR14" i="56"/>
  <c r="Q14" i="56"/>
  <c r="E14" i="56"/>
  <c r="L14" i="56" s="1"/>
  <c r="AR13" i="56"/>
  <c r="Q13" i="56"/>
  <c r="E13" i="56"/>
  <c r="L13" i="56" s="1"/>
  <c r="AR12" i="56"/>
  <c r="Q12" i="56"/>
  <c r="E12" i="56"/>
  <c r="L12" i="56" s="1"/>
  <c r="AR11" i="56"/>
  <c r="Q11" i="56"/>
  <c r="E11" i="56"/>
  <c r="L11" i="56" s="1"/>
  <c r="AR10" i="56"/>
  <c r="Q10" i="56"/>
  <c r="E10" i="56"/>
  <c r="L10" i="56" s="1"/>
  <c r="AR9" i="56"/>
  <c r="Q9" i="56"/>
  <c r="E9" i="56"/>
  <c r="L9" i="56" s="1"/>
  <c r="AR8" i="56"/>
  <c r="Q8" i="56"/>
  <c r="E8" i="56"/>
  <c r="L8" i="56" s="1"/>
  <c r="AR7" i="56"/>
  <c r="Q7" i="56"/>
  <c r="E7" i="56"/>
  <c r="L7" i="56" s="1"/>
  <c r="AR6" i="56"/>
  <c r="Q6" i="56"/>
  <c r="E6" i="56"/>
  <c r="L6" i="56" s="1"/>
  <c r="AR5" i="56"/>
  <c r="Q5" i="56"/>
  <c r="E5" i="56"/>
  <c r="L5" i="56" s="1"/>
  <c r="AR4" i="56"/>
  <c r="Q4" i="56"/>
  <c r="E4" i="56"/>
  <c r="L4" i="56" s="1"/>
  <c r="AR3" i="56"/>
  <c r="AB3" i="56"/>
  <c r="Q3" i="56"/>
  <c r="E3" i="56"/>
  <c r="K102" i="55"/>
  <c r="D98" i="55"/>
  <c r="K104" i="55"/>
  <c r="K103" i="55"/>
  <c r="K101" i="55"/>
  <c r="K100" i="55"/>
  <c r="K99" i="55"/>
  <c r="K98" i="55"/>
  <c r="K97" i="55"/>
  <c r="K96" i="55"/>
  <c r="K95" i="55"/>
  <c r="K94" i="55"/>
  <c r="K93" i="55"/>
  <c r="K92" i="55"/>
  <c r="K91" i="55"/>
  <c r="D91" i="55"/>
  <c r="K90" i="55"/>
  <c r="K89" i="55"/>
  <c r="K88" i="55"/>
  <c r="K87" i="55"/>
  <c r="K86" i="55"/>
  <c r="D86" i="55"/>
  <c r="K85" i="55"/>
  <c r="K84" i="55"/>
  <c r="K83" i="55"/>
  <c r="K82" i="55"/>
  <c r="D82" i="55"/>
  <c r="K81" i="55"/>
  <c r="K80" i="55"/>
  <c r="K79" i="55"/>
  <c r="K78" i="55"/>
  <c r="D78" i="55"/>
  <c r="K77" i="55"/>
  <c r="K76" i="55"/>
  <c r="K75" i="55"/>
  <c r="K74" i="55"/>
  <c r="D74" i="55"/>
  <c r="K73" i="55"/>
  <c r="D73" i="55"/>
  <c r="K72" i="55"/>
  <c r="K71" i="55"/>
  <c r="K70" i="55"/>
  <c r="D70" i="55"/>
  <c r="K69" i="55"/>
  <c r="D69" i="55"/>
  <c r="K68" i="55"/>
  <c r="K67" i="55"/>
  <c r="K66" i="55"/>
  <c r="D66" i="55"/>
  <c r="K65" i="55"/>
  <c r="D65" i="55"/>
  <c r="K64" i="55"/>
  <c r="K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D4" i="55"/>
  <c r="M29" i="67" l="1"/>
  <c r="L30" i="67"/>
  <c r="F27" i="67"/>
  <c r="E28" i="67"/>
  <c r="F46" i="69"/>
  <c r="E47" i="69"/>
  <c r="M43" i="69"/>
  <c r="G43" i="69" s="1"/>
  <c r="L44" i="69"/>
  <c r="L20" i="63"/>
  <c r="M19" i="63"/>
  <c r="M42" i="66"/>
  <c r="L43" i="66"/>
  <c r="F43" i="66"/>
  <c r="E44" i="66"/>
  <c r="F19" i="63"/>
  <c r="E20" i="63"/>
  <c r="K106" i="55"/>
  <c r="D87" i="55"/>
  <c r="D99" i="55"/>
  <c r="D63" i="55"/>
  <c r="D67" i="55"/>
  <c r="D71" i="55"/>
  <c r="D75" i="55"/>
  <c r="D79" i="55"/>
  <c r="D83" i="55"/>
  <c r="D88" i="55"/>
  <c r="D64" i="55"/>
  <c r="D68" i="55"/>
  <c r="D72" i="55"/>
  <c r="D76" i="55"/>
  <c r="D80" i="55"/>
  <c r="D84" i="55"/>
  <c r="D95" i="55"/>
  <c r="D77" i="55"/>
  <c r="D81" i="55"/>
  <c r="D92" i="55"/>
  <c r="D96" i="55"/>
  <c r="D100" i="55"/>
  <c r="D85" i="55"/>
  <c r="D89" i="55"/>
  <c r="D93" i="55"/>
  <c r="D97" i="55"/>
  <c r="D101" i="55"/>
  <c r="D90" i="55"/>
  <c r="D94" i="55"/>
  <c r="D102" i="55"/>
  <c r="D105" i="55"/>
  <c r="Q126" i="56"/>
  <c r="Q106" i="56"/>
  <c r="Q127" i="56" s="1"/>
  <c r="AB106" i="56"/>
  <c r="AB127" i="56" s="1"/>
  <c r="AB126" i="56"/>
  <c r="L3" i="56"/>
  <c r="L106" i="56" s="1"/>
  <c r="L127" i="56" s="1"/>
  <c r="E106" i="56"/>
  <c r="E127" i="56" s="1"/>
  <c r="M16" i="61"/>
  <c r="G16" i="61" s="1"/>
  <c r="L17" i="61"/>
  <c r="E17" i="61"/>
  <c r="F16" i="61"/>
  <c r="AO104" i="56"/>
  <c r="AV104" i="56" s="1" a="1"/>
  <c r="AV104" i="56" s="1"/>
  <c r="AR105" i="56"/>
  <c r="AU114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F28" i="67" l="1"/>
  <c r="E29" i="67"/>
  <c r="M30" i="67"/>
  <c r="L31" i="67"/>
  <c r="M44" i="69"/>
  <c r="G44" i="69" s="1"/>
  <c r="L45" i="69"/>
  <c r="F47" i="69"/>
  <c r="E48" i="69"/>
  <c r="L21" i="63"/>
  <c r="M20" i="63"/>
  <c r="F44" i="66"/>
  <c r="E45" i="66"/>
  <c r="L44" i="66"/>
  <c r="M43" i="66"/>
  <c r="F20" i="63"/>
  <c r="E21" i="63"/>
  <c r="D106" i="55"/>
  <c r="F17" i="61"/>
  <c r="E18" i="61"/>
  <c r="M17" i="61"/>
  <c r="G17" i="61" s="1"/>
  <c r="L18" i="61"/>
  <c r="AZ104" i="56"/>
  <c r="AX104" i="56"/>
  <c r="AL3" i="56"/>
  <c r="F4" i="55"/>
  <c r="E5" i="55"/>
  <c r="M4" i="55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Z21" i="3"/>
  <c r="X21" i="3"/>
  <c r="W21" i="3"/>
  <c r="S21" i="3"/>
  <c r="G21" i="3"/>
  <c r="L32" i="67" l="1"/>
  <c r="M31" i="67"/>
  <c r="G29" i="67" s="1"/>
  <c r="F29" i="67"/>
  <c r="E30" i="67"/>
  <c r="F48" i="69"/>
  <c r="E49" i="69"/>
  <c r="M45" i="69"/>
  <c r="G45" i="69" s="1"/>
  <c r="L46" i="69"/>
  <c r="G28" i="66"/>
  <c r="M21" i="63"/>
  <c r="L22" i="63"/>
  <c r="L45" i="66"/>
  <c r="M44" i="66"/>
  <c r="F45" i="66"/>
  <c r="E46" i="66"/>
  <c r="E22" i="63"/>
  <c r="F21" i="63"/>
  <c r="L19" i="61"/>
  <c r="M18" i="61"/>
  <c r="G18" i="61" s="1"/>
  <c r="F18" i="61"/>
  <c r="E19" i="61"/>
  <c r="AL106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F30" i="67" l="1"/>
  <c r="E31" i="67"/>
  <c r="M32" i="67"/>
  <c r="L33" i="67"/>
  <c r="M46" i="69"/>
  <c r="G46" i="69" s="1"/>
  <c r="L47" i="69"/>
  <c r="E76" i="69"/>
  <c r="F49" i="69"/>
  <c r="E50" i="69"/>
  <c r="M22" i="63"/>
  <c r="L23" i="63"/>
  <c r="F46" i="66"/>
  <c r="E47" i="66"/>
  <c r="M45" i="66"/>
  <c r="G45" i="66" s="1"/>
  <c r="L46" i="66"/>
  <c r="F22" i="63"/>
  <c r="E23" i="63"/>
  <c r="F19" i="61"/>
  <c r="E20" i="61"/>
  <c r="L20" i="61"/>
  <c r="M19" i="61"/>
  <c r="E7" i="55"/>
  <c r="F6" i="55"/>
  <c r="L7" i="55"/>
  <c r="M6" i="55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M33" i="67" l="1"/>
  <c r="L34" i="67"/>
  <c r="E32" i="67"/>
  <c r="F31" i="67"/>
  <c r="F50" i="69"/>
  <c r="E51" i="69"/>
  <c r="E77" i="69"/>
  <c r="F76" i="69"/>
  <c r="L48" i="69"/>
  <c r="M47" i="69"/>
  <c r="G47" i="69" s="1"/>
  <c r="G18" i="63"/>
  <c r="M23" i="63"/>
  <c r="L24" i="63"/>
  <c r="E48" i="66"/>
  <c r="F47" i="66"/>
  <c r="M46" i="66"/>
  <c r="G46" i="66" s="1"/>
  <c r="L47" i="66"/>
  <c r="E24" i="63"/>
  <c r="F23" i="63"/>
  <c r="L21" i="61"/>
  <c r="M20" i="61"/>
  <c r="F20" i="61"/>
  <c r="E21" i="61"/>
  <c r="M7" i="55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E33" i="67" l="1"/>
  <c r="F32" i="67"/>
  <c r="M34" i="67"/>
  <c r="L35" i="67"/>
  <c r="L49" i="69"/>
  <c r="M48" i="69"/>
  <c r="G48" i="69" s="1"/>
  <c r="F77" i="69"/>
  <c r="E78" i="69"/>
  <c r="E52" i="69"/>
  <c r="F51" i="69"/>
  <c r="G9" i="63"/>
  <c r="L25" i="63"/>
  <c r="M24" i="63"/>
  <c r="M47" i="66"/>
  <c r="L48" i="66"/>
  <c r="E49" i="66"/>
  <c r="F48" i="66"/>
  <c r="G9" i="61"/>
  <c r="E25" i="63"/>
  <c r="F24" i="63"/>
  <c r="F21" i="61"/>
  <c r="E22" i="61"/>
  <c r="M21" i="61"/>
  <c r="L22" i="61"/>
  <c r="F8" i="55"/>
  <c r="E9" i="55"/>
  <c r="M8" i="55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L39" i="67" l="1"/>
  <c r="L36" i="67"/>
  <c r="M35" i="67"/>
  <c r="E34" i="67"/>
  <c r="F33" i="67"/>
  <c r="E53" i="69"/>
  <c r="F52" i="69"/>
  <c r="F78" i="69"/>
  <c r="E79" i="69"/>
  <c r="M49" i="69"/>
  <c r="G49" i="69" s="1"/>
  <c r="L50" i="69"/>
  <c r="L76" i="69"/>
  <c r="G19" i="63"/>
  <c r="L26" i="63"/>
  <c r="M25" i="63"/>
  <c r="F49" i="66"/>
  <c r="E50" i="66"/>
  <c r="E76" i="66"/>
  <c r="M48" i="66"/>
  <c r="G48" i="66" s="1"/>
  <c r="L49" i="66"/>
  <c r="G15" i="61"/>
  <c r="F25" i="63"/>
  <c r="E26" i="63"/>
  <c r="M22" i="61"/>
  <c r="L23" i="61"/>
  <c r="E23" i="61"/>
  <c r="F22" i="61"/>
  <c r="M9" i="55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F34" i="67" l="1"/>
  <c r="E35" i="67"/>
  <c r="L37" i="67"/>
  <c r="M36" i="67"/>
  <c r="M39" i="67"/>
  <c r="L40" i="67"/>
  <c r="M76" i="69"/>
  <c r="G76" i="69" s="1"/>
  <c r="L77" i="69"/>
  <c r="M50" i="69"/>
  <c r="G50" i="69" s="1"/>
  <c r="L51" i="69"/>
  <c r="F79" i="69"/>
  <c r="E80" i="69"/>
  <c r="F53" i="69"/>
  <c r="E54" i="69"/>
  <c r="M26" i="63"/>
  <c r="L27" i="63"/>
  <c r="L76" i="66"/>
  <c r="M49" i="66"/>
  <c r="L50" i="66"/>
  <c r="F76" i="66"/>
  <c r="E77" i="66"/>
  <c r="F50" i="66"/>
  <c r="E51" i="66"/>
  <c r="F26" i="63"/>
  <c r="E27" i="63"/>
  <c r="G8" i="55"/>
  <c r="E24" i="61"/>
  <c r="F23" i="61"/>
  <c r="M23" i="61"/>
  <c r="L24" i="61"/>
  <c r="E11" i="55"/>
  <c r="F10" i="55"/>
  <c r="L11" i="55"/>
  <c r="M10" i="55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M40" i="67" l="1"/>
  <c r="G34" i="67" s="1"/>
  <c r="L41" i="67"/>
  <c r="M37" i="67"/>
  <c r="L38" i="67"/>
  <c r="M38" i="67" s="1"/>
  <c r="F35" i="67"/>
  <c r="E36" i="67"/>
  <c r="E39" i="67"/>
  <c r="F54" i="69"/>
  <c r="E55" i="69"/>
  <c r="F80" i="69"/>
  <c r="E81" i="69"/>
  <c r="M51" i="69"/>
  <c r="G51" i="69" s="1"/>
  <c r="L52" i="69"/>
  <c r="M77" i="69"/>
  <c r="G77" i="69" s="1"/>
  <c r="L78" i="69"/>
  <c r="G49" i="66"/>
  <c r="G43" i="66"/>
  <c r="L28" i="63"/>
  <c r="M27" i="63"/>
  <c r="F51" i="66"/>
  <c r="E52" i="66"/>
  <c r="F77" i="66"/>
  <c r="E78" i="66"/>
  <c r="M50" i="66"/>
  <c r="L51" i="66"/>
  <c r="L77" i="66"/>
  <c r="M76" i="66"/>
  <c r="G19" i="61"/>
  <c r="F27" i="63"/>
  <c r="E28" i="63"/>
  <c r="G10" i="55"/>
  <c r="G4" i="55"/>
  <c r="M24" i="61"/>
  <c r="L25" i="61"/>
  <c r="E25" i="61"/>
  <c r="F24" i="61"/>
  <c r="M11" i="55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E40" i="67" l="1"/>
  <c r="F39" i="67"/>
  <c r="F36" i="67"/>
  <c r="E37" i="67"/>
  <c r="L42" i="67"/>
  <c r="M41" i="67"/>
  <c r="M52" i="69"/>
  <c r="G52" i="69" s="1"/>
  <c r="L53" i="69"/>
  <c r="L79" i="69"/>
  <c r="M78" i="69"/>
  <c r="G78" i="69" s="1"/>
  <c r="F81" i="69"/>
  <c r="E82" i="69"/>
  <c r="F55" i="69"/>
  <c r="E56" i="69"/>
  <c r="G76" i="66"/>
  <c r="G20" i="66"/>
  <c r="G50" i="66"/>
  <c r="G44" i="66"/>
  <c r="M28" i="63"/>
  <c r="L29" i="63"/>
  <c r="L52" i="66"/>
  <c r="M51" i="66"/>
  <c r="G51" i="66" s="1"/>
  <c r="F52" i="66"/>
  <c r="E53" i="66"/>
  <c r="M77" i="66"/>
  <c r="L78" i="66"/>
  <c r="F78" i="66"/>
  <c r="E79" i="66"/>
  <c r="F28" i="63"/>
  <c r="E29" i="63"/>
  <c r="G11" i="55"/>
  <c r="G6" i="55"/>
  <c r="F25" i="61"/>
  <c r="E26" i="61"/>
  <c r="M25" i="61"/>
  <c r="L26" i="61"/>
  <c r="F12" i="55"/>
  <c r="E13" i="55"/>
  <c r="M12" i="55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M42" i="67" l="1"/>
  <c r="L43" i="67"/>
  <c r="F37" i="67"/>
  <c r="E38" i="67"/>
  <c r="F38" i="67" s="1"/>
  <c r="E41" i="67"/>
  <c r="F40" i="67"/>
  <c r="E83" i="69"/>
  <c r="F82" i="69"/>
  <c r="F56" i="69"/>
  <c r="E57" i="69"/>
  <c r="L80" i="69"/>
  <c r="M79" i="69"/>
  <c r="G79" i="69" s="1"/>
  <c r="M53" i="69"/>
  <c r="G53" i="69" s="1"/>
  <c r="L54" i="69"/>
  <c r="G24" i="66"/>
  <c r="G23" i="63"/>
  <c r="L30" i="63"/>
  <c r="M29" i="63"/>
  <c r="M78" i="66"/>
  <c r="L79" i="66"/>
  <c r="F53" i="66"/>
  <c r="E54" i="66"/>
  <c r="E80" i="66"/>
  <c r="F79" i="66"/>
  <c r="L53" i="66"/>
  <c r="M52" i="66"/>
  <c r="F29" i="63"/>
  <c r="E30" i="63"/>
  <c r="L27" i="61"/>
  <c r="M26" i="61"/>
  <c r="F26" i="61"/>
  <c r="E27" i="61"/>
  <c r="L14" i="55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F41" i="67" l="1"/>
  <c r="E42" i="67"/>
  <c r="L44" i="67"/>
  <c r="M43" i="67"/>
  <c r="M54" i="69"/>
  <c r="G54" i="69" s="1"/>
  <c r="L55" i="69"/>
  <c r="L81" i="69"/>
  <c r="M80" i="69"/>
  <c r="G80" i="69" s="1"/>
  <c r="F57" i="69"/>
  <c r="E58" i="69"/>
  <c r="E84" i="69"/>
  <c r="F83" i="69"/>
  <c r="G78" i="66"/>
  <c r="G26" i="66"/>
  <c r="G77" i="66"/>
  <c r="G29" i="63"/>
  <c r="G27" i="63"/>
  <c r="L31" i="63"/>
  <c r="M30" i="63"/>
  <c r="M53" i="66"/>
  <c r="L54" i="66"/>
  <c r="E81" i="66"/>
  <c r="F80" i="66"/>
  <c r="F54" i="66"/>
  <c r="E55" i="66"/>
  <c r="M79" i="66"/>
  <c r="L80" i="66"/>
  <c r="F30" i="63"/>
  <c r="E31" i="63"/>
  <c r="G12" i="55"/>
  <c r="F27" i="61"/>
  <c r="E28" i="61"/>
  <c r="L28" i="61"/>
  <c r="M27" i="61"/>
  <c r="K98" i="53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M44" i="67" l="1"/>
  <c r="G40" i="67" s="1"/>
  <c r="L45" i="67"/>
  <c r="F42" i="67"/>
  <c r="E43" i="67"/>
  <c r="E85" i="69"/>
  <c r="F84" i="69"/>
  <c r="F58" i="69"/>
  <c r="E59" i="69"/>
  <c r="M81" i="69"/>
  <c r="G81" i="69" s="1"/>
  <c r="L82" i="69"/>
  <c r="L56" i="69"/>
  <c r="M55" i="69"/>
  <c r="G55" i="69" s="1"/>
  <c r="G79" i="66"/>
  <c r="G30" i="66"/>
  <c r="G53" i="66"/>
  <c r="G41" i="66"/>
  <c r="M31" i="63"/>
  <c r="L32" i="63"/>
  <c r="M80" i="66"/>
  <c r="L81" i="66"/>
  <c r="E56" i="66"/>
  <c r="F55" i="66"/>
  <c r="F81" i="66"/>
  <c r="E82" i="66"/>
  <c r="M54" i="66"/>
  <c r="G54" i="66" s="1"/>
  <c r="L55" i="66"/>
  <c r="G22" i="61"/>
  <c r="E32" i="63"/>
  <c r="F31" i="63"/>
  <c r="G14" i="55"/>
  <c r="G7" i="55"/>
  <c r="L29" i="61"/>
  <c r="M28" i="61"/>
  <c r="F28" i="61"/>
  <c r="E29" i="61"/>
  <c r="AK22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F43" i="67" l="1"/>
  <c r="E44" i="67"/>
  <c r="L46" i="67"/>
  <c r="M45" i="67"/>
  <c r="L57" i="69"/>
  <c r="M56" i="69"/>
  <c r="G56" i="69" s="1"/>
  <c r="M82" i="69"/>
  <c r="G82" i="69" s="1"/>
  <c r="L83" i="69"/>
  <c r="E60" i="69"/>
  <c r="F59" i="69"/>
  <c r="F85" i="69"/>
  <c r="E86" i="69"/>
  <c r="G80" i="66"/>
  <c r="G31" i="66"/>
  <c r="G21" i="63"/>
  <c r="M32" i="63"/>
  <c r="L33" i="63"/>
  <c r="F82" i="66"/>
  <c r="E83" i="66"/>
  <c r="M55" i="66"/>
  <c r="G55" i="66" s="1"/>
  <c r="L56" i="66"/>
  <c r="E57" i="66"/>
  <c r="F56" i="66"/>
  <c r="M81" i="66"/>
  <c r="L82" i="66"/>
  <c r="E33" i="63"/>
  <c r="F32" i="63"/>
  <c r="F29" i="61"/>
  <c r="E30" i="61"/>
  <c r="M29" i="61"/>
  <c r="L30" i="61"/>
  <c r="F4" i="53"/>
  <c r="E5" i="53"/>
  <c r="AN126" i="52"/>
  <c r="AW7" i="52"/>
  <c r="AO125" i="52"/>
  <c r="AW21" i="52"/>
  <c r="AD126" i="52"/>
  <c r="AH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Z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L47" i="67" l="1"/>
  <c r="M46" i="67"/>
  <c r="F44" i="67"/>
  <c r="E45" i="67"/>
  <c r="G20" i="67"/>
  <c r="F86" i="69"/>
  <c r="E87" i="69"/>
  <c r="E61" i="69"/>
  <c r="F60" i="69"/>
  <c r="M83" i="69"/>
  <c r="G83" i="69" s="1"/>
  <c r="L84" i="69"/>
  <c r="M57" i="69"/>
  <c r="G57" i="69" s="1"/>
  <c r="L58" i="69"/>
  <c r="G81" i="66"/>
  <c r="G33" i="66"/>
  <c r="G22" i="63"/>
  <c r="M33" i="63"/>
  <c r="L34" i="63"/>
  <c r="F57" i="66"/>
  <c r="E58" i="66"/>
  <c r="L83" i="66"/>
  <c r="M82" i="66"/>
  <c r="M56" i="66"/>
  <c r="L57" i="66"/>
  <c r="F83" i="66"/>
  <c r="E84" i="66"/>
  <c r="G29" i="61"/>
  <c r="G23" i="61"/>
  <c r="F33" i="63"/>
  <c r="E34" i="63"/>
  <c r="M30" i="61"/>
  <c r="L31" i="61"/>
  <c r="E31" i="61"/>
  <c r="F30" i="61"/>
  <c r="F5" i="53"/>
  <c r="E6" i="53"/>
  <c r="AZ125" i="52"/>
  <c r="AF22" i="3"/>
  <c r="AE22" i="3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F45" i="67" l="1"/>
  <c r="E46" i="67"/>
  <c r="L48" i="67"/>
  <c r="M47" i="67"/>
  <c r="G24" i="67"/>
  <c r="M84" i="69"/>
  <c r="G84" i="69" s="1"/>
  <c r="L85" i="69"/>
  <c r="F61" i="69"/>
  <c r="E62" i="69"/>
  <c r="F87" i="69"/>
  <c r="E88" i="69"/>
  <c r="M58" i="69"/>
  <c r="G58" i="69" s="1"/>
  <c r="L59" i="69"/>
  <c r="G36" i="66"/>
  <c r="M34" i="63"/>
  <c r="L35" i="63"/>
  <c r="F84" i="66"/>
  <c r="E85" i="66"/>
  <c r="M57" i="66"/>
  <c r="L58" i="66"/>
  <c r="L84" i="66"/>
  <c r="M83" i="66"/>
  <c r="F58" i="66"/>
  <c r="E59" i="66"/>
  <c r="G27" i="61"/>
  <c r="F34" i="63"/>
  <c r="E35" i="63"/>
  <c r="E32" i="61"/>
  <c r="F31" i="61"/>
  <c r="M31" i="61"/>
  <c r="L32" i="61"/>
  <c r="F6" i="53"/>
  <c r="E7" i="53"/>
  <c r="AI22" i="3"/>
  <c r="AJ22" i="3"/>
  <c r="E19" i="55"/>
  <c r="F18" i="55"/>
  <c r="L19" i="55"/>
  <c r="M18" i="55"/>
  <c r="K105" i="48"/>
  <c r="L5" i="48"/>
  <c r="D105" i="48"/>
  <c r="O21" i="3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C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M48" i="67" l="1"/>
  <c r="L49" i="67"/>
  <c r="F46" i="67"/>
  <c r="E47" i="67"/>
  <c r="G26" i="67"/>
  <c r="M59" i="69"/>
  <c r="G59" i="69" s="1"/>
  <c r="L60" i="69"/>
  <c r="F88" i="69"/>
  <c r="E89" i="69"/>
  <c r="F62" i="69"/>
  <c r="E63" i="69"/>
  <c r="M85" i="69"/>
  <c r="G85" i="69" s="1"/>
  <c r="L86" i="69"/>
  <c r="G83" i="66"/>
  <c r="G37" i="66"/>
  <c r="L36" i="63"/>
  <c r="L39" i="63"/>
  <c r="M35" i="63"/>
  <c r="F59" i="66"/>
  <c r="E60" i="66"/>
  <c r="L85" i="66"/>
  <c r="M84" i="66"/>
  <c r="M58" i="66"/>
  <c r="L59" i="66"/>
  <c r="F85" i="66"/>
  <c r="E86" i="66"/>
  <c r="F21" i="3"/>
  <c r="AK21" i="3"/>
  <c r="F35" i="63"/>
  <c r="E36" i="63"/>
  <c r="E39" i="63"/>
  <c r="M32" i="61"/>
  <c r="L33" i="61"/>
  <c r="E33" i="61"/>
  <c r="F32" i="61"/>
  <c r="F7" i="53"/>
  <c r="E8" i="53"/>
  <c r="M19" i="55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H21" i="3" s="1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E48" i="67" l="1"/>
  <c r="F47" i="67"/>
  <c r="L76" i="67"/>
  <c r="L50" i="67"/>
  <c r="M49" i="67"/>
  <c r="G28" i="67"/>
  <c r="L87" i="69"/>
  <c r="M86" i="69"/>
  <c r="G86" i="69" s="1"/>
  <c r="F63" i="69"/>
  <c r="E64" i="69"/>
  <c r="F89" i="69"/>
  <c r="E90" i="69"/>
  <c r="M60" i="69"/>
  <c r="G60" i="69" s="1"/>
  <c r="L61" i="69"/>
  <c r="G38" i="66"/>
  <c r="M39" i="63"/>
  <c r="L40" i="63"/>
  <c r="M36" i="63"/>
  <c r="L37" i="63"/>
  <c r="E87" i="66"/>
  <c r="F86" i="66"/>
  <c r="L60" i="66"/>
  <c r="M59" i="66"/>
  <c r="M85" i="66"/>
  <c r="L86" i="66"/>
  <c r="F60" i="66"/>
  <c r="E61" i="66"/>
  <c r="E40" i="63"/>
  <c r="F39" i="63"/>
  <c r="F36" i="63"/>
  <c r="E37" i="63"/>
  <c r="G9" i="55"/>
  <c r="F33" i="61"/>
  <c r="E34" i="61"/>
  <c r="M33" i="61"/>
  <c r="L34" i="61"/>
  <c r="E9" i="53"/>
  <c r="F8" i="53"/>
  <c r="F20" i="55"/>
  <c r="E21" i="55"/>
  <c r="M20" i="55"/>
  <c r="L21" i="55"/>
  <c r="AE21" i="3"/>
  <c r="AF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L51" i="67" l="1"/>
  <c r="M50" i="67"/>
  <c r="M76" i="67"/>
  <c r="G76" i="67" s="1"/>
  <c r="L77" i="67"/>
  <c r="F48" i="67"/>
  <c r="E49" i="67"/>
  <c r="G30" i="67"/>
  <c r="M61" i="69"/>
  <c r="G61" i="69" s="1"/>
  <c r="L62" i="69"/>
  <c r="E91" i="69"/>
  <c r="F90" i="69"/>
  <c r="F64" i="69"/>
  <c r="E65" i="69"/>
  <c r="L88" i="69"/>
  <c r="M87" i="69"/>
  <c r="G87" i="69" s="1"/>
  <c r="G85" i="66"/>
  <c r="G47" i="66"/>
  <c r="G59" i="66"/>
  <c r="G40" i="66"/>
  <c r="M37" i="63"/>
  <c r="L38" i="63"/>
  <c r="M38" i="63" s="1"/>
  <c r="M40" i="63"/>
  <c r="L41" i="63"/>
  <c r="F61" i="66"/>
  <c r="E62" i="66"/>
  <c r="M86" i="66"/>
  <c r="L87" i="66"/>
  <c r="L61" i="66"/>
  <c r="M60" i="66"/>
  <c r="E88" i="66"/>
  <c r="F87" i="66"/>
  <c r="AI21" i="3"/>
  <c r="AJ21" i="3"/>
  <c r="F37" i="63"/>
  <c r="E38" i="63"/>
  <c r="F38" i="63" s="1"/>
  <c r="E41" i="63"/>
  <c r="F40" i="63"/>
  <c r="G19" i="55"/>
  <c r="M34" i="61"/>
  <c r="L35" i="61"/>
  <c r="F34" i="61"/>
  <c r="E35" i="61"/>
  <c r="F9" i="53"/>
  <c r="E10" i="53"/>
  <c r="L22" i="55"/>
  <c r="M21" i="55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F49" i="67" l="1"/>
  <c r="E50" i="67"/>
  <c r="E76" i="67"/>
  <c r="M77" i="67"/>
  <c r="L78" i="67"/>
  <c r="L52" i="67"/>
  <c r="M51" i="67"/>
  <c r="G31" i="67"/>
  <c r="L89" i="69"/>
  <c r="M88" i="69"/>
  <c r="G88" i="69" s="1"/>
  <c r="F65" i="69"/>
  <c r="E66" i="69"/>
  <c r="E92" i="69"/>
  <c r="F91" i="69"/>
  <c r="M62" i="69"/>
  <c r="G62" i="69" s="1"/>
  <c r="L63" i="69"/>
  <c r="G52" i="66"/>
  <c r="G32" i="63"/>
  <c r="M41" i="63"/>
  <c r="L42" i="63"/>
  <c r="E89" i="66"/>
  <c r="F88" i="66"/>
  <c r="M87" i="66"/>
  <c r="L88" i="66"/>
  <c r="M61" i="66"/>
  <c r="L62" i="66"/>
  <c r="F62" i="66"/>
  <c r="E63" i="66"/>
  <c r="G21" i="61"/>
  <c r="F41" i="63"/>
  <c r="E42" i="63"/>
  <c r="F35" i="61"/>
  <c r="E39" i="61"/>
  <c r="E36" i="61"/>
  <c r="L36" i="61"/>
  <c r="L39" i="61"/>
  <c r="M35" i="61"/>
  <c r="G10" i="53"/>
  <c r="G6" i="53"/>
  <c r="F10" i="53"/>
  <c r="E11" i="53"/>
  <c r="E23" i="55"/>
  <c r="F22" i="55"/>
  <c r="L23" i="55"/>
  <c r="M22" i="55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L53" i="67" l="1"/>
  <c r="M52" i="67"/>
  <c r="G41" i="67" s="1"/>
  <c r="M78" i="67"/>
  <c r="L79" i="67"/>
  <c r="F76" i="67"/>
  <c r="E77" i="67"/>
  <c r="F50" i="67"/>
  <c r="E51" i="67"/>
  <c r="G32" i="67"/>
  <c r="L64" i="69"/>
  <c r="M63" i="69"/>
  <c r="G63" i="69" s="1"/>
  <c r="E93" i="69"/>
  <c r="F92" i="69"/>
  <c r="F66" i="69"/>
  <c r="E67" i="69"/>
  <c r="M89" i="69"/>
  <c r="G89" i="69" s="1"/>
  <c r="L90" i="69"/>
  <c r="G87" i="66"/>
  <c r="G56" i="66"/>
  <c r="G25" i="66"/>
  <c r="G34" i="63"/>
  <c r="L43" i="63"/>
  <c r="M42" i="63"/>
  <c r="E64" i="66"/>
  <c r="F63" i="66"/>
  <c r="M88" i="66"/>
  <c r="L89" i="66"/>
  <c r="M62" i="66"/>
  <c r="L63" i="66"/>
  <c r="F89" i="66"/>
  <c r="E90" i="66"/>
  <c r="G34" i="61"/>
  <c r="F42" i="63"/>
  <c r="E43" i="63"/>
  <c r="G15" i="55"/>
  <c r="F36" i="61"/>
  <c r="E37" i="61"/>
  <c r="M39" i="61"/>
  <c r="L40" i="61"/>
  <c r="E40" i="61"/>
  <c r="F39" i="61"/>
  <c r="L37" i="61"/>
  <c r="M36" i="61"/>
  <c r="G11" i="53"/>
  <c r="G4" i="53"/>
  <c r="E12" i="53"/>
  <c r="F11" i="53"/>
  <c r="M23" i="55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Z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E78" i="67" l="1"/>
  <c r="F77" i="67"/>
  <c r="M79" i="67"/>
  <c r="L80" i="67"/>
  <c r="F51" i="67"/>
  <c r="E52" i="67"/>
  <c r="M53" i="67"/>
  <c r="L54" i="67"/>
  <c r="G33" i="67"/>
  <c r="M90" i="69"/>
  <c r="G90" i="69" s="1"/>
  <c r="L91" i="69"/>
  <c r="E68" i="69"/>
  <c r="F67" i="69"/>
  <c r="F93" i="69"/>
  <c r="E99" i="69"/>
  <c r="E94" i="69"/>
  <c r="L65" i="69"/>
  <c r="M64" i="69"/>
  <c r="G64" i="69" s="1"/>
  <c r="G62" i="66"/>
  <c r="G35" i="66"/>
  <c r="G88" i="66"/>
  <c r="G57" i="66"/>
  <c r="L44" i="63"/>
  <c r="M43" i="63"/>
  <c r="G43" i="63" s="1"/>
  <c r="F90" i="66"/>
  <c r="E91" i="66"/>
  <c r="M63" i="66"/>
  <c r="L64" i="66"/>
  <c r="M89" i="66"/>
  <c r="L90" i="66"/>
  <c r="E65" i="66"/>
  <c r="F64" i="66"/>
  <c r="F43" i="63"/>
  <c r="E44" i="63"/>
  <c r="G18" i="55"/>
  <c r="M37" i="61"/>
  <c r="L38" i="61"/>
  <c r="M38" i="61" s="1"/>
  <c r="E41" i="61"/>
  <c r="F40" i="61"/>
  <c r="M40" i="61"/>
  <c r="L41" i="61"/>
  <c r="F37" i="61"/>
  <c r="E38" i="61"/>
  <c r="F38" i="61" s="1"/>
  <c r="E13" i="53"/>
  <c r="F12" i="53"/>
  <c r="F24" i="55"/>
  <c r="E25" i="55"/>
  <c r="M24" i="55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F52" i="67" l="1"/>
  <c r="E53" i="67"/>
  <c r="M80" i="67"/>
  <c r="L81" i="67"/>
  <c r="M54" i="67"/>
  <c r="L55" i="67"/>
  <c r="E79" i="67"/>
  <c r="F78" i="67"/>
  <c r="G35" i="67"/>
  <c r="M65" i="69"/>
  <c r="G65" i="69" s="1"/>
  <c r="L66" i="69"/>
  <c r="E100" i="69"/>
  <c r="F94" i="69"/>
  <c r="E95" i="69"/>
  <c r="E105" i="69"/>
  <c r="F105" i="69" s="1"/>
  <c r="F99" i="69"/>
  <c r="E69" i="69"/>
  <c r="F68" i="69"/>
  <c r="M91" i="69"/>
  <c r="G91" i="69" s="1"/>
  <c r="L92" i="69"/>
  <c r="G42" i="66"/>
  <c r="G58" i="66"/>
  <c r="L45" i="63"/>
  <c r="M44" i="63"/>
  <c r="L91" i="66"/>
  <c r="M90" i="66"/>
  <c r="M64" i="66"/>
  <c r="L65" i="66"/>
  <c r="F91" i="66"/>
  <c r="E92" i="66"/>
  <c r="F65" i="66"/>
  <c r="E66" i="66"/>
  <c r="G25" i="61"/>
  <c r="E45" i="63"/>
  <c r="F44" i="63"/>
  <c r="M41" i="61"/>
  <c r="L42" i="61"/>
  <c r="F41" i="61"/>
  <c r="E42" i="61"/>
  <c r="G12" i="53"/>
  <c r="F13" i="53"/>
  <c r="E14" i="53"/>
  <c r="M25" i="55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L56" i="67" l="1"/>
  <c r="M55" i="67"/>
  <c r="G44" i="67" s="1"/>
  <c r="L82" i="67"/>
  <c r="M81" i="67"/>
  <c r="G60" i="67"/>
  <c r="F53" i="67"/>
  <c r="E54" i="67"/>
  <c r="E80" i="67"/>
  <c r="F79" i="67"/>
  <c r="G36" i="67"/>
  <c r="F69" i="69"/>
  <c r="E70" i="69"/>
  <c r="E101" i="69"/>
  <c r="F95" i="69"/>
  <c r="E96" i="69"/>
  <c r="M92" i="69"/>
  <c r="G92" i="69" s="1"/>
  <c r="L93" i="69"/>
  <c r="F100" i="69"/>
  <c r="E106" i="69"/>
  <c r="F106" i="69" s="1"/>
  <c r="M66" i="69"/>
  <c r="G66" i="69" s="1"/>
  <c r="L67" i="69"/>
  <c r="G90" i="66"/>
  <c r="G60" i="66"/>
  <c r="G61" i="66"/>
  <c r="M45" i="63"/>
  <c r="G45" i="63" s="1"/>
  <c r="L46" i="63"/>
  <c r="F92" i="66"/>
  <c r="E93" i="66"/>
  <c r="M65" i="66"/>
  <c r="L66" i="66"/>
  <c r="F66" i="66"/>
  <c r="E67" i="66"/>
  <c r="L92" i="66"/>
  <c r="M91" i="66"/>
  <c r="G28" i="61"/>
  <c r="F45" i="63"/>
  <c r="E46" i="63"/>
  <c r="F42" i="61"/>
  <c r="E43" i="61"/>
  <c r="L43" i="61"/>
  <c r="M42" i="61"/>
  <c r="G14" i="53"/>
  <c r="G7" i="53"/>
  <c r="F14" i="53"/>
  <c r="E15" i="53"/>
  <c r="E27" i="55"/>
  <c r="F26" i="55"/>
  <c r="M26" i="55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81" i="67" l="1"/>
  <c r="G61" i="67"/>
  <c r="M82" i="67"/>
  <c r="G79" i="67" s="1"/>
  <c r="L83" i="67"/>
  <c r="E81" i="67"/>
  <c r="F80" i="67"/>
  <c r="F54" i="67"/>
  <c r="E55" i="67"/>
  <c r="M56" i="67"/>
  <c r="G45" i="67" s="1"/>
  <c r="L57" i="67"/>
  <c r="G83" i="67"/>
  <c r="G37" i="67"/>
  <c r="L99" i="69"/>
  <c r="M93" i="69"/>
  <c r="G93" i="69" s="1"/>
  <c r="L94" i="69"/>
  <c r="E102" i="69"/>
  <c r="F96" i="69"/>
  <c r="E97" i="69"/>
  <c r="M67" i="69"/>
  <c r="G67" i="69" s="1"/>
  <c r="L68" i="69"/>
  <c r="F101" i="69"/>
  <c r="E107" i="69"/>
  <c r="F107" i="69" s="1"/>
  <c r="F70" i="69"/>
  <c r="E71" i="69"/>
  <c r="G63" i="66"/>
  <c r="M46" i="63"/>
  <c r="G46" i="63" s="1"/>
  <c r="L47" i="63"/>
  <c r="L93" i="66"/>
  <c r="M92" i="66"/>
  <c r="F67" i="66"/>
  <c r="E68" i="66"/>
  <c r="M66" i="66"/>
  <c r="L67" i="66"/>
  <c r="E99" i="66"/>
  <c r="F93" i="66"/>
  <c r="E94" i="66"/>
  <c r="G35" i="61"/>
  <c r="F46" i="63"/>
  <c r="E47" i="63"/>
  <c r="G23" i="55"/>
  <c r="F43" i="61"/>
  <c r="E44" i="61"/>
  <c r="L44" i="61"/>
  <c r="M43" i="61"/>
  <c r="E16" i="53"/>
  <c r="F15" i="53"/>
  <c r="M27" i="55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E56" i="67" l="1"/>
  <c r="F55" i="67"/>
  <c r="F81" i="67"/>
  <c r="E82" i="67"/>
  <c r="L84" i="67"/>
  <c r="M83" i="67"/>
  <c r="G62" i="67" s="1"/>
  <c r="M57" i="67"/>
  <c r="G46" i="67" s="1"/>
  <c r="L58" i="67"/>
  <c r="G38" i="67"/>
  <c r="M68" i="69"/>
  <c r="G68" i="69" s="1"/>
  <c r="L69" i="69"/>
  <c r="E103" i="69"/>
  <c r="F97" i="69"/>
  <c r="E98" i="69"/>
  <c r="F71" i="69"/>
  <c r="E72" i="69"/>
  <c r="E108" i="69"/>
  <c r="F108" i="69" s="1"/>
  <c r="F102" i="69"/>
  <c r="L100" i="69"/>
  <c r="M94" i="69"/>
  <c r="G94" i="69" s="1"/>
  <c r="L95" i="69"/>
  <c r="L105" i="69"/>
  <c r="M105" i="69" s="1"/>
  <c r="M99" i="69"/>
  <c r="G99" i="69" s="1"/>
  <c r="G64" i="66"/>
  <c r="G82" i="66"/>
  <c r="M47" i="63"/>
  <c r="L48" i="63"/>
  <c r="E105" i="66"/>
  <c r="F105" i="66" s="1"/>
  <c r="F99" i="66"/>
  <c r="L68" i="66"/>
  <c r="M67" i="66"/>
  <c r="F68" i="66"/>
  <c r="E69" i="66"/>
  <c r="E100" i="66"/>
  <c r="F100" i="66" s="1"/>
  <c r="E95" i="66"/>
  <c r="F94" i="66"/>
  <c r="M93" i="66"/>
  <c r="L99" i="66"/>
  <c r="L94" i="66"/>
  <c r="G40" i="61"/>
  <c r="E48" i="63"/>
  <c r="F47" i="63"/>
  <c r="L45" i="61"/>
  <c r="M44" i="61"/>
  <c r="F44" i="61"/>
  <c r="E45" i="61"/>
  <c r="F16" i="53"/>
  <c r="E17" i="53"/>
  <c r="F28" i="55"/>
  <c r="E29" i="55"/>
  <c r="M28" i="55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M58" i="67" l="1"/>
  <c r="L59" i="67"/>
  <c r="L85" i="67"/>
  <c r="M84" i="67"/>
  <c r="G63" i="67" s="1"/>
  <c r="F82" i="67"/>
  <c r="E83" i="67"/>
  <c r="E57" i="67"/>
  <c r="F56" i="67"/>
  <c r="G39" i="67"/>
  <c r="G93" i="67"/>
  <c r="F72" i="69"/>
  <c r="E73" i="69"/>
  <c r="E104" i="69"/>
  <c r="F104" i="69" s="1"/>
  <c r="F98" i="69"/>
  <c r="L96" i="69"/>
  <c r="L101" i="69"/>
  <c r="M95" i="69"/>
  <c r="G95" i="69" s="1"/>
  <c r="E109" i="69"/>
  <c r="F109" i="69" s="1"/>
  <c r="F103" i="69"/>
  <c r="L106" i="69"/>
  <c r="M106" i="69" s="1"/>
  <c r="M100" i="69"/>
  <c r="G100" i="69" s="1"/>
  <c r="M69" i="69"/>
  <c r="G69" i="69" s="1"/>
  <c r="L70" i="69"/>
  <c r="G84" i="66"/>
  <c r="G93" i="66"/>
  <c r="G65" i="66"/>
  <c r="M48" i="63"/>
  <c r="G48" i="63" s="1"/>
  <c r="L49" i="63"/>
  <c r="E96" i="66"/>
  <c r="E101" i="66"/>
  <c r="F101" i="66" s="1"/>
  <c r="F95" i="66"/>
  <c r="F69" i="66"/>
  <c r="E70" i="66"/>
  <c r="L100" i="66"/>
  <c r="M100" i="66" s="1"/>
  <c r="M94" i="66"/>
  <c r="L95" i="66"/>
  <c r="L105" i="66"/>
  <c r="M105" i="66" s="1"/>
  <c r="M99" i="66"/>
  <c r="G99" i="66" s="1"/>
  <c r="L69" i="66"/>
  <c r="M68" i="66"/>
  <c r="G44" i="61"/>
  <c r="G42" i="61"/>
  <c r="E49" i="63"/>
  <c r="F48" i="63"/>
  <c r="F45" i="61"/>
  <c r="E46" i="61"/>
  <c r="M45" i="61"/>
  <c r="G45" i="61" s="1"/>
  <c r="L46" i="61"/>
  <c r="F17" i="53"/>
  <c r="E18" i="53"/>
  <c r="F29" i="55"/>
  <c r="E30" i="55"/>
  <c r="L30" i="55"/>
  <c r="M29" i="55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F57" i="67" l="1"/>
  <c r="E58" i="67"/>
  <c r="F83" i="67"/>
  <c r="E84" i="67"/>
  <c r="M85" i="67"/>
  <c r="L86" i="67"/>
  <c r="L60" i="67"/>
  <c r="M59" i="67"/>
  <c r="G42" i="67"/>
  <c r="L107" i="69"/>
  <c r="M107" i="69" s="1"/>
  <c r="M101" i="69"/>
  <c r="G101" i="69" s="1"/>
  <c r="L71" i="69"/>
  <c r="M70" i="69"/>
  <c r="G70" i="69" s="1"/>
  <c r="L97" i="69"/>
  <c r="M96" i="69"/>
  <c r="G96" i="69" s="1"/>
  <c r="L102" i="69"/>
  <c r="F73" i="69"/>
  <c r="E74" i="69"/>
  <c r="G91" i="66"/>
  <c r="G94" i="66"/>
  <c r="G66" i="66"/>
  <c r="L76" i="63"/>
  <c r="M49" i="63"/>
  <c r="G49" i="63" s="1"/>
  <c r="L50" i="63"/>
  <c r="E97" i="66"/>
  <c r="F96" i="66"/>
  <c r="E102" i="66"/>
  <c r="F102" i="66" s="1"/>
  <c r="L101" i="66"/>
  <c r="M101" i="66" s="1"/>
  <c r="G101" i="66" s="1"/>
  <c r="M95" i="66"/>
  <c r="L96" i="66"/>
  <c r="F70" i="66"/>
  <c r="E71" i="66"/>
  <c r="M69" i="66"/>
  <c r="L70" i="66"/>
  <c r="F49" i="63"/>
  <c r="E50" i="63"/>
  <c r="E76" i="63"/>
  <c r="G29" i="55"/>
  <c r="G27" i="55"/>
  <c r="M46" i="61"/>
  <c r="G46" i="61" s="1"/>
  <c r="L47" i="61"/>
  <c r="E47" i="61"/>
  <c r="F46" i="61"/>
  <c r="F18" i="53"/>
  <c r="E19" i="53"/>
  <c r="L31" i="55"/>
  <c r="M30" i="55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L61" i="67" l="1"/>
  <c r="M60" i="67"/>
  <c r="G48" i="67" s="1"/>
  <c r="L87" i="67"/>
  <c r="M86" i="67"/>
  <c r="F84" i="67"/>
  <c r="E85" i="67"/>
  <c r="F58" i="67"/>
  <c r="E59" i="67"/>
  <c r="G43" i="67"/>
  <c r="G92" i="67"/>
  <c r="L108" i="69"/>
  <c r="M108" i="69" s="1"/>
  <c r="M102" i="69"/>
  <c r="G102" i="69" s="1"/>
  <c r="M97" i="69"/>
  <c r="G97" i="69" s="1"/>
  <c r="L98" i="69"/>
  <c r="L103" i="69"/>
  <c r="L72" i="69"/>
  <c r="M71" i="69"/>
  <c r="G71" i="69" s="1"/>
  <c r="E75" i="69"/>
  <c r="F75" i="69" s="1"/>
  <c r="F74" i="69"/>
  <c r="G95" i="66"/>
  <c r="G67" i="66"/>
  <c r="G92" i="66"/>
  <c r="M50" i="63"/>
  <c r="G50" i="63" s="1"/>
  <c r="L51" i="63"/>
  <c r="L77" i="63"/>
  <c r="M76" i="63"/>
  <c r="G76" i="63" s="1"/>
  <c r="E72" i="66"/>
  <c r="F71" i="66"/>
  <c r="L102" i="66"/>
  <c r="M102" i="66" s="1"/>
  <c r="M96" i="66"/>
  <c r="L97" i="66"/>
  <c r="M70" i="66"/>
  <c r="L71" i="66"/>
  <c r="F97" i="66"/>
  <c r="E98" i="66"/>
  <c r="E103" i="66"/>
  <c r="F103" i="66" s="1"/>
  <c r="F76" i="63"/>
  <c r="E77" i="63"/>
  <c r="F50" i="63"/>
  <c r="E51" i="63"/>
  <c r="E48" i="61"/>
  <c r="F47" i="61"/>
  <c r="M47" i="61"/>
  <c r="L48" i="61"/>
  <c r="E20" i="53"/>
  <c r="F19" i="53"/>
  <c r="F31" i="55"/>
  <c r="E32" i="55"/>
  <c r="M31" i="55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3" i="38"/>
  <c r="AL122" i="38"/>
  <c r="AL121" i="38"/>
  <c r="AL120" i="38"/>
  <c r="AL119" i="38"/>
  <c r="AL118" i="38"/>
  <c r="AL117" i="38"/>
  <c r="AL116" i="38"/>
  <c r="AL112" i="38"/>
  <c r="AL111" i="38"/>
  <c r="AL110" i="38"/>
  <c r="AL109" i="38"/>
  <c r="AL108" i="38"/>
  <c r="T45" i="3"/>
  <c r="V45" i="3"/>
  <c r="AD45" i="3"/>
  <c r="AI3" i="43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F85" i="67" l="1"/>
  <c r="E86" i="67"/>
  <c r="G64" i="67"/>
  <c r="L88" i="67"/>
  <c r="M87" i="67"/>
  <c r="F59" i="67"/>
  <c r="E60" i="67"/>
  <c r="L62" i="67"/>
  <c r="M61" i="67"/>
  <c r="G49" i="67" s="1"/>
  <c r="G94" i="67"/>
  <c r="G47" i="67"/>
  <c r="L73" i="69"/>
  <c r="M72" i="69"/>
  <c r="G72" i="69" s="1"/>
  <c r="L109" i="69"/>
  <c r="M109" i="69" s="1"/>
  <c r="M103" i="69"/>
  <c r="G103" i="69" s="1"/>
  <c r="L104" i="69"/>
  <c r="M104" i="69" s="1"/>
  <c r="G104" i="69" s="1"/>
  <c r="M98" i="69"/>
  <c r="G98" i="69" s="1"/>
  <c r="G70" i="66"/>
  <c r="G32" i="66"/>
  <c r="G96" i="66"/>
  <c r="G68" i="66"/>
  <c r="M77" i="63"/>
  <c r="G77" i="63" s="1"/>
  <c r="L78" i="63"/>
  <c r="L52" i="63"/>
  <c r="M51" i="63"/>
  <c r="M71" i="66"/>
  <c r="L72" i="66"/>
  <c r="L103" i="66"/>
  <c r="M103" i="66" s="1"/>
  <c r="M97" i="66"/>
  <c r="L98" i="66"/>
  <c r="E104" i="66"/>
  <c r="F104" i="66" s="1"/>
  <c r="F98" i="66"/>
  <c r="E73" i="66"/>
  <c r="F72" i="66"/>
  <c r="AL125" i="38"/>
  <c r="F51" i="63"/>
  <c r="E52" i="63"/>
  <c r="F77" i="63"/>
  <c r="E78" i="63"/>
  <c r="G21" i="55"/>
  <c r="M48" i="61"/>
  <c r="G48" i="61" s="1"/>
  <c r="L49" i="61"/>
  <c r="E49" i="61"/>
  <c r="F48" i="61"/>
  <c r="E21" i="53"/>
  <c r="F20" i="53"/>
  <c r="M32" i="55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F60" i="67" l="1"/>
  <c r="E61" i="67"/>
  <c r="G65" i="67"/>
  <c r="M88" i="67"/>
  <c r="L89" i="67"/>
  <c r="F86" i="67"/>
  <c r="E87" i="67"/>
  <c r="M62" i="67"/>
  <c r="G50" i="67" s="1"/>
  <c r="L63" i="67"/>
  <c r="G95" i="67"/>
  <c r="M73" i="69"/>
  <c r="G73" i="69" s="1"/>
  <c r="L74" i="69"/>
  <c r="G97" i="66"/>
  <c r="G69" i="66"/>
  <c r="G103" i="66"/>
  <c r="G100" i="66"/>
  <c r="G71" i="66"/>
  <c r="G39" i="66"/>
  <c r="G51" i="63"/>
  <c r="G20" i="63"/>
  <c r="M52" i="63"/>
  <c r="L53" i="63"/>
  <c r="M78" i="63"/>
  <c r="L79" i="63"/>
  <c r="F73" i="66"/>
  <c r="E74" i="66"/>
  <c r="L104" i="66"/>
  <c r="M104" i="66" s="1"/>
  <c r="M98" i="66"/>
  <c r="G98" i="66" s="1"/>
  <c r="M72" i="66"/>
  <c r="G72" i="66" s="1"/>
  <c r="L73" i="66"/>
  <c r="E79" i="63"/>
  <c r="F78" i="63"/>
  <c r="F52" i="63"/>
  <c r="E53" i="63"/>
  <c r="G22" i="55"/>
  <c r="F49" i="61"/>
  <c r="E50" i="61"/>
  <c r="E76" i="61"/>
  <c r="L76" i="61"/>
  <c r="M49" i="61"/>
  <c r="G49" i="61" s="1"/>
  <c r="L50" i="61"/>
  <c r="F21" i="53"/>
  <c r="E22" i="53"/>
  <c r="E34" i="55"/>
  <c r="F33" i="55"/>
  <c r="M33" i="55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H16" i="3"/>
  <c r="AK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F87" i="67" l="1"/>
  <c r="E88" i="67"/>
  <c r="L90" i="67"/>
  <c r="M89" i="67"/>
  <c r="G66" i="67" s="1"/>
  <c r="G88" i="67"/>
  <c r="G78" i="67"/>
  <c r="L64" i="67"/>
  <c r="M63" i="67"/>
  <c r="G51" i="67" s="1"/>
  <c r="E62" i="67"/>
  <c r="F61" i="67"/>
  <c r="G103" i="67"/>
  <c r="G98" i="67"/>
  <c r="G96" i="67"/>
  <c r="G72" i="67"/>
  <c r="M74" i="69"/>
  <c r="G74" i="69" s="1"/>
  <c r="L75" i="69"/>
  <c r="M75" i="69" s="1"/>
  <c r="G75" i="69" s="1"/>
  <c r="G104" i="66"/>
  <c r="G102" i="66"/>
  <c r="G24" i="63"/>
  <c r="L80" i="63"/>
  <c r="M79" i="63"/>
  <c r="M53" i="63"/>
  <c r="L54" i="63"/>
  <c r="M73" i="66"/>
  <c r="G73" i="66" s="1"/>
  <c r="L74" i="66"/>
  <c r="F74" i="66"/>
  <c r="E75" i="66"/>
  <c r="F75" i="66" s="1"/>
  <c r="F53" i="63"/>
  <c r="E54" i="63"/>
  <c r="E80" i="63"/>
  <c r="F79" i="63"/>
  <c r="G28" i="55"/>
  <c r="L51" i="61"/>
  <c r="M50" i="61"/>
  <c r="G50" i="61" s="1"/>
  <c r="L77" i="61"/>
  <c r="M76" i="61"/>
  <c r="G76" i="61" s="1"/>
  <c r="F76" i="61"/>
  <c r="E77" i="61"/>
  <c r="F50" i="61"/>
  <c r="E51" i="61"/>
  <c r="G9" i="53"/>
  <c r="E23" i="53"/>
  <c r="F22" i="53"/>
  <c r="L35" i="55"/>
  <c r="M34" i="55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M64" i="67" l="1"/>
  <c r="G52" i="67" s="1"/>
  <c r="L65" i="67"/>
  <c r="L91" i="67"/>
  <c r="M90" i="67"/>
  <c r="G82" i="67" s="1"/>
  <c r="E89" i="67"/>
  <c r="F88" i="67"/>
  <c r="F62" i="67"/>
  <c r="E63" i="67"/>
  <c r="G73" i="67"/>
  <c r="G53" i="63"/>
  <c r="G25" i="63"/>
  <c r="L55" i="63"/>
  <c r="M54" i="63"/>
  <c r="M80" i="63"/>
  <c r="G80" i="63" s="1"/>
  <c r="L81" i="63"/>
  <c r="M74" i="66"/>
  <c r="L75" i="66"/>
  <c r="M75" i="66" s="1"/>
  <c r="E81" i="63"/>
  <c r="F80" i="63"/>
  <c r="F54" i="63"/>
  <c r="E55" i="63"/>
  <c r="F51" i="61"/>
  <c r="E52" i="61"/>
  <c r="F77" i="61"/>
  <c r="E78" i="61"/>
  <c r="M77" i="61"/>
  <c r="L78" i="61"/>
  <c r="L52" i="61"/>
  <c r="M51" i="61"/>
  <c r="G51" i="61" s="1"/>
  <c r="G18" i="53"/>
  <c r="E24" i="53"/>
  <c r="F23" i="53"/>
  <c r="F35" i="55"/>
  <c r="E36" i="55"/>
  <c r="E39" i="55"/>
  <c r="L39" i="55"/>
  <c r="L36" i="55"/>
  <c r="M35" i="55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E64" i="67" l="1"/>
  <c r="F63" i="67"/>
  <c r="E90" i="67"/>
  <c r="F89" i="67"/>
  <c r="L92" i="67"/>
  <c r="M91" i="67"/>
  <c r="G102" i="67" s="1"/>
  <c r="L66" i="67"/>
  <c r="M65" i="67"/>
  <c r="G53" i="67" s="1"/>
  <c r="G75" i="67"/>
  <c r="G59" i="67"/>
  <c r="G74" i="67"/>
  <c r="G58" i="67"/>
  <c r="G75" i="66"/>
  <c r="G89" i="66"/>
  <c r="G74" i="66"/>
  <c r="G86" i="66"/>
  <c r="G26" i="63"/>
  <c r="M81" i="63"/>
  <c r="G81" i="63" s="1"/>
  <c r="L82" i="63"/>
  <c r="M55" i="63"/>
  <c r="L56" i="63"/>
  <c r="E56" i="63"/>
  <c r="F55" i="63"/>
  <c r="F81" i="63"/>
  <c r="E82" i="63"/>
  <c r="M78" i="61"/>
  <c r="G78" i="61" s="1"/>
  <c r="L79" i="61"/>
  <c r="L53" i="61"/>
  <c r="M52" i="61"/>
  <c r="F52" i="61"/>
  <c r="E53" i="61"/>
  <c r="E79" i="61"/>
  <c r="F78" i="61"/>
  <c r="G19" i="53"/>
  <c r="F24" i="53"/>
  <c r="E25" i="53"/>
  <c r="M39" i="55"/>
  <c r="L40" i="55"/>
  <c r="F39" i="55"/>
  <c r="E40" i="55"/>
  <c r="M36" i="55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M66" i="67" l="1"/>
  <c r="G91" i="67" s="1"/>
  <c r="L67" i="67"/>
  <c r="L93" i="67"/>
  <c r="M92" i="67"/>
  <c r="G85" i="67" s="1"/>
  <c r="F90" i="67"/>
  <c r="E91" i="67"/>
  <c r="F64" i="67"/>
  <c r="E65" i="67"/>
  <c r="G55" i="63"/>
  <c r="G28" i="63"/>
  <c r="L57" i="63"/>
  <c r="M56" i="63"/>
  <c r="M82" i="63"/>
  <c r="L83" i="63"/>
  <c r="F82" i="63"/>
  <c r="E83" i="63"/>
  <c r="E57" i="63"/>
  <c r="F56" i="63"/>
  <c r="F53" i="61"/>
  <c r="E54" i="61"/>
  <c r="M53" i="61"/>
  <c r="G53" i="61" s="1"/>
  <c r="L54" i="61"/>
  <c r="E80" i="61"/>
  <c r="F79" i="61"/>
  <c r="M79" i="61"/>
  <c r="G79" i="61" s="1"/>
  <c r="L80" i="61"/>
  <c r="F25" i="53"/>
  <c r="E26" i="53"/>
  <c r="F37" i="55"/>
  <c r="E38" i="55"/>
  <c r="F38" i="55" s="1"/>
  <c r="L38" i="55"/>
  <c r="M38" i="55" s="1"/>
  <c r="M37" i="55"/>
  <c r="F40" i="55"/>
  <c r="E41" i="55"/>
  <c r="M40" i="55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E66" i="67" l="1"/>
  <c r="F65" i="67"/>
  <c r="E92" i="67"/>
  <c r="F91" i="67"/>
  <c r="M93" i="67"/>
  <c r="G97" i="67" s="1"/>
  <c r="L94" i="67"/>
  <c r="L99" i="67"/>
  <c r="L68" i="67"/>
  <c r="M67" i="67"/>
  <c r="G86" i="67" s="1"/>
  <c r="G30" i="63"/>
  <c r="L84" i="63"/>
  <c r="M83" i="63"/>
  <c r="G83" i="63" s="1"/>
  <c r="L58" i="63"/>
  <c r="M57" i="63"/>
  <c r="F57" i="63"/>
  <c r="E58" i="63"/>
  <c r="F83" i="63"/>
  <c r="E84" i="63"/>
  <c r="M80" i="61"/>
  <c r="G80" i="61" s="1"/>
  <c r="L81" i="61"/>
  <c r="E81" i="61"/>
  <c r="F80" i="61"/>
  <c r="M54" i="61"/>
  <c r="L55" i="61"/>
  <c r="E55" i="61"/>
  <c r="F54" i="61"/>
  <c r="G21" i="53"/>
  <c r="E27" i="53"/>
  <c r="F26" i="53"/>
  <c r="M41" i="55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L69" i="67" l="1"/>
  <c r="M68" i="67"/>
  <c r="G84" i="67" s="1"/>
  <c r="L100" i="67"/>
  <c r="M94" i="67"/>
  <c r="G87" i="67" s="1"/>
  <c r="L95" i="67"/>
  <c r="F92" i="67"/>
  <c r="E93" i="67"/>
  <c r="M99" i="67"/>
  <c r="G69" i="67" s="1"/>
  <c r="L105" i="67"/>
  <c r="M105" i="67" s="1"/>
  <c r="F66" i="67"/>
  <c r="E67" i="67"/>
  <c r="G31" i="63"/>
  <c r="M58" i="63"/>
  <c r="L59" i="63"/>
  <c r="L85" i="63"/>
  <c r="M84" i="63"/>
  <c r="F84" i="63"/>
  <c r="E85" i="63"/>
  <c r="F58" i="63"/>
  <c r="E59" i="63"/>
  <c r="G25" i="55"/>
  <c r="M55" i="61"/>
  <c r="G55" i="61" s="1"/>
  <c r="L56" i="61"/>
  <c r="F81" i="61"/>
  <c r="E82" i="61"/>
  <c r="E56" i="61"/>
  <c r="F55" i="61"/>
  <c r="M81" i="61"/>
  <c r="L82" i="61"/>
  <c r="G22" i="53"/>
  <c r="E28" i="53"/>
  <c r="F27" i="53"/>
  <c r="E43" i="55"/>
  <c r="F42" i="55"/>
  <c r="M42" i="55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E99" i="67" l="1"/>
  <c r="F93" i="67"/>
  <c r="E94" i="67"/>
  <c r="L101" i="67"/>
  <c r="M95" i="67"/>
  <c r="G101" i="67" s="1"/>
  <c r="L96" i="67"/>
  <c r="F67" i="67"/>
  <c r="E68" i="67"/>
  <c r="M100" i="67"/>
  <c r="G89" i="67" s="1"/>
  <c r="L106" i="67"/>
  <c r="M106" i="67" s="1"/>
  <c r="M69" i="67"/>
  <c r="G90" i="67" s="1"/>
  <c r="L70" i="67"/>
  <c r="G33" i="63"/>
  <c r="M85" i="63"/>
  <c r="L86" i="63"/>
  <c r="M59" i="63"/>
  <c r="L60" i="63"/>
  <c r="F59" i="63"/>
  <c r="E60" i="63"/>
  <c r="F85" i="63"/>
  <c r="E86" i="63"/>
  <c r="G34" i="55"/>
  <c r="L83" i="61"/>
  <c r="M82" i="61"/>
  <c r="E57" i="61"/>
  <c r="F56" i="61"/>
  <c r="F82" i="61"/>
  <c r="E83" i="61"/>
  <c r="M56" i="61"/>
  <c r="L57" i="61"/>
  <c r="G23" i="53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F68" i="67" l="1"/>
  <c r="E69" i="67"/>
  <c r="L102" i="67"/>
  <c r="M96" i="67"/>
  <c r="G99" i="67" s="1"/>
  <c r="L97" i="67"/>
  <c r="M70" i="67"/>
  <c r="G54" i="67" s="1"/>
  <c r="L71" i="67"/>
  <c r="M101" i="67"/>
  <c r="G80" i="67" s="1"/>
  <c r="L107" i="67"/>
  <c r="M107" i="67" s="1"/>
  <c r="E100" i="67"/>
  <c r="E95" i="67"/>
  <c r="F94" i="67"/>
  <c r="E105" i="67"/>
  <c r="F105" i="67" s="1"/>
  <c r="F99" i="67"/>
  <c r="G59" i="63"/>
  <c r="G35" i="63"/>
  <c r="L61" i="63"/>
  <c r="M60" i="63"/>
  <c r="M86" i="63"/>
  <c r="G86" i="63" s="1"/>
  <c r="L87" i="63"/>
  <c r="E87" i="63"/>
  <c r="F86" i="63"/>
  <c r="E61" i="63"/>
  <c r="F60" i="63"/>
  <c r="M57" i="61"/>
  <c r="L58" i="61"/>
  <c r="F83" i="61"/>
  <c r="E84" i="61"/>
  <c r="F57" i="61"/>
  <c r="E58" i="61"/>
  <c r="L84" i="61"/>
  <c r="M83" i="61"/>
  <c r="G29" i="53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L98" i="67" l="1"/>
  <c r="L103" i="67"/>
  <c r="M97" i="67"/>
  <c r="G67" i="67" s="1"/>
  <c r="F95" i="67"/>
  <c r="E101" i="67"/>
  <c r="E96" i="67"/>
  <c r="M102" i="67"/>
  <c r="G70" i="67" s="1"/>
  <c r="L108" i="67"/>
  <c r="M108" i="67" s="1"/>
  <c r="M71" i="67"/>
  <c r="G77" i="67" s="1"/>
  <c r="L72" i="67"/>
  <c r="F100" i="67"/>
  <c r="E106" i="67"/>
  <c r="F106" i="67" s="1"/>
  <c r="E70" i="67"/>
  <c r="F69" i="67"/>
  <c r="G36" i="63"/>
  <c r="M87" i="63"/>
  <c r="G87" i="63" s="1"/>
  <c r="L88" i="63"/>
  <c r="L62" i="63"/>
  <c r="M61" i="63"/>
  <c r="G20" i="61"/>
  <c r="F61" i="63"/>
  <c r="E62" i="63"/>
  <c r="E88" i="63"/>
  <c r="F87" i="63"/>
  <c r="F84" i="61"/>
  <c r="E85" i="61"/>
  <c r="L85" i="61"/>
  <c r="M84" i="61"/>
  <c r="F58" i="61"/>
  <c r="E59" i="61"/>
  <c r="L59" i="61"/>
  <c r="M58" i="61"/>
  <c r="F30" i="53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AJ68" i="43"/>
  <c r="AJ67" i="43"/>
  <c r="AJ66" i="43"/>
  <c r="AJ65" i="43"/>
  <c r="AJ64" i="43"/>
  <c r="AJ63" i="43"/>
  <c r="AJ62" i="43"/>
  <c r="AJ61" i="43"/>
  <c r="AJ60" i="43"/>
  <c r="AJ59" i="43"/>
  <c r="AJ58" i="43"/>
  <c r="AJ57" i="43"/>
  <c r="AJ56" i="43"/>
  <c r="AJ55" i="43"/>
  <c r="AJ54" i="43"/>
  <c r="AJ53" i="43"/>
  <c r="AJ52" i="43"/>
  <c r="AJ51" i="43"/>
  <c r="AJ50" i="43"/>
  <c r="AJ49" i="43"/>
  <c r="AJ48" i="43"/>
  <c r="AJ47" i="43"/>
  <c r="AJ46" i="43"/>
  <c r="AJ45" i="43"/>
  <c r="AJ44" i="43"/>
  <c r="AJ43" i="43"/>
  <c r="AJ42" i="43"/>
  <c r="AJ41" i="43"/>
  <c r="AJ40" i="43"/>
  <c r="AJ39" i="43"/>
  <c r="AJ38" i="43"/>
  <c r="AJ37" i="43"/>
  <c r="AJ36" i="43"/>
  <c r="AJ35" i="43"/>
  <c r="AJ34" i="43"/>
  <c r="AJ33" i="43"/>
  <c r="AJ32" i="43"/>
  <c r="AJ31" i="43"/>
  <c r="AJ30" i="43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I6" i="43"/>
  <c r="AI5" i="43"/>
  <c r="AI4" i="43"/>
  <c r="AH103" i="43"/>
  <c r="AH102" i="43"/>
  <c r="AH101" i="43"/>
  <c r="AH100" i="43"/>
  <c r="AH99" i="43"/>
  <c r="AH98" i="43"/>
  <c r="AH97" i="43"/>
  <c r="AH96" i="43"/>
  <c r="AH95" i="43"/>
  <c r="AH94" i="43"/>
  <c r="AH93" i="43"/>
  <c r="AH92" i="43"/>
  <c r="AH91" i="43"/>
  <c r="AH90" i="43"/>
  <c r="AH89" i="43"/>
  <c r="AH88" i="43"/>
  <c r="AH87" i="43"/>
  <c r="AH86" i="43"/>
  <c r="AH85" i="43"/>
  <c r="AH84" i="43"/>
  <c r="AH83" i="43"/>
  <c r="AH82" i="43"/>
  <c r="AH81" i="43"/>
  <c r="AH80" i="43"/>
  <c r="AH79" i="43"/>
  <c r="AH78" i="43"/>
  <c r="AH77" i="43"/>
  <c r="AH76" i="43"/>
  <c r="AH75" i="43"/>
  <c r="AH74" i="43"/>
  <c r="AH73" i="43"/>
  <c r="AH72" i="43"/>
  <c r="AH71" i="43"/>
  <c r="AH70" i="43"/>
  <c r="AH69" i="43"/>
  <c r="AH68" i="43"/>
  <c r="AH67" i="43"/>
  <c r="AH66" i="43"/>
  <c r="AH65" i="43"/>
  <c r="AH64" i="43"/>
  <c r="AH63" i="43"/>
  <c r="AH62" i="43"/>
  <c r="AH61" i="43"/>
  <c r="AH60" i="43"/>
  <c r="AH59" i="43"/>
  <c r="AH58" i="43"/>
  <c r="AH57" i="43"/>
  <c r="AH56" i="43"/>
  <c r="AH55" i="43"/>
  <c r="AH54" i="43"/>
  <c r="AH53" i="43"/>
  <c r="AH52" i="43"/>
  <c r="AH51" i="43"/>
  <c r="AH50" i="43"/>
  <c r="AH49" i="43"/>
  <c r="AH48" i="43"/>
  <c r="AH47" i="43"/>
  <c r="AH46" i="43"/>
  <c r="AH45" i="43"/>
  <c r="AH44" i="43"/>
  <c r="AH43" i="43"/>
  <c r="AH42" i="43"/>
  <c r="AH41" i="43"/>
  <c r="AH40" i="43"/>
  <c r="AH39" i="43"/>
  <c r="AH38" i="43"/>
  <c r="AH37" i="43"/>
  <c r="AH36" i="43"/>
  <c r="AH35" i="43"/>
  <c r="AH34" i="43"/>
  <c r="AH33" i="43"/>
  <c r="AH32" i="43"/>
  <c r="AH31" i="43"/>
  <c r="AH30" i="43"/>
  <c r="AH29" i="43"/>
  <c r="AH28" i="43"/>
  <c r="AH27" i="43"/>
  <c r="AH26" i="43"/>
  <c r="AH25" i="43"/>
  <c r="AH24" i="43"/>
  <c r="AH23" i="43"/>
  <c r="AH22" i="43"/>
  <c r="AH21" i="43"/>
  <c r="AH20" i="43"/>
  <c r="AH19" i="43"/>
  <c r="AH18" i="43"/>
  <c r="AH17" i="43"/>
  <c r="AH16" i="43"/>
  <c r="AH15" i="43"/>
  <c r="AH14" i="43"/>
  <c r="AH13" i="43"/>
  <c r="AH12" i="43"/>
  <c r="AH11" i="43"/>
  <c r="AH10" i="43"/>
  <c r="AH9" i="43"/>
  <c r="AH8" i="43"/>
  <c r="AH7" i="43"/>
  <c r="AH6" i="43"/>
  <c r="AH5" i="43"/>
  <c r="AH4" i="43"/>
  <c r="AH3" i="43"/>
  <c r="N4" i="43"/>
  <c r="N5" i="43"/>
  <c r="N6" i="43"/>
  <c r="N7" i="43"/>
  <c r="N8" i="43"/>
  <c r="N9" i="43"/>
  <c r="N10" i="43"/>
  <c r="N11" i="43"/>
  <c r="AB11" i="43" s="1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N43" i="43"/>
  <c r="N44" i="43"/>
  <c r="N45" i="43"/>
  <c r="N46" i="43"/>
  <c r="N47" i="43"/>
  <c r="N48" i="43"/>
  <c r="N49" i="43"/>
  <c r="N50" i="43"/>
  <c r="N51" i="43"/>
  <c r="N52" i="43"/>
  <c r="AB52" i="43" s="1"/>
  <c r="N53" i="43"/>
  <c r="N54" i="43"/>
  <c r="N55" i="43"/>
  <c r="N56" i="43"/>
  <c r="N57" i="43"/>
  <c r="N58" i="43"/>
  <c r="N59" i="43"/>
  <c r="N60" i="43"/>
  <c r="N61" i="43"/>
  <c r="N62" i="43"/>
  <c r="N63" i="43"/>
  <c r="N64" i="43"/>
  <c r="N65" i="43"/>
  <c r="N66" i="43"/>
  <c r="N67" i="43"/>
  <c r="N68" i="43"/>
  <c r="N69" i="43"/>
  <c r="N70" i="43"/>
  <c r="N71" i="43"/>
  <c r="N72" i="43"/>
  <c r="N73" i="43"/>
  <c r="N74" i="43"/>
  <c r="N75" i="43"/>
  <c r="N76" i="43"/>
  <c r="N77" i="43"/>
  <c r="N78" i="43"/>
  <c r="N79" i="43"/>
  <c r="N80" i="43"/>
  <c r="N81" i="43"/>
  <c r="N82" i="43"/>
  <c r="N83" i="43"/>
  <c r="N84" i="43"/>
  <c r="N85" i="43"/>
  <c r="N86" i="43"/>
  <c r="N87" i="43"/>
  <c r="N88" i="43"/>
  <c r="N89" i="43"/>
  <c r="N90" i="43"/>
  <c r="N91" i="43"/>
  <c r="N92" i="43"/>
  <c r="N93" i="43"/>
  <c r="N94" i="43"/>
  <c r="N95" i="43"/>
  <c r="N96" i="43"/>
  <c r="N97" i="43"/>
  <c r="N98" i="43"/>
  <c r="N99" i="43"/>
  <c r="N100" i="43"/>
  <c r="AB100" i="43" s="1"/>
  <c r="N101" i="43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Z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E97" i="67" l="1"/>
  <c r="E102" i="67"/>
  <c r="F96" i="67"/>
  <c r="E71" i="67"/>
  <c r="F70" i="67"/>
  <c r="F101" i="67"/>
  <c r="E107" i="67"/>
  <c r="F107" i="67" s="1"/>
  <c r="M72" i="67"/>
  <c r="G55" i="67" s="1"/>
  <c r="L73" i="67"/>
  <c r="L109" i="67"/>
  <c r="M109" i="67" s="1"/>
  <c r="M103" i="67"/>
  <c r="G100" i="67" s="1"/>
  <c r="L104" i="67"/>
  <c r="M104" i="67" s="1"/>
  <c r="M98" i="67"/>
  <c r="G68" i="67" s="1"/>
  <c r="G37" i="63"/>
  <c r="M62" i="63"/>
  <c r="L63" i="63"/>
  <c r="L89" i="63"/>
  <c r="M88" i="63"/>
  <c r="G88" i="63" s="1"/>
  <c r="G24" i="61"/>
  <c r="E89" i="63"/>
  <c r="F88" i="63"/>
  <c r="F62" i="63"/>
  <c r="E63" i="63"/>
  <c r="L60" i="61"/>
  <c r="M59" i="61"/>
  <c r="F59" i="61"/>
  <c r="E60" i="61"/>
  <c r="M85" i="61"/>
  <c r="G85" i="61" s="1"/>
  <c r="L86" i="61"/>
  <c r="F85" i="61"/>
  <c r="E86" i="61"/>
  <c r="F31" i="53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30" i="43"/>
  <c r="AL71" i="43"/>
  <c r="AL33" i="43"/>
  <c r="AL31" i="43"/>
  <c r="AL35" i="43"/>
  <c r="AL66" i="43"/>
  <c r="H105" i="43"/>
  <c r="H126" i="43" s="1"/>
  <c r="M30" i="48"/>
  <c r="L31" i="48"/>
  <c r="F29" i="48"/>
  <c r="E30" i="48"/>
  <c r="AK126" i="41"/>
  <c r="Z19" i="3"/>
  <c r="Z45" i="3" s="1"/>
  <c r="AW13" i="41"/>
  <c r="AW28" i="41"/>
  <c r="AH126" i="41"/>
  <c r="W19" i="3"/>
  <c r="W45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10" i="43"/>
  <c r="AL25" i="43"/>
  <c r="AL11" i="43"/>
  <c r="AO8" i="41"/>
  <c r="AV8" i="41" s="1" a="1"/>
  <c r="AV8" i="41" s="1"/>
  <c r="AZ8" i="41" s="1"/>
  <c r="N126" i="41"/>
  <c r="G19" i="3"/>
  <c r="G45" i="3" s="1"/>
  <c r="AZ15" i="41"/>
  <c r="AZ4" i="41"/>
  <c r="AZ13" i="41"/>
  <c r="AZ28" i="41"/>
  <c r="AL7" i="43"/>
  <c r="AL19" i="43"/>
  <c r="AL23" i="43"/>
  <c r="AL41" i="43"/>
  <c r="AL43" i="43"/>
  <c r="AL18" i="43"/>
  <c r="AL22" i="43"/>
  <c r="AL37" i="43"/>
  <c r="AL26" i="43"/>
  <c r="AL39" i="43"/>
  <c r="AL4" i="43"/>
  <c r="AL12" i="43"/>
  <c r="AL27" i="43"/>
  <c r="E105" i="41"/>
  <c r="E126" i="41" s="1"/>
  <c r="AL8" i="43"/>
  <c r="AL34" i="43"/>
  <c r="AL5" i="43"/>
  <c r="AL13" i="43"/>
  <c r="AL17" i="43"/>
  <c r="AL21" i="43"/>
  <c r="AL32" i="43"/>
  <c r="AL14" i="43"/>
  <c r="AL38" i="43"/>
  <c r="AL15" i="43"/>
  <c r="AL40" i="43"/>
  <c r="AL42" i="43"/>
  <c r="AO5" i="41"/>
  <c r="AV5" i="41" s="1" a="1"/>
  <c r="AV5" i="41" s="1"/>
  <c r="AZ5" i="41" s="1"/>
  <c r="AL16" i="43"/>
  <c r="AL20" i="43"/>
  <c r="AL24" i="43"/>
  <c r="AL9" i="43"/>
  <c r="AL28" i="43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AB71" i="43"/>
  <c r="AB63" i="43"/>
  <c r="AB47" i="43"/>
  <c r="AB102" i="43"/>
  <c r="AB76" i="43"/>
  <c r="AB60" i="43"/>
  <c r="AB44" i="43"/>
  <c r="AB91" i="43"/>
  <c r="AB67" i="43"/>
  <c r="AB59" i="43"/>
  <c r="AB27" i="43"/>
  <c r="AB19" i="43"/>
  <c r="AB3" i="43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O58" i="41"/>
  <c r="AV58" i="41" s="1" a="1"/>
  <c r="AV58" i="41" s="1"/>
  <c r="AW58" i="41" s="1"/>
  <c r="AO59" i="41"/>
  <c r="AV59" i="41" s="1" a="1"/>
  <c r="AV59" i="41" s="1"/>
  <c r="AL60" i="43"/>
  <c r="AO62" i="41"/>
  <c r="AV62" i="41" s="1" a="1"/>
  <c r="AV62" i="41" s="1"/>
  <c r="AO63" i="41"/>
  <c r="AV63" i="41" s="1" a="1"/>
  <c r="AV63" i="41" s="1"/>
  <c r="AL64" i="43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5" i="40"/>
  <c r="AL94" i="40"/>
  <c r="AL93" i="40"/>
  <c r="AL92" i="40"/>
  <c r="AL91" i="40"/>
  <c r="AL90" i="40"/>
  <c r="AL89" i="40"/>
  <c r="AL88" i="40"/>
  <c r="AL88" i="43" s="1"/>
  <c r="AL87" i="40"/>
  <c r="AL86" i="40"/>
  <c r="AL85" i="40"/>
  <c r="AL84" i="40"/>
  <c r="AL83" i="40"/>
  <c r="AL82" i="40"/>
  <c r="AL81" i="40"/>
  <c r="AL80" i="40"/>
  <c r="AL80" i="43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G71" i="67" l="1"/>
  <c r="E72" i="67"/>
  <c r="F71" i="67"/>
  <c r="F102" i="67"/>
  <c r="E108" i="67"/>
  <c r="F108" i="67" s="1"/>
  <c r="M73" i="67"/>
  <c r="G56" i="67" s="1"/>
  <c r="L74" i="67"/>
  <c r="E98" i="67"/>
  <c r="E103" i="67"/>
  <c r="F97" i="67"/>
  <c r="G62" i="63"/>
  <c r="G38" i="63"/>
  <c r="L90" i="63"/>
  <c r="M89" i="63"/>
  <c r="M63" i="63"/>
  <c r="L64" i="63"/>
  <c r="G26" i="61"/>
  <c r="E64" i="63"/>
  <c r="F63" i="63"/>
  <c r="F89" i="63"/>
  <c r="E90" i="63"/>
  <c r="E87" i="61"/>
  <c r="F86" i="61"/>
  <c r="M86" i="61"/>
  <c r="L87" i="61"/>
  <c r="F60" i="61"/>
  <c r="E61" i="61"/>
  <c r="L61" i="61"/>
  <c r="M60" i="61"/>
  <c r="E33" i="53"/>
  <c r="F32" i="53"/>
  <c r="M47" i="55"/>
  <c r="L48" i="55"/>
  <c r="E48" i="55"/>
  <c r="F47" i="55"/>
  <c r="M33" i="53"/>
  <c r="L34" i="53"/>
  <c r="M30" i="50"/>
  <c r="L31" i="50"/>
  <c r="AL61" i="43"/>
  <c r="AL95" i="43"/>
  <c r="AL103" i="43"/>
  <c r="AL57" i="43"/>
  <c r="L105" i="43"/>
  <c r="L126" i="43" s="1"/>
  <c r="E105" i="43"/>
  <c r="E126" i="43" s="1"/>
  <c r="AL53" i="43"/>
  <c r="AL52" i="43"/>
  <c r="AL48" i="43"/>
  <c r="AL105" i="42"/>
  <c r="AL45" i="43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74" i="43"/>
  <c r="AL82" i="43"/>
  <c r="AL90" i="43"/>
  <c r="AL50" i="43"/>
  <c r="AO61" i="41"/>
  <c r="AV61" i="41" s="1" a="1"/>
  <c r="AV61" i="41" s="1"/>
  <c r="AW61" i="41" s="1"/>
  <c r="AL62" i="43"/>
  <c r="AX6" i="41"/>
  <c r="AL51" i="43"/>
  <c r="AL58" i="43"/>
  <c r="AL65" i="43"/>
  <c r="AO64" i="41"/>
  <c r="AV64" i="41" s="1" a="1"/>
  <c r="AV64" i="41" s="1"/>
  <c r="AX64" i="41" s="1"/>
  <c r="AL49" i="43"/>
  <c r="AL92" i="43"/>
  <c r="AL77" i="43"/>
  <c r="AL85" i="43"/>
  <c r="AL93" i="43"/>
  <c r="AL101" i="43"/>
  <c r="AX27" i="41"/>
  <c r="AL47" i="43"/>
  <c r="AX9" i="41"/>
  <c r="AL70" i="43"/>
  <c r="AO56" i="41"/>
  <c r="AV56" i="41" s="1" a="1"/>
  <c r="AV56" i="41" s="1"/>
  <c r="AO48" i="41"/>
  <c r="AV48" i="41" s="1" a="1"/>
  <c r="AV48" i="41" s="1"/>
  <c r="AW48" i="41" s="1"/>
  <c r="AL76" i="43"/>
  <c r="AL100" i="43"/>
  <c r="AL78" i="43"/>
  <c r="AL86" i="43"/>
  <c r="AL94" i="43"/>
  <c r="AL102" i="43"/>
  <c r="AO60" i="41"/>
  <c r="AV60" i="41" s="1" a="1"/>
  <c r="AV60" i="41" s="1"/>
  <c r="AW60" i="41" s="1"/>
  <c r="AO52" i="41"/>
  <c r="AV52" i="41" s="1" a="1"/>
  <c r="AV52" i="41" s="1"/>
  <c r="AL46" i="43"/>
  <c r="AX5" i="41"/>
  <c r="AL84" i="43"/>
  <c r="AO57" i="41"/>
  <c r="AV57" i="41" s="1" a="1"/>
  <c r="AV57" i="41" s="1"/>
  <c r="AL54" i="43"/>
  <c r="AL68" i="43"/>
  <c r="AL67" i="43"/>
  <c r="AL63" i="43"/>
  <c r="AX10" i="41"/>
  <c r="AL59" i="43"/>
  <c r="AL55" i="43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O83" i="40"/>
  <c r="AV83" i="40" s="1" a="1"/>
  <c r="AV83" i="40" s="1"/>
  <c r="AZ83" i="40" s="1"/>
  <c r="AL83" i="43"/>
  <c r="AO91" i="40"/>
  <c r="AV91" i="40" s="1" a="1"/>
  <c r="AV91" i="40" s="1"/>
  <c r="AL91" i="43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K17" i="3"/>
  <c r="X45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L75" i="67" l="1"/>
  <c r="M75" i="67" s="1"/>
  <c r="G104" i="67" s="1"/>
  <c r="M74" i="67"/>
  <c r="G57" i="67" s="1"/>
  <c r="F72" i="67"/>
  <c r="E73" i="67"/>
  <c r="F103" i="67"/>
  <c r="E109" i="67"/>
  <c r="F109" i="67" s="1"/>
  <c r="E104" i="67"/>
  <c r="F104" i="67" s="1"/>
  <c r="F98" i="67"/>
  <c r="G63" i="63"/>
  <c r="G39" i="63"/>
  <c r="L65" i="63"/>
  <c r="M64" i="63"/>
  <c r="L91" i="63"/>
  <c r="M90" i="63"/>
  <c r="G60" i="61"/>
  <c r="G30" i="61"/>
  <c r="AK19" i="3"/>
  <c r="F90" i="63"/>
  <c r="E91" i="63"/>
  <c r="E65" i="63"/>
  <c r="F64" i="63"/>
  <c r="M61" i="61"/>
  <c r="L62" i="61"/>
  <c r="F61" i="61"/>
  <c r="E62" i="61"/>
  <c r="M87" i="61"/>
  <c r="G87" i="61" s="1"/>
  <c r="L88" i="61"/>
  <c r="E88" i="61"/>
  <c r="F87" i="61"/>
  <c r="F33" i="53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H19" i="3" s="1"/>
  <c r="AV104" i="41"/>
  <c r="AZ48" i="41"/>
  <c r="F19" i="3"/>
  <c r="AO105" i="41"/>
  <c r="AO126" i="41" s="1"/>
  <c r="F25" i="47"/>
  <c r="E26" i="47"/>
  <c r="M25" i="47"/>
  <c r="L26" i="47"/>
  <c r="AD126" i="40"/>
  <c r="P18" i="3"/>
  <c r="AH18" i="3" s="1"/>
  <c r="F18" i="3"/>
  <c r="AK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Z82" i="40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5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6" i="38"/>
  <c r="AO125" i="35"/>
  <c r="AG126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F73" i="67" l="1"/>
  <c r="E74" i="67"/>
  <c r="G78" i="63"/>
  <c r="G64" i="63"/>
  <c r="G40" i="63"/>
  <c r="M91" i="63"/>
  <c r="L92" i="63"/>
  <c r="M65" i="63"/>
  <c r="L66" i="63"/>
  <c r="G61" i="61"/>
  <c r="G31" i="61"/>
  <c r="F65" i="63"/>
  <c r="E66" i="63"/>
  <c r="F91" i="63"/>
  <c r="E92" i="63"/>
  <c r="F88" i="61"/>
  <c r="E89" i="61"/>
  <c r="M88" i="61"/>
  <c r="L89" i="61"/>
  <c r="E63" i="61"/>
  <c r="F62" i="61"/>
  <c r="M62" i="61"/>
  <c r="L63" i="61"/>
  <c r="F34" i="53"/>
  <c r="E35" i="53"/>
  <c r="AE17" i="3"/>
  <c r="L76" i="55"/>
  <c r="M49" i="55"/>
  <c r="G49" i="55" s="1"/>
  <c r="L50" i="55"/>
  <c r="E50" i="55"/>
  <c r="E76" i="55"/>
  <c r="F49" i="55"/>
  <c r="AE18" i="3"/>
  <c r="AE19" i="3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H17" i="3"/>
  <c r="AE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F74" i="67" l="1"/>
  <c r="E75" i="67"/>
  <c r="F75" i="67" s="1"/>
  <c r="G65" i="63"/>
  <c r="G41" i="63"/>
  <c r="G79" i="63"/>
  <c r="M66" i="63"/>
  <c r="L67" i="63"/>
  <c r="L93" i="63"/>
  <c r="M92" i="63"/>
  <c r="G88" i="61"/>
  <c r="G77" i="61"/>
  <c r="G62" i="61"/>
  <c r="G32" i="61"/>
  <c r="F92" i="63"/>
  <c r="E93" i="63"/>
  <c r="F66" i="63"/>
  <c r="E67" i="63"/>
  <c r="E64" i="61"/>
  <c r="F63" i="61"/>
  <c r="M89" i="61"/>
  <c r="L90" i="61"/>
  <c r="F89" i="61"/>
  <c r="E90" i="61"/>
  <c r="M63" i="61"/>
  <c r="L64" i="61"/>
  <c r="E39" i="53"/>
  <c r="E36" i="53"/>
  <c r="F35" i="5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G92" i="63" l="1"/>
  <c r="G82" i="63"/>
  <c r="G66" i="63"/>
  <c r="G42" i="63"/>
  <c r="L99" i="63"/>
  <c r="L94" i="63"/>
  <c r="M93" i="63"/>
  <c r="L68" i="63"/>
  <c r="M67" i="63"/>
  <c r="G81" i="61"/>
  <c r="G63" i="61"/>
  <c r="G33" i="61"/>
  <c r="F67" i="63"/>
  <c r="E68" i="63"/>
  <c r="E99" i="63"/>
  <c r="F93" i="63"/>
  <c r="E94" i="63"/>
  <c r="F90" i="61"/>
  <c r="E91" i="61"/>
  <c r="L91" i="61"/>
  <c r="M90" i="61"/>
  <c r="M64" i="61"/>
  <c r="L65" i="61"/>
  <c r="E65" i="61"/>
  <c r="F64" i="61"/>
  <c r="F36" i="53"/>
  <c r="E37" i="53"/>
  <c r="E40" i="53"/>
  <c r="F39" i="53"/>
  <c r="L78" i="55"/>
  <c r="M77" i="55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G93" i="63" l="1"/>
  <c r="G84" i="63"/>
  <c r="G67" i="63"/>
  <c r="G44" i="63"/>
  <c r="M68" i="63"/>
  <c r="L69" i="63"/>
  <c r="M94" i="63"/>
  <c r="L95" i="63"/>
  <c r="L100" i="63"/>
  <c r="M100" i="63" s="1"/>
  <c r="L105" i="63"/>
  <c r="M105" i="63" s="1"/>
  <c r="M99" i="63"/>
  <c r="G99" i="63" s="1"/>
  <c r="G64" i="61"/>
  <c r="G36" i="61"/>
  <c r="G90" i="61"/>
  <c r="G82" i="61"/>
  <c r="E100" i="63"/>
  <c r="F100" i="63" s="1"/>
  <c r="F94" i="63"/>
  <c r="E95" i="63"/>
  <c r="E105" i="63"/>
  <c r="F105" i="63" s="1"/>
  <c r="F99" i="63"/>
  <c r="F68" i="63"/>
  <c r="E69" i="63"/>
  <c r="F65" i="61"/>
  <c r="E66" i="61"/>
  <c r="M65" i="61"/>
  <c r="L66" i="61"/>
  <c r="L92" i="61"/>
  <c r="M91" i="61"/>
  <c r="F91" i="61"/>
  <c r="E92" i="61"/>
  <c r="G34" i="53"/>
  <c r="G28" i="53"/>
  <c r="E41" i="53"/>
  <c r="F40" i="53"/>
  <c r="E38" i="53"/>
  <c r="F38" i="53" s="1"/>
  <c r="F37" i="53"/>
  <c r="E79" i="55"/>
  <c r="F78" i="55"/>
  <c r="F52" i="55"/>
  <c r="E53" i="55"/>
  <c r="M52" i="55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G85" i="63" l="1"/>
  <c r="G68" i="63"/>
  <c r="G47" i="63"/>
  <c r="M95" i="63"/>
  <c r="L96" i="63"/>
  <c r="L101" i="63"/>
  <c r="M101" i="63" s="1"/>
  <c r="G101" i="63" s="1"/>
  <c r="M69" i="63"/>
  <c r="L70" i="63"/>
  <c r="G83" i="61"/>
  <c r="G65" i="61"/>
  <c r="G37" i="61"/>
  <c r="F69" i="63"/>
  <c r="E70" i="63"/>
  <c r="E96" i="63"/>
  <c r="E101" i="63"/>
  <c r="F101" i="63" s="1"/>
  <c r="F95" i="63"/>
  <c r="F92" i="61"/>
  <c r="E93" i="61"/>
  <c r="M92" i="61"/>
  <c r="L93" i="61"/>
  <c r="M66" i="61"/>
  <c r="L67" i="61"/>
  <c r="F66" i="61"/>
  <c r="E67" i="61"/>
  <c r="F41" i="53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G95" i="63" l="1"/>
  <c r="G89" i="63"/>
  <c r="G69" i="63"/>
  <c r="G52" i="63"/>
  <c r="L71" i="63"/>
  <c r="M70" i="63"/>
  <c r="L102" i="63"/>
  <c r="M102" i="63" s="1"/>
  <c r="M96" i="63"/>
  <c r="L97" i="63"/>
  <c r="G66" i="61"/>
  <c r="G38" i="61"/>
  <c r="G92" i="61"/>
  <c r="G84" i="61"/>
  <c r="E97" i="63"/>
  <c r="F96" i="63"/>
  <c r="E102" i="63"/>
  <c r="F102" i="63" s="1"/>
  <c r="F70" i="63"/>
  <c r="E71" i="63"/>
  <c r="F67" i="61"/>
  <c r="E68" i="61"/>
  <c r="L68" i="61"/>
  <c r="M67" i="61"/>
  <c r="M93" i="61"/>
  <c r="L94" i="61"/>
  <c r="L99" i="61"/>
  <c r="E99" i="61"/>
  <c r="F93" i="61"/>
  <c r="E94" i="61"/>
  <c r="E43" i="53"/>
  <c r="F42" i="53"/>
  <c r="F80" i="55"/>
  <c r="E81" i="55"/>
  <c r="L55" i="55"/>
  <c r="M54" i="55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70" i="63" l="1"/>
  <c r="G54" i="63"/>
  <c r="G96" i="63"/>
  <c r="G90" i="63"/>
  <c r="M97" i="63"/>
  <c r="L98" i="63"/>
  <c r="L103" i="63"/>
  <c r="M103" i="63" s="1"/>
  <c r="M71" i="63"/>
  <c r="L72" i="63"/>
  <c r="G93" i="61"/>
  <c r="G86" i="61"/>
  <c r="G67" i="61"/>
  <c r="G39" i="61"/>
  <c r="E72" i="63"/>
  <c r="F71" i="63"/>
  <c r="F97" i="63"/>
  <c r="E98" i="63"/>
  <c r="E103" i="63"/>
  <c r="F103" i="63" s="1"/>
  <c r="G54" i="55"/>
  <c r="G20" i="55"/>
  <c r="L105" i="61"/>
  <c r="M105" i="61" s="1"/>
  <c r="M99" i="61"/>
  <c r="G99" i="61" s="1"/>
  <c r="L69" i="61"/>
  <c r="M68" i="61"/>
  <c r="L100" i="61"/>
  <c r="M100" i="61" s="1"/>
  <c r="M94" i="61"/>
  <c r="L95" i="61"/>
  <c r="E100" i="61"/>
  <c r="F100" i="61" s="1"/>
  <c r="E95" i="61"/>
  <c r="F94" i="61"/>
  <c r="F68" i="61"/>
  <c r="E69" i="61"/>
  <c r="E105" i="61"/>
  <c r="F105" i="61" s="1"/>
  <c r="F99" i="61"/>
  <c r="F43" i="53"/>
  <c r="E44" i="53"/>
  <c r="M55" i="55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G103" i="63" l="1"/>
  <c r="G100" i="63"/>
  <c r="G97" i="63"/>
  <c r="G91" i="63"/>
  <c r="G71" i="63"/>
  <c r="G56" i="63"/>
  <c r="M72" i="63"/>
  <c r="L73" i="63"/>
  <c r="M98" i="63"/>
  <c r="L104" i="63"/>
  <c r="M104" i="63" s="1"/>
  <c r="G89" i="61"/>
  <c r="G100" i="61"/>
  <c r="G68" i="61"/>
  <c r="G43" i="61"/>
  <c r="E104" i="63"/>
  <c r="F104" i="63" s="1"/>
  <c r="F98" i="63"/>
  <c r="E73" i="63"/>
  <c r="F72" i="63"/>
  <c r="G24" i="55"/>
  <c r="L101" i="61"/>
  <c r="M101" i="61" s="1"/>
  <c r="G101" i="61" s="1"/>
  <c r="M95" i="61"/>
  <c r="L96" i="61"/>
  <c r="F69" i="61"/>
  <c r="E70" i="61"/>
  <c r="M69" i="61"/>
  <c r="L70" i="61"/>
  <c r="E96" i="61"/>
  <c r="E101" i="61"/>
  <c r="F101" i="61" s="1"/>
  <c r="F95" i="61"/>
  <c r="F44" i="53"/>
  <c r="E45" i="53"/>
  <c r="L83" i="55"/>
  <c r="M82" i="55"/>
  <c r="G82" i="55" s="1"/>
  <c r="E83" i="55"/>
  <c r="F82" i="55"/>
  <c r="F56" i="55"/>
  <c r="E57" i="55"/>
  <c r="M56" i="55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4" i="38"/>
  <c r="AO124" i="38" s="1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6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8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1" i="38" s="1"/>
  <c r="Z119" i="35"/>
  <c r="Z118" i="35"/>
  <c r="Z117" i="35"/>
  <c r="Z116" i="35"/>
  <c r="Z115" i="35"/>
  <c r="Z116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6" i="38" s="1"/>
  <c r="Y111" i="35"/>
  <c r="Y110" i="35"/>
  <c r="Y109" i="35"/>
  <c r="Y108" i="35"/>
  <c r="Y107" i="35"/>
  <c r="W122" i="35"/>
  <c r="W123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6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7" i="38" s="1"/>
  <c r="T115" i="35"/>
  <c r="T116" i="38" s="1"/>
  <c r="T111" i="35"/>
  <c r="T110" i="35"/>
  <c r="T109" i="35"/>
  <c r="T108" i="35"/>
  <c r="T107" i="35"/>
  <c r="S122" i="35"/>
  <c r="S121" i="35"/>
  <c r="S122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2" i="38" s="1"/>
  <c r="AB122" i="38" s="1"/>
  <c r="N122" i="35"/>
  <c r="N123" i="38" s="1"/>
  <c r="AB123" i="38" s="1"/>
  <c r="N115" i="35"/>
  <c r="N108" i="35"/>
  <c r="N109" i="35"/>
  <c r="N110" i="35"/>
  <c r="N111" i="35"/>
  <c r="N107" i="35"/>
  <c r="N108" i="38" s="1"/>
  <c r="AB108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3" i="38"/>
  <c r="AM122" i="38"/>
  <c r="AM121" i="38"/>
  <c r="AM120" i="38"/>
  <c r="AM119" i="38"/>
  <c r="AM118" i="38"/>
  <c r="AM117" i="38"/>
  <c r="AM112" i="38"/>
  <c r="AM111" i="38"/>
  <c r="AM110" i="38"/>
  <c r="AM109" i="38"/>
  <c r="AM108" i="38"/>
  <c r="AJ123" i="38"/>
  <c r="AJ122" i="38"/>
  <c r="AJ121" i="38"/>
  <c r="AJ120" i="38"/>
  <c r="AJ119" i="38"/>
  <c r="AJ118" i="38"/>
  <c r="AJ117" i="38"/>
  <c r="AJ112" i="38"/>
  <c r="AJ111" i="38"/>
  <c r="AJ110" i="38"/>
  <c r="AJ109" i="38"/>
  <c r="AJ108" i="38"/>
  <c r="AI123" i="38"/>
  <c r="AI122" i="38"/>
  <c r="AI121" i="38"/>
  <c r="AI120" i="38"/>
  <c r="AI119" i="38"/>
  <c r="AI118" i="38"/>
  <c r="AI117" i="38"/>
  <c r="AI112" i="38"/>
  <c r="AI111" i="38"/>
  <c r="AI110" i="38"/>
  <c r="AI109" i="38"/>
  <c r="AI108" i="38"/>
  <c r="AH123" i="38"/>
  <c r="AH122" i="38"/>
  <c r="AH121" i="38"/>
  <c r="AH120" i="38"/>
  <c r="AH119" i="38"/>
  <c r="AH117" i="38"/>
  <c r="AH116" i="38"/>
  <c r="AH112" i="38"/>
  <c r="AH111" i="38"/>
  <c r="AH110" i="38"/>
  <c r="AH109" i="38"/>
  <c r="AG123" i="38"/>
  <c r="AG122" i="38"/>
  <c r="AG121" i="38"/>
  <c r="AG120" i="38"/>
  <c r="AG119" i="38"/>
  <c r="AG117" i="38"/>
  <c r="AG112" i="38"/>
  <c r="AG111" i="38"/>
  <c r="AG110" i="38"/>
  <c r="AG109" i="38"/>
  <c r="AG108" i="38"/>
  <c r="AE123" i="38"/>
  <c r="AE122" i="38"/>
  <c r="AE121" i="38"/>
  <c r="AE120" i="38"/>
  <c r="AE119" i="38"/>
  <c r="AE118" i="38"/>
  <c r="AE117" i="38"/>
  <c r="AE116" i="38"/>
  <c r="AE112" i="38"/>
  <c r="AE111" i="38"/>
  <c r="AE110" i="38"/>
  <c r="AE109" i="38"/>
  <c r="AE108" i="38"/>
  <c r="Z123" i="38"/>
  <c r="Z122" i="38"/>
  <c r="Z120" i="38"/>
  <c r="Z119" i="38"/>
  <c r="Z118" i="38"/>
  <c r="Z117" i="38"/>
  <c r="Z112" i="38"/>
  <c r="Z111" i="38"/>
  <c r="Z110" i="38"/>
  <c r="Z109" i="38"/>
  <c r="Y123" i="38"/>
  <c r="Y122" i="38"/>
  <c r="AA122" i="38" s="1"/>
  <c r="AF122" i="38" s="1"/>
  <c r="Y121" i="38"/>
  <c r="Y120" i="38"/>
  <c r="AA120" i="38" s="1"/>
  <c r="AF120" i="38" s="1"/>
  <c r="Y119" i="38"/>
  <c r="Y118" i="38"/>
  <c r="Y117" i="38"/>
  <c r="Y112" i="38"/>
  <c r="Y111" i="38"/>
  <c r="Y110" i="38"/>
  <c r="Y109" i="38"/>
  <c r="Y108" i="38"/>
  <c r="W122" i="38"/>
  <c r="W121" i="38"/>
  <c r="W120" i="38"/>
  <c r="W119" i="38"/>
  <c r="W118" i="38"/>
  <c r="W117" i="38"/>
  <c r="W112" i="38"/>
  <c r="W111" i="38"/>
  <c r="W110" i="38"/>
  <c r="W109" i="38"/>
  <c r="W108" i="38"/>
  <c r="V123" i="38"/>
  <c r="V122" i="38"/>
  <c r="V121" i="38"/>
  <c r="V120" i="38"/>
  <c r="V119" i="38"/>
  <c r="V118" i="38"/>
  <c r="V117" i="38"/>
  <c r="V112" i="38"/>
  <c r="V111" i="38"/>
  <c r="V110" i="38"/>
  <c r="V109" i="38"/>
  <c r="V108" i="38"/>
  <c r="T123" i="38"/>
  <c r="U123" i="38" s="1"/>
  <c r="AD123" i="38" s="1"/>
  <c r="T122" i="38"/>
  <c r="T121" i="38"/>
  <c r="T120" i="38"/>
  <c r="T119" i="38"/>
  <c r="T118" i="38"/>
  <c r="T112" i="38"/>
  <c r="T111" i="38"/>
  <c r="T110" i="38"/>
  <c r="T109" i="38"/>
  <c r="T108" i="38"/>
  <c r="S123" i="38"/>
  <c r="AU123" i="38" s="1"/>
  <c r="S121" i="38"/>
  <c r="S120" i="38"/>
  <c r="S119" i="38"/>
  <c r="AU119" i="38" s="1"/>
  <c r="S118" i="38"/>
  <c r="AU118" i="38" s="1"/>
  <c r="S117" i="38"/>
  <c r="AU117" i="38" s="1"/>
  <c r="S112" i="38"/>
  <c r="U112" i="38" s="1"/>
  <c r="AS112" i="38" s="1"/>
  <c r="S111" i="38"/>
  <c r="U111" i="38" s="1"/>
  <c r="AS111" i="38" s="1"/>
  <c r="S110" i="38"/>
  <c r="S109" i="38"/>
  <c r="S108" i="38"/>
  <c r="AT108" i="38" s="1"/>
  <c r="N117" i="38"/>
  <c r="N118" i="38"/>
  <c r="AB118" i="38" s="1"/>
  <c r="N119" i="38"/>
  <c r="AB119" i="38" s="1"/>
  <c r="N120" i="38"/>
  <c r="N121" i="38"/>
  <c r="N116" i="38"/>
  <c r="N109" i="38"/>
  <c r="N110" i="38"/>
  <c r="N111" i="38"/>
  <c r="N112" i="38"/>
  <c r="AB112" i="38" s="1"/>
  <c r="R127" i="38"/>
  <c r="Q127" i="38"/>
  <c r="P127" i="38"/>
  <c r="O127" i="38"/>
  <c r="M127" i="38"/>
  <c r="K127" i="38"/>
  <c r="AK125" i="38"/>
  <c r="J125" i="38"/>
  <c r="I125" i="38"/>
  <c r="H125" i="38"/>
  <c r="G125" i="38"/>
  <c r="F125" i="38"/>
  <c r="AR123" i="38"/>
  <c r="E123" i="38"/>
  <c r="L123" i="38" s="1"/>
  <c r="AR122" i="38"/>
  <c r="E122" i="38"/>
  <c r="L122" i="38" s="1"/>
  <c r="AU121" i="38"/>
  <c r="AT121" i="38"/>
  <c r="AR121" i="38"/>
  <c r="AB121" i="38"/>
  <c r="X121" i="38"/>
  <c r="E121" i="38"/>
  <c r="L121" i="38" s="1"/>
  <c r="AU120" i="38"/>
  <c r="AT120" i="38"/>
  <c r="AR120" i="38"/>
  <c r="AB120" i="38"/>
  <c r="E120" i="38"/>
  <c r="L120" i="38" s="1"/>
  <c r="AR119" i="38"/>
  <c r="AA119" i="38"/>
  <c r="AF119" i="38" s="1"/>
  <c r="E119" i="38"/>
  <c r="L119" i="38" s="1"/>
  <c r="AR118" i="38"/>
  <c r="U118" i="38"/>
  <c r="AS118" i="38" s="1"/>
  <c r="E118" i="38"/>
  <c r="L118" i="38" s="1"/>
  <c r="AR117" i="38"/>
  <c r="AB117" i="38"/>
  <c r="X117" i="38"/>
  <c r="E117" i="38"/>
  <c r="L117" i="38" s="1"/>
  <c r="AR116" i="38"/>
  <c r="AR124" i="38" s="1"/>
  <c r="E116" i="38"/>
  <c r="L116" i="38" s="1"/>
  <c r="AK114" i="38"/>
  <c r="J114" i="38"/>
  <c r="I114" i="38"/>
  <c r="H114" i="38"/>
  <c r="G114" i="38"/>
  <c r="F114" i="38"/>
  <c r="AR113" i="38"/>
  <c r="AR112" i="38"/>
  <c r="AA112" i="38"/>
  <c r="AF112" i="38" s="1"/>
  <c r="X112" i="38"/>
  <c r="L112" i="38"/>
  <c r="E112" i="38"/>
  <c r="AR111" i="38"/>
  <c r="AB111" i="38"/>
  <c r="AA111" i="38"/>
  <c r="AF111" i="38" s="1"/>
  <c r="L111" i="38"/>
  <c r="E111" i="38"/>
  <c r="AU110" i="38"/>
  <c r="AT110" i="38"/>
  <c r="AR110" i="38"/>
  <c r="AA110" i="38"/>
  <c r="AF110" i="38" s="1"/>
  <c r="X110" i="38"/>
  <c r="L110" i="38"/>
  <c r="E110" i="38"/>
  <c r="AR109" i="38"/>
  <c r="AB109" i="38"/>
  <c r="AA109" i="38"/>
  <c r="AF109" i="38" s="1"/>
  <c r="L109" i="38"/>
  <c r="E109" i="38"/>
  <c r="AU108" i="38"/>
  <c r="AR108" i="38"/>
  <c r="L108" i="38"/>
  <c r="L114" i="38" s="1"/>
  <c r="E108" i="38"/>
  <c r="E114" i="38" s="1"/>
  <c r="AK127" i="38"/>
  <c r="J127" i="38"/>
  <c r="I127" i="38"/>
  <c r="H127" i="38"/>
  <c r="G127" i="38"/>
  <c r="F127" i="38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E99" i="38"/>
  <c r="L99" i="38" s="1"/>
  <c r="AR98" i="38"/>
  <c r="E98" i="38"/>
  <c r="L98" i="38" s="1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E91" i="38"/>
  <c r="L91" i="38" s="1"/>
  <c r="AR90" i="38"/>
  <c r="E90" i="38"/>
  <c r="L90" i="38" s="1"/>
  <c r="AR89" i="38"/>
  <c r="E89" i="38"/>
  <c r="L89" i="38" s="1"/>
  <c r="AR88" i="38"/>
  <c r="L88" i="38"/>
  <c r="E88" i="38"/>
  <c r="AR87" i="38"/>
  <c r="E87" i="38"/>
  <c r="L87" i="38" s="1"/>
  <c r="AR86" i="38"/>
  <c r="E86" i="38"/>
  <c r="L86" i="38" s="1"/>
  <c r="AR85" i="38"/>
  <c r="E85" i="38"/>
  <c r="L85" i="38" s="1"/>
  <c r="AR84" i="38"/>
  <c r="E84" i="38"/>
  <c r="L84" i="38" s="1"/>
  <c r="AR83" i="38"/>
  <c r="E83" i="38"/>
  <c r="L83" i="38" s="1"/>
  <c r="AR82" i="38"/>
  <c r="E82" i="38"/>
  <c r="L82" i="38" s="1"/>
  <c r="AR81" i="38"/>
  <c r="E81" i="38"/>
  <c r="L81" i="38" s="1"/>
  <c r="AR80" i="38"/>
  <c r="E80" i="38"/>
  <c r="L80" i="38" s="1"/>
  <c r="AR79" i="38"/>
  <c r="E79" i="38"/>
  <c r="L79" i="38" s="1"/>
  <c r="AR78" i="38"/>
  <c r="E78" i="38"/>
  <c r="L78" i="38" s="1"/>
  <c r="AR77" i="38"/>
  <c r="E77" i="38"/>
  <c r="L77" i="38" s="1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E72" i="38"/>
  <c r="L72" i="38" s="1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E64" i="38"/>
  <c r="L64" i="38" s="1"/>
  <c r="AR63" i="38"/>
  <c r="E63" i="38"/>
  <c r="L63" i="38" s="1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E56" i="38"/>
  <c r="L56" i="38" s="1"/>
  <c r="AR55" i="38"/>
  <c r="E55" i="38"/>
  <c r="L55" i="38" s="1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E48" i="38"/>
  <c r="L48" i="38" s="1"/>
  <c r="AR47" i="38"/>
  <c r="E47" i="38"/>
  <c r="L47" i="38" s="1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E41" i="38"/>
  <c r="L41" i="38" s="1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E22" i="38"/>
  <c r="L22" i="38" s="1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E14" i="38"/>
  <c r="L14" i="38" s="1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9" i="3"/>
  <c r="V39" i="3"/>
  <c r="AD39" i="3"/>
  <c r="G72" i="63" l="1"/>
  <c r="G57" i="63"/>
  <c r="G104" i="63"/>
  <c r="G102" i="63"/>
  <c r="G98" i="63"/>
  <c r="G94" i="63"/>
  <c r="M73" i="63"/>
  <c r="L74" i="63"/>
  <c r="AE125" i="38"/>
  <c r="AT117" i="38"/>
  <c r="X111" i="38"/>
  <c r="AR105" i="38"/>
  <c r="G91" i="61"/>
  <c r="G69" i="61"/>
  <c r="G47" i="61"/>
  <c r="F73" i="63"/>
  <c r="E74" i="63"/>
  <c r="G26" i="55"/>
  <c r="F96" i="61"/>
  <c r="E97" i="61"/>
  <c r="E102" i="61"/>
  <c r="F102" i="61" s="1"/>
  <c r="M70" i="61"/>
  <c r="L71" i="61"/>
  <c r="E71" i="61"/>
  <c r="F70" i="61"/>
  <c r="L102" i="61"/>
  <c r="M102" i="61" s="1"/>
  <c r="G102" i="61" s="1"/>
  <c r="M96" i="61"/>
  <c r="L97" i="61"/>
  <c r="G45" i="53"/>
  <c r="G42" i="53"/>
  <c r="F45" i="53"/>
  <c r="E46" i="53"/>
  <c r="M57" i="55"/>
  <c r="L58" i="55"/>
  <c r="E58" i="55"/>
  <c r="F57" i="55"/>
  <c r="F83" i="55"/>
  <c r="E84" i="55"/>
  <c r="L84" i="55"/>
  <c r="M83" i="55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3" i="38"/>
  <c r="T113" i="35"/>
  <c r="U120" i="38"/>
  <c r="AS120" i="38" s="1"/>
  <c r="U117" i="38"/>
  <c r="AS117" i="38" s="1"/>
  <c r="X123" i="38"/>
  <c r="AA121" i="38"/>
  <c r="AF121" i="38" s="1"/>
  <c r="AE124" i="35"/>
  <c r="AE113" i="35"/>
  <c r="S113" i="35"/>
  <c r="Z113" i="35"/>
  <c r="U110" i="38"/>
  <c r="Y113" i="35"/>
  <c r="AT122" i="38"/>
  <c r="U122" i="38"/>
  <c r="AS122" i="38" s="1"/>
  <c r="AU122" i="38"/>
  <c r="U121" i="38"/>
  <c r="AD121" i="38" s="1"/>
  <c r="T124" i="35"/>
  <c r="W124" i="35"/>
  <c r="X122" i="38"/>
  <c r="AA117" i="38"/>
  <c r="AF117" i="38" s="1"/>
  <c r="S124" i="35"/>
  <c r="Z125" i="38"/>
  <c r="AG124" i="35"/>
  <c r="V113" i="35"/>
  <c r="Z108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6" i="38"/>
  <c r="AM125" i="38" s="1"/>
  <c r="AM114" i="38"/>
  <c r="AK126" i="35"/>
  <c r="AJ116" i="38"/>
  <c r="AJ125" i="38" s="1"/>
  <c r="AU109" i="38"/>
  <c r="AI114" i="38"/>
  <c r="AH118" i="38"/>
  <c r="AH125" i="38" s="1"/>
  <c r="AH108" i="38"/>
  <c r="AG116" i="38"/>
  <c r="AG125" i="38" s="1"/>
  <c r="AG114" i="38"/>
  <c r="Y125" i="38"/>
  <c r="AA116" i="38"/>
  <c r="Y114" i="38"/>
  <c r="W116" i="38"/>
  <c r="X116" i="38" s="1"/>
  <c r="X120" i="38"/>
  <c r="W114" i="38"/>
  <c r="W126" i="35"/>
  <c r="X119" i="38"/>
  <c r="V124" i="35"/>
  <c r="V126" i="35" s="1"/>
  <c r="X109" i="38"/>
  <c r="AS110" i="38"/>
  <c r="AD110" i="38"/>
  <c r="T114" i="38"/>
  <c r="AT112" i="38"/>
  <c r="S116" i="38"/>
  <c r="S126" i="35"/>
  <c r="AU112" i="38"/>
  <c r="AT123" i="38"/>
  <c r="N125" i="38"/>
  <c r="AB116" i="38"/>
  <c r="N114" i="38"/>
  <c r="AJ114" i="38"/>
  <c r="AI127" i="38"/>
  <c r="AI125" i="38"/>
  <c r="AH114" i="38"/>
  <c r="AE114" i="38"/>
  <c r="W125" i="38"/>
  <c r="V125" i="38"/>
  <c r="V114" i="38"/>
  <c r="T125" i="38"/>
  <c r="AT111" i="38"/>
  <c r="AU111" i="38"/>
  <c r="AT118" i="38"/>
  <c r="AA118" i="38"/>
  <c r="X118" i="38"/>
  <c r="X108" i="38"/>
  <c r="AD120" i="38"/>
  <c r="AQ123" i="38"/>
  <c r="AW123" i="38" s="1"/>
  <c r="AQ120" i="38"/>
  <c r="AW120" i="38" s="1"/>
  <c r="AQ121" i="38"/>
  <c r="AW121" i="38" s="1"/>
  <c r="AD112" i="38"/>
  <c r="AS123" i="38"/>
  <c r="U109" i="38"/>
  <c r="AQ109" i="38" s="1"/>
  <c r="AT109" i="38"/>
  <c r="AT113" i="38" s="1"/>
  <c r="U119" i="38"/>
  <c r="AS121" i="38"/>
  <c r="AD118" i="38"/>
  <c r="AT119" i="38"/>
  <c r="AQ118" i="38"/>
  <c r="AW118" i="38" s="1"/>
  <c r="S114" i="38"/>
  <c r="AD111" i="38"/>
  <c r="U108" i="38"/>
  <c r="AQ108" i="38" s="1"/>
  <c r="AB125" i="38"/>
  <c r="AB110" i="38"/>
  <c r="AB114" i="38" s="1"/>
  <c r="L3" i="38"/>
  <c r="L125" i="38"/>
  <c r="E125" i="38"/>
  <c r="AF116" i="38"/>
  <c r="AF118" i="38"/>
  <c r="AF123" i="38"/>
  <c r="AQ110" i="38"/>
  <c r="AW110" i="38" s="1"/>
  <c r="AQ111" i="38"/>
  <c r="AW111" i="38" s="1"/>
  <c r="AQ112" i="38"/>
  <c r="AW112" i="38" s="1"/>
  <c r="Z15" i="3"/>
  <c r="Z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Z12" i="3"/>
  <c r="X12" i="3"/>
  <c r="W12" i="3"/>
  <c r="S12" i="3"/>
  <c r="G12" i="3"/>
  <c r="Z11" i="3"/>
  <c r="X11" i="3"/>
  <c r="W11" i="3"/>
  <c r="S11" i="3"/>
  <c r="G11" i="3"/>
  <c r="AI6" i="34"/>
  <c r="G73" i="63" l="1"/>
  <c r="G58" i="63"/>
  <c r="L75" i="63"/>
  <c r="M75" i="63" s="1"/>
  <c r="M74" i="63"/>
  <c r="AD117" i="38"/>
  <c r="AH127" i="38"/>
  <c r="AQ117" i="38"/>
  <c r="AW117" i="38" s="1"/>
  <c r="G94" i="61"/>
  <c r="G70" i="61"/>
  <c r="G52" i="61"/>
  <c r="F74" i="63"/>
  <c r="E75" i="63"/>
  <c r="F75" i="63" s="1"/>
  <c r="G30" i="55"/>
  <c r="E72" i="61"/>
  <c r="F71" i="61"/>
  <c r="M71" i="61"/>
  <c r="L72" i="61"/>
  <c r="L103" i="61"/>
  <c r="M103" i="61" s="1"/>
  <c r="G103" i="61" s="1"/>
  <c r="M97" i="61"/>
  <c r="L98" i="61"/>
  <c r="F97" i="61"/>
  <c r="E98" i="61"/>
  <c r="E103" i="61"/>
  <c r="F103" i="61" s="1"/>
  <c r="F46" i="53"/>
  <c r="E47" i="53"/>
  <c r="M84" i="55"/>
  <c r="G84" i="55" s="1"/>
  <c r="L85" i="55"/>
  <c r="F84" i="55"/>
  <c r="E85" i="55"/>
  <c r="E59" i="55"/>
  <c r="F58" i="55"/>
  <c r="L59" i="55"/>
  <c r="M58" i="55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6" i="38"/>
  <c r="AT124" i="38" s="1"/>
  <c r="AD122" i="38"/>
  <c r="AQ122" i="38"/>
  <c r="AW122" i="38" s="1"/>
  <c r="S125" i="38"/>
  <c r="AU125" i="38" s="1"/>
  <c r="T126" i="35"/>
  <c r="AA125" i="38"/>
  <c r="AF125" i="38" s="1"/>
  <c r="Z114" i="38"/>
  <c r="AA108" i="38"/>
  <c r="AJ127" i="38"/>
  <c r="AU114" i="38"/>
  <c r="X125" i="38"/>
  <c r="U114" i="38"/>
  <c r="AU116" i="38"/>
  <c r="AU124" i="38" s="1"/>
  <c r="U116" i="38"/>
  <c r="AU113" i="38"/>
  <c r="X114" i="38"/>
  <c r="AD119" i="38"/>
  <c r="AQ119" i="38"/>
  <c r="AW119" i="38" s="1"/>
  <c r="AS119" i="38"/>
  <c r="AS109" i="38"/>
  <c r="AD109" i="38"/>
  <c r="AS108" i="38"/>
  <c r="AD108" i="38"/>
  <c r="U125" i="38"/>
  <c r="L127" i="38"/>
  <c r="E127" i="38"/>
  <c r="AQ113" i="38"/>
  <c r="AW108" i="38"/>
  <c r="G74" i="63" l="1"/>
  <c r="G60" i="63"/>
  <c r="G75" i="63"/>
  <c r="G61" i="63"/>
  <c r="G97" i="61"/>
  <c r="G95" i="61"/>
  <c r="G71" i="61"/>
  <c r="G54" i="61"/>
  <c r="G31" i="55"/>
  <c r="L104" i="61"/>
  <c r="M104" i="61" s="1"/>
  <c r="M98" i="61"/>
  <c r="M72" i="61"/>
  <c r="L73" i="61"/>
  <c r="E104" i="61"/>
  <c r="F104" i="61" s="1"/>
  <c r="F98" i="61"/>
  <c r="E73" i="61"/>
  <c r="F72" i="61"/>
  <c r="E48" i="53"/>
  <c r="F47" i="53"/>
  <c r="L60" i="55"/>
  <c r="M59" i="55"/>
  <c r="F59" i="55"/>
  <c r="E60" i="55"/>
  <c r="F85" i="55"/>
  <c r="E86" i="55"/>
  <c r="L86" i="55"/>
  <c r="M85" i="55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4" i="38"/>
  <c r="AF114" i="38" s="1"/>
  <c r="AF108" i="38"/>
  <c r="AS116" i="38"/>
  <c r="AS124" i="38" s="1"/>
  <c r="AD116" i="38"/>
  <c r="AQ116" i="38"/>
  <c r="AS113" i="38"/>
  <c r="AD114" i="38"/>
  <c r="G72" i="61" l="1"/>
  <c r="G56" i="61"/>
  <c r="G98" i="61"/>
  <c r="G96" i="61"/>
  <c r="G104" i="61"/>
  <c r="G41" i="61"/>
  <c r="G59" i="55"/>
  <c r="G32" i="55"/>
  <c r="F73" i="61"/>
  <c r="E74" i="61"/>
  <c r="M73" i="61"/>
  <c r="L74" i="61"/>
  <c r="E49" i="53"/>
  <c r="F48" i="53"/>
  <c r="L87" i="55"/>
  <c r="M86" i="55"/>
  <c r="E87" i="55"/>
  <c r="F86" i="55"/>
  <c r="F60" i="55"/>
  <c r="E61" i="55"/>
  <c r="M60" i="55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5" i="38"/>
  <c r="AW116" i="38"/>
  <c r="AW124" i="38" s="1"/>
  <c r="AQ124" i="38"/>
  <c r="G73" i="61" l="1"/>
  <c r="G57" i="61"/>
  <c r="G33" i="55"/>
  <c r="G77" i="55"/>
  <c r="M74" i="61"/>
  <c r="L75" i="61"/>
  <c r="M75" i="61" s="1"/>
  <c r="F74" i="61"/>
  <c r="E75" i="61"/>
  <c r="F75" i="61" s="1"/>
  <c r="E50" i="53"/>
  <c r="F49" i="53"/>
  <c r="E76" i="53"/>
  <c r="L62" i="55"/>
  <c r="M61" i="55"/>
  <c r="F61" i="55"/>
  <c r="E62" i="55"/>
  <c r="E88" i="55"/>
  <c r="F87" i="55"/>
  <c r="M87" i="55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75" i="61" l="1"/>
  <c r="G59" i="61"/>
  <c r="G74" i="61"/>
  <c r="G58" i="61"/>
  <c r="G61" i="55"/>
  <c r="G35" i="55"/>
  <c r="G83" i="55"/>
  <c r="F76" i="53"/>
  <c r="E77" i="53"/>
  <c r="E51" i="53"/>
  <c r="F50" i="53"/>
  <c r="M88" i="55"/>
  <c r="L89" i="55"/>
  <c r="F88" i="55"/>
  <c r="E89" i="55"/>
  <c r="E63" i="55"/>
  <c r="F62" i="55"/>
  <c r="L63" i="55"/>
  <c r="M62" i="55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62" i="55" l="1"/>
  <c r="G36" i="55"/>
  <c r="G88" i="55"/>
  <c r="G85" i="55"/>
  <c r="E52" i="53"/>
  <c r="F51" i="53"/>
  <c r="E78" i="53"/>
  <c r="F77" i="53"/>
  <c r="M63" i="55"/>
  <c r="L64" i="55"/>
  <c r="F63" i="55"/>
  <c r="E64" i="55"/>
  <c r="E90" i="55"/>
  <c r="F89" i="55"/>
  <c r="M89" i="55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86" i="55" l="1"/>
  <c r="G37" i="55"/>
  <c r="F78" i="53"/>
  <c r="E79" i="53"/>
  <c r="F52" i="53"/>
  <c r="E53" i="53"/>
  <c r="L91" i="55"/>
  <c r="M90" i="55"/>
  <c r="E91" i="55"/>
  <c r="F90" i="55"/>
  <c r="F64" i="55"/>
  <c r="E65" i="55"/>
  <c r="M64" i="55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27" i="38"/>
  <c r="AB3" i="38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AB106" i="38" l="1"/>
  <c r="AB127" i="38" s="1"/>
  <c r="G64" i="55"/>
  <c r="G38" i="55"/>
  <c r="G90" i="55"/>
  <c r="G87" i="55"/>
  <c r="G53" i="53"/>
  <c r="G20" i="53"/>
  <c r="F53" i="53"/>
  <c r="E54" i="53"/>
  <c r="F79" i="53"/>
  <c r="E80" i="53"/>
  <c r="M65" i="55"/>
  <c r="L66" i="55"/>
  <c r="E66" i="55"/>
  <c r="F65" i="55"/>
  <c r="F91" i="55"/>
  <c r="E92" i="55"/>
  <c r="L92" i="55"/>
  <c r="M91" i="55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2" i="3"/>
  <c r="AD42" i="3"/>
  <c r="V42" i="3"/>
  <c r="Z42" i="3"/>
  <c r="Q42" i="3"/>
  <c r="X42" i="3"/>
  <c r="R42" i="3"/>
  <c r="U42" i="3"/>
  <c r="W42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65" i="55" l="1"/>
  <c r="G39" i="55"/>
  <c r="G89" i="55"/>
  <c r="G54" i="53"/>
  <c r="G24" i="53"/>
  <c r="E81" i="53"/>
  <c r="F80" i="53"/>
  <c r="F54" i="53"/>
  <c r="E55" i="53"/>
  <c r="M92" i="55"/>
  <c r="L93" i="55"/>
  <c r="F92" i="55"/>
  <c r="E93" i="55"/>
  <c r="E67" i="55"/>
  <c r="F66" i="55"/>
  <c r="L67" i="55"/>
  <c r="M66" i="55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2" i="55" l="1"/>
  <c r="G91" i="55"/>
  <c r="G66" i="55"/>
  <c r="G41" i="55"/>
  <c r="G55" i="53"/>
  <c r="G25" i="53"/>
  <c r="E56" i="53"/>
  <c r="F55" i="53"/>
  <c r="E82" i="53"/>
  <c r="F81" i="53"/>
  <c r="L68" i="55"/>
  <c r="M67" i="55"/>
  <c r="F67" i="55"/>
  <c r="E68" i="55"/>
  <c r="E99" i="55"/>
  <c r="F93" i="55"/>
  <c r="E94" i="55"/>
  <c r="L99" i="55"/>
  <c r="L94" i="55"/>
  <c r="M93" i="55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67" i="55" l="1"/>
  <c r="G42" i="55"/>
  <c r="M99" i="55"/>
  <c r="G99" i="55" s="1"/>
  <c r="L105" i="55"/>
  <c r="M105" i="55" s="1"/>
  <c r="F99" i="55"/>
  <c r="E105" i="55"/>
  <c r="F105" i="55" s="1"/>
  <c r="G26" i="53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M68" i="55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68" i="55" l="1"/>
  <c r="G47" i="55"/>
  <c r="G93" i="55"/>
  <c r="G30" i="53"/>
  <c r="E58" i="53"/>
  <c r="F57" i="53"/>
  <c r="F83" i="53"/>
  <c r="E84" i="53"/>
  <c r="L101" i="55"/>
  <c r="M101" i="55" s="1"/>
  <c r="G101" i="55" s="1"/>
  <c r="M95" i="55"/>
  <c r="L96" i="55"/>
  <c r="F69" i="55"/>
  <c r="E70" i="55"/>
  <c r="L70" i="55"/>
  <c r="M69" i="55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9" i="55" l="1"/>
  <c r="G52" i="55"/>
  <c r="G94" i="55"/>
  <c r="G31" i="53"/>
  <c r="E85" i="53"/>
  <c r="F84" i="53"/>
  <c r="F58" i="53"/>
  <c r="E59" i="53"/>
  <c r="F96" i="55"/>
  <c r="E102" i="55"/>
  <c r="F102" i="55" s="1"/>
  <c r="E97" i="55"/>
  <c r="L71" i="55"/>
  <c r="M70" i="55"/>
  <c r="E71" i="55"/>
  <c r="F70" i="55"/>
  <c r="L102" i="55"/>
  <c r="M102" i="55" s="1"/>
  <c r="G102" i="55" s="1"/>
  <c r="M96" i="55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70" i="55" l="1"/>
  <c r="G55" i="55"/>
  <c r="G95" i="55"/>
  <c r="G32" i="53"/>
  <c r="F59" i="53"/>
  <c r="E60" i="53"/>
  <c r="F85" i="53"/>
  <c r="E86" i="53"/>
  <c r="E72" i="55"/>
  <c r="F71" i="55"/>
  <c r="M71" i="55"/>
  <c r="L72" i="55"/>
  <c r="E103" i="55"/>
  <c r="F103" i="55" s="1"/>
  <c r="E98" i="55"/>
  <c r="F97" i="55"/>
  <c r="L103" i="55"/>
  <c r="M103" i="55" s="1"/>
  <c r="G103" i="55" s="1"/>
  <c r="M97" i="55"/>
  <c r="G96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71" i="55" l="1"/>
  <c r="G56" i="55"/>
  <c r="G33" i="53"/>
  <c r="F86" i="53"/>
  <c r="E87" i="53"/>
  <c r="F60" i="53"/>
  <c r="E61" i="53"/>
  <c r="E104" i="55"/>
  <c r="F104" i="55" s="1"/>
  <c r="F98" i="55"/>
  <c r="M72" i="55"/>
  <c r="L73" i="55"/>
  <c r="L104" i="55"/>
  <c r="M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3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2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1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20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9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8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7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2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1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10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9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Z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9" i="3" s="1"/>
  <c r="AG105" i="33"/>
  <c r="Q9" i="3" s="1"/>
  <c r="AE105" i="33"/>
  <c r="R9" i="3" s="1"/>
  <c r="R39" i="3" s="1"/>
  <c r="Z105" i="33"/>
  <c r="N9" i="3" s="1"/>
  <c r="Y105" i="33"/>
  <c r="M9" i="3" s="1"/>
  <c r="W105" i="33"/>
  <c r="K9" i="3" s="1"/>
  <c r="V105" i="33"/>
  <c r="J9" i="3" s="1"/>
  <c r="J39" i="3" s="1"/>
  <c r="T105" i="33"/>
  <c r="I9" i="3" s="1"/>
  <c r="I39" i="3" s="1"/>
  <c r="S105" i="33"/>
  <c r="H9" i="3" s="1"/>
  <c r="N105" i="33"/>
  <c r="G9" i="3" s="1"/>
  <c r="G3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4" i="55" l="1"/>
  <c r="G40" i="55"/>
  <c r="G72" i="55"/>
  <c r="G57" i="55"/>
  <c r="G97" i="55"/>
  <c r="AZ103" i="35"/>
  <c r="G35" i="53"/>
  <c r="F61" i="53"/>
  <c r="E62" i="53"/>
  <c r="E88" i="53"/>
  <c r="F87" i="53"/>
  <c r="O12" i="3"/>
  <c r="E74" i="55"/>
  <c r="F73" i="55"/>
  <c r="M73" i="55"/>
  <c r="L74" i="55"/>
  <c r="Q39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9" i="3"/>
  <c r="AH12" i="3"/>
  <c r="K39" i="3"/>
  <c r="AK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6" i="38"/>
  <c r="AN124" i="35"/>
  <c r="AN108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9" i="3" s="1"/>
  <c r="L11" i="3"/>
  <c r="AE12" i="3"/>
  <c r="F12" i="3"/>
  <c r="Y126" i="34"/>
  <c r="M11" i="3"/>
  <c r="M39" i="3" s="1"/>
  <c r="Z126" i="34"/>
  <c r="N11" i="3"/>
  <c r="N39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Z9" i="3"/>
  <c r="Z39" i="3" s="1"/>
  <c r="L10" i="3"/>
  <c r="AI126" i="33"/>
  <c r="X9" i="3"/>
  <c r="X39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73" i="55" l="1"/>
  <c r="G58" i="55"/>
  <c r="G62" i="53"/>
  <c r="G36" i="53"/>
  <c r="G88" i="53"/>
  <c r="G77" i="53"/>
  <c r="E89" i="53"/>
  <c r="F88" i="53"/>
  <c r="F62" i="53"/>
  <c r="E63" i="53"/>
  <c r="M74" i="55"/>
  <c r="L75" i="55"/>
  <c r="M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H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0" i="3"/>
  <c r="AN126" i="35"/>
  <c r="AN125" i="38"/>
  <c r="AN114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K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Z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75" i="55" l="1"/>
  <c r="G63" i="55"/>
  <c r="G74" i="55"/>
  <c r="G60" i="55"/>
  <c r="G89" i="53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6" i="3"/>
  <c r="T36" i="3"/>
  <c r="AD36" i="3"/>
  <c r="W36" i="3"/>
  <c r="Z36" i="3"/>
  <c r="S36" i="3"/>
  <c r="X36" i="3"/>
  <c r="Q36" i="3"/>
  <c r="U36" i="3"/>
  <c r="R36" i="3"/>
  <c r="AD126" i="34"/>
  <c r="P11" i="3"/>
  <c r="P36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E11" i="3"/>
  <c r="AX104" i="34"/>
  <c r="AW104" i="34"/>
  <c r="AC124" i="35"/>
  <c r="AW104" i="33"/>
  <c r="AE10" i="3"/>
  <c r="F10" i="3"/>
  <c r="AE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D33" i="3"/>
  <c r="V33" i="3"/>
  <c r="T33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2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Z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Z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9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2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H7" i="3"/>
  <c r="AE7" i="3"/>
  <c r="Z6" i="3"/>
  <c r="Z33" i="3" s="1"/>
  <c r="S6" i="3"/>
  <c r="S33" i="3" s="1"/>
  <c r="AH9" i="3"/>
  <c r="AK9" i="3"/>
  <c r="AH11" i="3"/>
  <c r="AK11" i="3"/>
  <c r="AH15" i="3"/>
  <c r="AK15" i="3"/>
  <c r="Z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K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E15" i="3"/>
  <c r="F15" i="3"/>
  <c r="S39" i="3"/>
  <c r="AX30" i="31"/>
  <c r="O5" i="3"/>
  <c r="AH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K5" i="3" l="1"/>
  <c r="G96" i="46"/>
  <c r="G91" i="46"/>
  <c r="G70" i="46"/>
  <c r="G31" i="46"/>
  <c r="G59" i="45"/>
  <c r="G21" i="45"/>
  <c r="F5" i="3"/>
  <c r="AE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Z4" i="3"/>
  <c r="Z28" i="3" s="1"/>
  <c r="AK129" i="38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3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X28" i="3" l="1"/>
  <c r="AI129" i="38" s="1"/>
  <c r="G97" i="46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L43" i="37"/>
  <c r="M42" i="37"/>
  <c r="F42" i="36"/>
  <c r="E43" i="36"/>
  <c r="L44" i="36"/>
  <c r="M43" i="36"/>
  <c r="L30" i="32"/>
  <c r="M29" i="32"/>
  <c r="AZ126" i="31"/>
  <c r="AH121" i="30"/>
  <c r="W6" i="3"/>
  <c r="W33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3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28" i="3" l="1"/>
  <c r="N129" i="38" s="1"/>
  <c r="W28" i="3"/>
  <c r="AH129" i="38" s="1"/>
  <c r="G98" i="46"/>
  <c r="G95" i="46"/>
  <c r="G104" i="46"/>
  <c r="G52" i="46"/>
  <c r="G72" i="46"/>
  <c r="G33" i="46"/>
  <c r="G61" i="45"/>
  <c r="G23" i="45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3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3" i="3" s="1"/>
  <c r="N6" i="3"/>
  <c r="N33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3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3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3" i="3" s="1"/>
  <c r="AW40" i="30"/>
  <c r="AZ40" i="30"/>
  <c r="AX40" i="30"/>
  <c r="AD48" i="30"/>
  <c r="AQ48" i="30"/>
  <c r="AS48" i="30"/>
  <c r="R48" i="30"/>
  <c r="S121" i="30"/>
  <c r="AU121" i="30" s="1"/>
  <c r="H6" i="3"/>
  <c r="H33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K8" i="3"/>
  <c r="F8" i="3"/>
  <c r="AQ15" i="30"/>
  <c r="R15" i="30"/>
  <c r="AD15" i="30"/>
  <c r="AS15" i="30"/>
  <c r="AD23" i="30"/>
  <c r="AS23" i="30"/>
  <c r="R23" i="30"/>
  <c r="AQ23" i="30"/>
  <c r="AW23" i="30" s="1"/>
  <c r="AN119" i="30"/>
  <c r="AC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C7" i="3" s="1"/>
  <c r="AF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J7" i="3"/>
  <c r="AI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3" i="3" s="1"/>
  <c r="J33" i="3"/>
  <c r="O6" i="3"/>
  <c r="M33" i="3"/>
  <c r="N34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C6" i="3"/>
  <c r="AC33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3" i="3"/>
  <c r="R34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K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3" i="3" s="1"/>
  <c r="AD121" i="30"/>
  <c r="AH8" i="3"/>
  <c r="AF8" i="3"/>
  <c r="AE8" i="3"/>
  <c r="AZ18" i="30" l="1"/>
  <c r="U34" i="3"/>
  <c r="W34" i="3"/>
  <c r="X34" i="3"/>
  <c r="S34" i="3"/>
  <c r="Z34" i="3"/>
  <c r="P34" i="3"/>
  <c r="AD34" i="3"/>
  <c r="V34" i="3"/>
  <c r="Q34" i="3"/>
  <c r="T34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C34" i="3"/>
  <c r="AE6" i="3"/>
  <c r="AE33" i="3" s="1"/>
  <c r="AF6" i="3"/>
  <c r="AF33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I8" i="3"/>
  <c r="AJ8" i="3"/>
  <c r="AH6" i="3"/>
  <c r="AW3" i="30"/>
  <c r="AZ3" i="30"/>
  <c r="AX3" i="30"/>
  <c r="AO121" i="30"/>
  <c r="AZ100" i="30" l="1"/>
  <c r="AG33" i="3"/>
  <c r="AG34" i="3"/>
  <c r="AF34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G6" i="3"/>
  <c r="AZ121" i="30"/>
  <c r="AC121" i="30"/>
  <c r="AI6" i="3"/>
  <c r="AJ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K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H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K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C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C5" i="3" s="1"/>
  <c r="AF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I5" i="3"/>
  <c r="AJ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E4" i="3"/>
  <c r="AF4" i="3"/>
  <c r="AH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G4" i="3"/>
  <c r="G93" i="32"/>
  <c r="G90" i="32"/>
  <c r="M68" i="32"/>
  <c r="L69" i="32"/>
  <c r="L95" i="32"/>
  <c r="L101" i="32" s="1"/>
  <c r="M101" i="32" s="1"/>
  <c r="M94" i="32"/>
  <c r="AJ4" i="3"/>
  <c r="AI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9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C13" i="3" l="1"/>
  <c r="AC16" i="3"/>
  <c r="AC15" i="3"/>
  <c r="AC11" i="3"/>
  <c r="AC9" i="3"/>
  <c r="AC10" i="3"/>
  <c r="AF10" i="3" s="1"/>
  <c r="AC12" i="3"/>
  <c r="AC14" i="3"/>
  <c r="AF16" i="3"/>
  <c r="AF12" i="3"/>
  <c r="O39" i="3"/>
  <c r="S40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F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H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K13" i="3"/>
  <c r="AC105" i="29"/>
  <c r="AC126" i="29" s="1"/>
  <c r="AX55" i="29"/>
  <c r="AZ55" i="29"/>
  <c r="AL113" i="29"/>
  <c r="S14" i="3" s="1"/>
  <c r="S28" i="3" l="1"/>
  <c r="AL129" i="38" s="1"/>
  <c r="W40" i="3"/>
  <c r="AD40" i="3"/>
  <c r="Q40" i="3"/>
  <c r="Z40" i="3"/>
  <c r="R40" i="3"/>
  <c r="AI12" i="3"/>
  <c r="AJ12" i="3"/>
  <c r="AI16" i="3"/>
  <c r="AJ16" i="3"/>
  <c r="AC39" i="3"/>
  <c r="AC40" i="3" s="1"/>
  <c r="AF9" i="3"/>
  <c r="AC42" i="3"/>
  <c r="AF15" i="3"/>
  <c r="AG43" i="3" s="1"/>
  <c r="AC36" i="3"/>
  <c r="AF11" i="3"/>
  <c r="AG37" i="3" s="1"/>
  <c r="V40" i="3"/>
  <c r="P40" i="3"/>
  <c r="AJ10" i="3"/>
  <c r="AI10" i="3"/>
  <c r="X40" i="3"/>
  <c r="T40" i="3"/>
  <c r="U40" i="3"/>
  <c r="AE13" i="3"/>
  <c r="AE39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E14" i="3"/>
  <c r="AF14" i="3"/>
  <c r="C105" i="32"/>
  <c r="D101" i="32" s="1"/>
  <c r="AX107" i="29"/>
  <c r="AX112" i="29" s="1"/>
  <c r="AV112" i="29"/>
  <c r="AZ107" i="29"/>
  <c r="AZ113" i="29" s="1"/>
  <c r="AJ13" i="3"/>
  <c r="AI13" i="3"/>
  <c r="AO105" i="29"/>
  <c r="AV3" i="29"/>
  <c r="AW104" i="29"/>
  <c r="AX104" i="29"/>
  <c r="AO124" i="29"/>
  <c r="AV115" i="29" a="1"/>
  <c r="AV115" i="29" s="1"/>
  <c r="AJ9" i="3" l="1"/>
  <c r="AI9" i="3"/>
  <c r="AF39" i="3"/>
  <c r="AG36" i="3"/>
  <c r="AI11" i="3"/>
  <c r="AJ11" i="3"/>
  <c r="AG42" i="3"/>
  <c r="AI15" i="3"/>
  <c r="AJ15" i="3"/>
  <c r="AG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I14" i="3"/>
  <c r="AJ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G40" i="3" l="1"/>
  <c r="AG39" i="3"/>
  <c r="AF40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20" i="38"/>
  <c r="AV120" i="38" s="1" a="1"/>
  <c r="AV120" i="38" s="1"/>
  <c r="AO117" i="38"/>
  <c r="AV117" i="38" s="1" a="1"/>
  <c r="AV117" i="38" s="1"/>
  <c r="AO111" i="38"/>
  <c r="AV111" i="38" s="1" a="1"/>
  <c r="AV111" i="38" s="1"/>
  <c r="AO119" i="38"/>
  <c r="AV119" i="38" s="1" a="1"/>
  <c r="AV119" i="38" s="1"/>
  <c r="AV123" i="38" a="1"/>
  <c r="AV123" i="38" s="1"/>
  <c r="AO110" i="38"/>
  <c r="AV110" i="38" s="1" a="1"/>
  <c r="AV110" i="38" s="1"/>
  <c r="AO121" i="38"/>
  <c r="AV121" i="38" s="1" a="1"/>
  <c r="AV121" i="38" s="1"/>
  <c r="AO122" i="38"/>
  <c r="AV122" i="38" s="1" a="1"/>
  <c r="AV122" i="38" s="1"/>
  <c r="AO109" i="38"/>
  <c r="AV109" i="38" s="1" a="1"/>
  <c r="AV109" i="38" s="1"/>
  <c r="AO118" i="38"/>
  <c r="AV118" i="38" s="1" a="1"/>
  <c r="AV118" i="38" s="1"/>
  <c r="AV112" i="38" a="1"/>
  <c r="AV112" i="38" s="1"/>
  <c r="AZ121" i="38" l="1"/>
  <c r="AX121" i="38"/>
  <c r="AZ110" i="38"/>
  <c r="AX110" i="38"/>
  <c r="AO125" i="38"/>
  <c r="AV116" i="38" a="1"/>
  <c r="AV116" i="38" s="1"/>
  <c r="AX117" i="38"/>
  <c r="AZ117" i="38"/>
  <c r="AV108" i="38" a="1"/>
  <c r="AV108" i="38" s="1"/>
  <c r="AO114" i="38"/>
  <c r="AZ120" i="38"/>
  <c r="AX120" i="38"/>
  <c r="AX123" i="38"/>
  <c r="AZ123" i="38"/>
  <c r="AX112" i="38"/>
  <c r="AZ112" i="38"/>
  <c r="AX119" i="38"/>
  <c r="AZ119" i="38"/>
  <c r="AW109" i="38"/>
  <c r="AW113" i="38" s="1"/>
  <c r="AX109" i="38"/>
  <c r="AZ109" i="38"/>
  <c r="AZ118" i="38"/>
  <c r="AX118" i="38"/>
  <c r="AX122" i="38"/>
  <c r="AZ122" i="38"/>
  <c r="AX111" i="38"/>
  <c r="AZ111" i="38"/>
  <c r="AL114" i="38"/>
  <c r="AL127" i="38" s="1"/>
  <c r="AX116" i="38" l="1"/>
  <c r="AX124" i="38" s="1"/>
  <c r="AV124" i="38"/>
  <c r="AZ116" i="38"/>
  <c r="AZ125" i="38" s="1"/>
  <c r="AV113" i="38"/>
  <c r="AZ108" i="38"/>
  <c r="AZ114" i="38" s="1"/>
  <c r="AX108" i="38"/>
  <c r="AX113" i="38" s="1"/>
  <c r="T99" i="43" l="1"/>
  <c r="W99" i="43"/>
  <c r="Z99" i="43"/>
  <c r="AE99" i="43"/>
  <c r="AG99" i="43"/>
  <c r="AM99" i="43"/>
  <c r="T100" i="43"/>
  <c r="W100" i="43"/>
  <c r="Z100" i="43"/>
  <c r="AE100" i="43"/>
  <c r="AG100" i="43"/>
  <c r="AM100" i="43"/>
  <c r="T101" i="43"/>
  <c r="W101" i="43"/>
  <c r="Z101" i="43"/>
  <c r="AE101" i="43"/>
  <c r="AG101" i="43"/>
  <c r="AM101" i="43"/>
  <c r="T102" i="43"/>
  <c r="W102" i="43"/>
  <c r="Z102" i="43"/>
  <c r="AE102" i="43"/>
  <c r="AG102" i="43"/>
  <c r="AM102" i="43"/>
  <c r="T103" i="43"/>
  <c r="W103" i="43"/>
  <c r="Z103" i="43"/>
  <c r="AE103" i="43"/>
  <c r="AG103" i="43"/>
  <c r="AM103" i="43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AU101" i="43"/>
  <c r="AT101" i="43"/>
  <c r="U101" i="43"/>
  <c r="AT102" i="43"/>
  <c r="AU102" i="43"/>
  <c r="U102" i="43"/>
  <c r="X99" i="38"/>
  <c r="X99" i="43"/>
  <c r="X103" i="38"/>
  <c r="X103" i="43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AA99" i="38"/>
  <c r="AA99" i="43"/>
  <c r="AA103" i="38"/>
  <c r="AA103" i="43"/>
  <c r="AA101" i="38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X100" i="38"/>
  <c r="X100" i="43"/>
  <c r="AA100" i="38"/>
  <c r="AA100" i="43"/>
  <c r="X102" i="38"/>
  <c r="X102" i="43"/>
  <c r="AU103" i="43"/>
  <c r="U103" i="43"/>
  <c r="AT103" i="43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X101" i="38"/>
  <c r="X101" i="43"/>
  <c r="AT99" i="43"/>
  <c r="AU99" i="43"/>
  <c r="U99" i="43"/>
  <c r="AA102" i="43"/>
  <c r="AA102" i="38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Q103" i="38"/>
  <c r="AW103" i="38" s="1"/>
  <c r="AS103" i="38"/>
  <c r="AD103" i="38"/>
  <c r="AD100" i="38"/>
  <c r="AS100" i="38"/>
  <c r="AQ100" i="38"/>
  <c r="AW100" i="43"/>
  <c r="AS101" i="38"/>
  <c r="AD101" i="38"/>
  <c r="AQ101" i="38"/>
  <c r="AD102" i="38"/>
  <c r="AS102" i="38"/>
  <c r="AQ102" i="38"/>
  <c r="T49" i="43"/>
  <c r="W49" i="43"/>
  <c r="Z49" i="43"/>
  <c r="AE49" i="43"/>
  <c r="AG49" i="43"/>
  <c r="AM49" i="43"/>
  <c r="T50" i="43"/>
  <c r="W50" i="43"/>
  <c r="Z50" i="43"/>
  <c r="AE50" i="43"/>
  <c r="AG50" i="43"/>
  <c r="AM50" i="43"/>
  <c r="T51" i="43"/>
  <c r="V51" i="43"/>
  <c r="Z51" i="43"/>
  <c r="AE51" i="43"/>
  <c r="AG51" i="43"/>
  <c r="AM51" i="43"/>
  <c r="T52" i="43"/>
  <c r="W52" i="43"/>
  <c r="Z52" i="43"/>
  <c r="AE52" i="43"/>
  <c r="AG52" i="43"/>
  <c r="AM52" i="43"/>
  <c r="T53" i="43"/>
  <c r="W53" i="43"/>
  <c r="Z53" i="43"/>
  <c r="AE53" i="43"/>
  <c r="AG53" i="43"/>
  <c r="AM53" i="43"/>
  <c r="T54" i="43"/>
  <c r="W54" i="43"/>
  <c r="Z54" i="43"/>
  <c r="AE54" i="43"/>
  <c r="AG54" i="43"/>
  <c r="AM54" i="43"/>
  <c r="T55" i="43"/>
  <c r="W55" i="43"/>
  <c r="Z55" i="43"/>
  <c r="AE55" i="43"/>
  <c r="AG55" i="43"/>
  <c r="AM55" i="43"/>
  <c r="T56" i="43"/>
  <c r="W56" i="43"/>
  <c r="Z56" i="43"/>
  <c r="AE56" i="43"/>
  <c r="AG56" i="43"/>
  <c r="AM56" i="43"/>
  <c r="T57" i="43"/>
  <c r="W57" i="43"/>
  <c r="Z57" i="43"/>
  <c r="AE57" i="43"/>
  <c r="AG57" i="43"/>
  <c r="AM57" i="43"/>
  <c r="T58" i="43"/>
  <c r="W58" i="43"/>
  <c r="Z58" i="43"/>
  <c r="AE58" i="43"/>
  <c r="AG58" i="43"/>
  <c r="AM58" i="43"/>
  <c r="T59" i="43"/>
  <c r="W59" i="43"/>
  <c r="Z59" i="43"/>
  <c r="AE59" i="43"/>
  <c r="AG59" i="43"/>
  <c r="AM59" i="43"/>
  <c r="T60" i="43"/>
  <c r="W60" i="43"/>
  <c r="Z60" i="43"/>
  <c r="AE60" i="43"/>
  <c r="AG60" i="43"/>
  <c r="AM60" i="43"/>
  <c r="T61" i="43"/>
  <c r="W61" i="43"/>
  <c r="Z61" i="43"/>
  <c r="AE61" i="43"/>
  <c r="AG61" i="43"/>
  <c r="AM61" i="43"/>
  <c r="T62" i="43"/>
  <c r="W62" i="43"/>
  <c r="Z62" i="43"/>
  <c r="AE62" i="43"/>
  <c r="AG62" i="43"/>
  <c r="AM62" i="43"/>
  <c r="T63" i="43"/>
  <c r="W63" i="43"/>
  <c r="Z63" i="43"/>
  <c r="AE63" i="43"/>
  <c r="AG63" i="43"/>
  <c r="AM63" i="43"/>
  <c r="T64" i="43"/>
  <c r="W64" i="43"/>
  <c r="Z64" i="43"/>
  <c r="AE64" i="43"/>
  <c r="AG64" i="43"/>
  <c r="AM64" i="43"/>
  <c r="T65" i="43"/>
  <c r="W65" i="43"/>
  <c r="Z65" i="43"/>
  <c r="AE65" i="43"/>
  <c r="AG65" i="43"/>
  <c r="AM65" i="43"/>
  <c r="T66" i="43"/>
  <c r="W66" i="43"/>
  <c r="Z66" i="43"/>
  <c r="AE66" i="43"/>
  <c r="AG66" i="43"/>
  <c r="AM66" i="43"/>
  <c r="T67" i="43"/>
  <c r="W67" i="43"/>
  <c r="Z67" i="43"/>
  <c r="AE67" i="43"/>
  <c r="AG67" i="43"/>
  <c r="AM67" i="43"/>
  <c r="T68" i="43"/>
  <c r="W68" i="43"/>
  <c r="Z68" i="43"/>
  <c r="AE68" i="43"/>
  <c r="AG68" i="43"/>
  <c r="AM68" i="43"/>
  <c r="T69" i="43"/>
  <c r="W69" i="43"/>
  <c r="Z69" i="43"/>
  <c r="AE69" i="43"/>
  <c r="AG69" i="43"/>
  <c r="AM69" i="43"/>
  <c r="T70" i="43"/>
  <c r="W70" i="43"/>
  <c r="Z70" i="43"/>
  <c r="AE70" i="43"/>
  <c r="AG70" i="43"/>
  <c r="AM70" i="43"/>
  <c r="T71" i="43"/>
  <c r="W71" i="43"/>
  <c r="Z71" i="43"/>
  <c r="AE71" i="43"/>
  <c r="AG71" i="43"/>
  <c r="AM71" i="43"/>
  <c r="T72" i="43"/>
  <c r="W72" i="43"/>
  <c r="Z72" i="43"/>
  <c r="AE72" i="43"/>
  <c r="AG72" i="43"/>
  <c r="AM72" i="43"/>
  <c r="T73" i="43"/>
  <c r="W73" i="43"/>
  <c r="Z73" i="43"/>
  <c r="AE73" i="43"/>
  <c r="AG73" i="43"/>
  <c r="AM73" i="43"/>
  <c r="T74" i="43"/>
  <c r="W74" i="43"/>
  <c r="Z74" i="43"/>
  <c r="AE74" i="43"/>
  <c r="AG74" i="43"/>
  <c r="AM74" i="43"/>
  <c r="AV102" i="38" l="1" a="1"/>
  <c r="AV102" i="38" s="1"/>
  <c r="AV103" i="38" a="1"/>
  <c r="AV103" i="38" s="1"/>
  <c r="AV101" i="38" a="1"/>
  <c r="AV101" i="38" s="1"/>
  <c r="AV99" i="38" a="1"/>
  <c r="AV99" i="38" s="1"/>
  <c r="AV100" i="38" a="1"/>
  <c r="AV100" i="38" s="1"/>
  <c r="AX99" i="43"/>
  <c r="AZ102" i="43"/>
  <c r="AW102" i="43"/>
  <c r="AX103" i="43"/>
  <c r="AZ100" i="43"/>
  <c r="AZ101" i="43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AA50" i="42"/>
  <c r="Y50" i="43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W89" i="43"/>
  <c r="Z89" i="43"/>
  <c r="AE89" i="43"/>
  <c r="AG89" i="43"/>
  <c r="AM89" i="43"/>
  <c r="T90" i="43"/>
  <c r="W90" i="43"/>
  <c r="Z90" i="43"/>
  <c r="AE90" i="43"/>
  <c r="AG90" i="43"/>
  <c r="AM90" i="43"/>
  <c r="T91" i="43"/>
  <c r="W91" i="43"/>
  <c r="Z91" i="43"/>
  <c r="AE91" i="43"/>
  <c r="AG91" i="43"/>
  <c r="AM91" i="43"/>
  <c r="T92" i="43"/>
  <c r="W92" i="43"/>
  <c r="Z92" i="43"/>
  <c r="AE92" i="43"/>
  <c r="AG92" i="43"/>
  <c r="AM92" i="43"/>
  <c r="T93" i="43"/>
  <c r="W93" i="43"/>
  <c r="Z93" i="43"/>
  <c r="AE93" i="43"/>
  <c r="AG93" i="43"/>
  <c r="AM93" i="43"/>
  <c r="T35" i="43"/>
  <c r="W35" i="43"/>
  <c r="Z35" i="43"/>
  <c r="AE35" i="43"/>
  <c r="AG35" i="43"/>
  <c r="AM35" i="43"/>
  <c r="T36" i="43"/>
  <c r="W36" i="43"/>
  <c r="Z36" i="43"/>
  <c r="AE36" i="43"/>
  <c r="AG36" i="43"/>
  <c r="AM36" i="43"/>
  <c r="T37" i="43"/>
  <c r="V37" i="43"/>
  <c r="Z37" i="43"/>
  <c r="AE37" i="43"/>
  <c r="AG37" i="43"/>
  <c r="AM37" i="43"/>
  <c r="T38" i="43"/>
  <c r="W38" i="43"/>
  <c r="Z38" i="43"/>
  <c r="AE38" i="43"/>
  <c r="AG38" i="43"/>
  <c r="T39" i="43"/>
  <c r="V39" i="43"/>
  <c r="Z39" i="43"/>
  <c r="AE39" i="43"/>
  <c r="AG39" i="43"/>
  <c r="T40" i="43"/>
  <c r="W40" i="43"/>
  <c r="Z40" i="43"/>
  <c r="AG40" i="43"/>
  <c r="AW100" i="38" l="1"/>
  <c r="AZ100" i="38"/>
  <c r="AX100" i="38"/>
  <c r="AX99" i="38"/>
  <c r="AZ99" i="38"/>
  <c r="AX101" i="38"/>
  <c r="AZ101" i="38"/>
  <c r="AW101" i="38"/>
  <c r="AZ103" i="38"/>
  <c r="AX103" i="38"/>
  <c r="AW102" i="38"/>
  <c r="AZ102" i="38"/>
  <c r="AX102" i="38"/>
  <c r="X51" i="43"/>
  <c r="U39" i="42"/>
  <c r="S39" i="43"/>
  <c r="AU39" i="42"/>
  <c r="AT39" i="42"/>
  <c r="X37" i="42"/>
  <c r="AN37" i="42" s="1"/>
  <c r="W37" i="43"/>
  <c r="AF52" i="42"/>
  <c r="AF56" i="42"/>
  <c r="AF60" i="42"/>
  <c r="AF64" i="42"/>
  <c r="AF68" i="42"/>
  <c r="AF72" i="42"/>
  <c r="U51" i="43"/>
  <c r="AU51" i="43"/>
  <c r="AT51" i="43"/>
  <c r="AU59" i="43"/>
  <c r="U59" i="43"/>
  <c r="AT59" i="43"/>
  <c r="U67" i="43"/>
  <c r="AU67" i="43"/>
  <c r="AT67" i="43"/>
  <c r="AU71" i="43"/>
  <c r="AT71" i="43"/>
  <c r="U71" i="43"/>
  <c r="X52" i="38"/>
  <c r="X52" i="43"/>
  <c r="X56" i="38"/>
  <c r="X56" i="43"/>
  <c r="X60" i="38"/>
  <c r="X60" i="43"/>
  <c r="X64" i="38"/>
  <c r="X64" i="43"/>
  <c r="X68" i="38"/>
  <c r="X68" i="43"/>
  <c r="X72" i="38"/>
  <c r="X72" i="43"/>
  <c r="U38" i="42"/>
  <c r="S38" i="43"/>
  <c r="AU38" i="42"/>
  <c r="AT38" i="42"/>
  <c r="X37" i="38"/>
  <c r="X37" i="43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X49" i="38"/>
  <c r="X49" i="43"/>
  <c r="X53" i="38"/>
  <c r="X53" i="43"/>
  <c r="X57" i="38"/>
  <c r="X57" i="43"/>
  <c r="X61" i="38"/>
  <c r="X61" i="43"/>
  <c r="X65" i="38"/>
  <c r="X65" i="43"/>
  <c r="X69" i="38"/>
  <c r="X69" i="43"/>
  <c r="X73" i="38"/>
  <c r="X73" i="43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AA49" i="38"/>
  <c r="AA49" i="43"/>
  <c r="AA53" i="38"/>
  <c r="AA53" i="43"/>
  <c r="AA57" i="38"/>
  <c r="AA57" i="43"/>
  <c r="AA61" i="38"/>
  <c r="AA61" i="43"/>
  <c r="AA65" i="38"/>
  <c r="AA65" i="43"/>
  <c r="AA69" i="38"/>
  <c r="AA69" i="43"/>
  <c r="AA73" i="38"/>
  <c r="AA73" i="43"/>
  <c r="AU52" i="43"/>
  <c r="U52" i="43"/>
  <c r="AT52" i="43"/>
  <c r="AT56" i="43"/>
  <c r="AU56" i="43"/>
  <c r="U56" i="43"/>
  <c r="AU60" i="43"/>
  <c r="U60" i="43"/>
  <c r="AT60" i="43"/>
  <c r="U64" i="43"/>
  <c r="AU64" i="43"/>
  <c r="AT64" i="43"/>
  <c r="U68" i="43"/>
  <c r="AU68" i="43"/>
  <c r="AT68" i="43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AU62" i="43"/>
  <c r="AT62" i="43"/>
  <c r="U62" i="43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X50" i="38"/>
  <c r="X50" i="43"/>
  <c r="X54" i="38"/>
  <c r="X54" i="43"/>
  <c r="X58" i="38"/>
  <c r="X58" i="43"/>
  <c r="X62" i="38"/>
  <c r="X62" i="43"/>
  <c r="X66" i="38"/>
  <c r="X66" i="43"/>
  <c r="X70" i="38"/>
  <c r="X70" i="43"/>
  <c r="X74" i="38"/>
  <c r="X74" i="43"/>
  <c r="AA50" i="38"/>
  <c r="AA50" i="43"/>
  <c r="AA54" i="43"/>
  <c r="AA54" i="38"/>
  <c r="AA58" i="38"/>
  <c r="AA58" i="43"/>
  <c r="AA62" i="43"/>
  <c r="AA62" i="38"/>
  <c r="AA66" i="38"/>
  <c r="AA66" i="43"/>
  <c r="AA70" i="43"/>
  <c r="AA70" i="38"/>
  <c r="AA74" i="38"/>
  <c r="AA74" i="43"/>
  <c r="U49" i="43"/>
  <c r="AT49" i="43"/>
  <c r="AU49" i="43"/>
  <c r="AU53" i="43"/>
  <c r="AT53" i="43"/>
  <c r="U53" i="43"/>
  <c r="AU57" i="43"/>
  <c r="AT57" i="43"/>
  <c r="U57" i="43"/>
  <c r="AT61" i="43"/>
  <c r="U61" i="43"/>
  <c r="AU61" i="43"/>
  <c r="AU65" i="43"/>
  <c r="AT65" i="43"/>
  <c r="U65" i="43"/>
  <c r="AU69" i="43"/>
  <c r="AT69" i="43"/>
  <c r="U69" i="43"/>
  <c r="AT73" i="43"/>
  <c r="U73" i="43"/>
  <c r="AU73" i="43"/>
  <c r="AE40" i="43"/>
  <c r="X40" i="42"/>
  <c r="AN40" i="42" s="1"/>
  <c r="V40" i="43"/>
  <c r="X39" i="42"/>
  <c r="AN39" i="42" s="1"/>
  <c r="W39" i="43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AT54" i="43"/>
  <c r="U54" i="43"/>
  <c r="AU54" i="43"/>
  <c r="U58" i="43"/>
  <c r="AU58" i="43"/>
  <c r="AT58" i="43"/>
  <c r="AU66" i="43"/>
  <c r="AT66" i="43"/>
  <c r="U66" i="43"/>
  <c r="AT74" i="43"/>
  <c r="AU74" i="43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X39" i="38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X55" i="38"/>
  <c r="X55" i="43"/>
  <c r="X59" i="38"/>
  <c r="X59" i="43"/>
  <c r="X63" i="38"/>
  <c r="X63" i="43"/>
  <c r="X67" i="38"/>
  <c r="X67" i="43"/>
  <c r="X71" i="38"/>
  <c r="X71" i="43"/>
  <c r="AA51" i="38"/>
  <c r="AA51" i="43"/>
  <c r="AA55" i="38"/>
  <c r="AA55" i="43"/>
  <c r="AA59" i="38"/>
  <c r="AA59" i="43"/>
  <c r="AA63" i="38"/>
  <c r="AA63" i="43"/>
  <c r="AA67" i="38"/>
  <c r="AA67" i="43"/>
  <c r="AA71" i="38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AA52" i="38"/>
  <c r="AA52" i="43"/>
  <c r="AA56" i="38"/>
  <c r="AA56" i="43"/>
  <c r="AA60" i="38"/>
  <c r="AA60" i="43"/>
  <c r="AA64" i="38"/>
  <c r="AA64" i="43"/>
  <c r="AA68" i="38"/>
  <c r="AA68" i="43"/>
  <c r="AA72" i="38"/>
  <c r="AA72" i="43"/>
  <c r="AT55" i="43"/>
  <c r="U55" i="43"/>
  <c r="AU55" i="43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5" i="43"/>
  <c r="Z6" i="43"/>
  <c r="Z7" i="43"/>
  <c r="Z9" i="43"/>
  <c r="Z10" i="43"/>
  <c r="Z11" i="43"/>
  <c r="Z12" i="43"/>
  <c r="Z13" i="43"/>
  <c r="Z14" i="43"/>
  <c r="Z15" i="43"/>
  <c r="Z16" i="43"/>
  <c r="Z17" i="43"/>
  <c r="Z19" i="43"/>
  <c r="Z20" i="43"/>
  <c r="Z21" i="43"/>
  <c r="Z22" i="43"/>
  <c r="Z23" i="43"/>
  <c r="Z25" i="43"/>
  <c r="Z26" i="43"/>
  <c r="Z27" i="43"/>
  <c r="Z29" i="43"/>
  <c r="Z30" i="43"/>
  <c r="Z31" i="43"/>
  <c r="Z32" i="43"/>
  <c r="Z33" i="43"/>
  <c r="Z34" i="43"/>
  <c r="Z41" i="43"/>
  <c r="Z42" i="43"/>
  <c r="Z43" i="43"/>
  <c r="Z45" i="43"/>
  <c r="Z46" i="43"/>
  <c r="Z47" i="43"/>
  <c r="Z75" i="43"/>
  <c r="Z76" i="43"/>
  <c r="Z77" i="43"/>
  <c r="Z78" i="43"/>
  <c r="Z79" i="43"/>
  <c r="Z81" i="43"/>
  <c r="Z82" i="43"/>
  <c r="Z83" i="43"/>
  <c r="Z84" i="43"/>
  <c r="Z85" i="43"/>
  <c r="Z86" i="43"/>
  <c r="Z87" i="43"/>
  <c r="Z88" i="43"/>
  <c r="Z94" i="43"/>
  <c r="Z95" i="43"/>
  <c r="Z96" i="43"/>
  <c r="Z97" i="43"/>
  <c r="Z98" i="43"/>
  <c r="W4" i="43"/>
  <c r="W5" i="43"/>
  <c r="W6" i="43"/>
  <c r="W7" i="43"/>
  <c r="W8" i="43"/>
  <c r="W10" i="43"/>
  <c r="W12" i="43"/>
  <c r="W13" i="43"/>
  <c r="W14" i="43"/>
  <c r="W15" i="43"/>
  <c r="W16" i="43"/>
  <c r="W18" i="43"/>
  <c r="W19" i="43"/>
  <c r="W20" i="43"/>
  <c r="W22" i="43"/>
  <c r="W23" i="43"/>
  <c r="W24" i="43"/>
  <c r="W25" i="43"/>
  <c r="W26" i="43"/>
  <c r="W28" i="43"/>
  <c r="W29" i="43"/>
  <c r="W30" i="43"/>
  <c r="W32" i="43"/>
  <c r="W33" i="43"/>
  <c r="W34" i="43"/>
  <c r="W41" i="43"/>
  <c r="W42" i="43"/>
  <c r="W43" i="43"/>
  <c r="W44" i="43"/>
  <c r="W46" i="43"/>
  <c r="W48" i="43"/>
  <c r="W76" i="43"/>
  <c r="W77" i="43"/>
  <c r="W78" i="43"/>
  <c r="W79" i="43"/>
  <c r="W80" i="43"/>
  <c r="W81" i="43"/>
  <c r="W82" i="43"/>
  <c r="W83" i="43"/>
  <c r="W84" i="43"/>
  <c r="W85" i="43"/>
  <c r="W86" i="43"/>
  <c r="W87" i="43"/>
  <c r="W88" i="43"/>
  <c r="W94" i="43"/>
  <c r="W95" i="43"/>
  <c r="W96" i="43"/>
  <c r="W97" i="43"/>
  <c r="W98" i="43"/>
  <c r="T4" i="43"/>
  <c r="T5" i="43"/>
  <c r="T7" i="43"/>
  <c r="T8" i="43"/>
  <c r="T9" i="43"/>
  <c r="T10" i="43"/>
  <c r="T11" i="43"/>
  <c r="T13" i="43"/>
  <c r="T14" i="43"/>
  <c r="T15" i="43"/>
  <c r="T16" i="43"/>
  <c r="T17" i="43"/>
  <c r="T18" i="43"/>
  <c r="T19" i="43"/>
  <c r="T20" i="43"/>
  <c r="T21" i="43"/>
  <c r="T22" i="43"/>
  <c r="T23" i="43"/>
  <c r="T24" i="43"/>
  <c r="T25" i="43"/>
  <c r="T27" i="43"/>
  <c r="T28" i="43"/>
  <c r="T29" i="43"/>
  <c r="T30" i="43"/>
  <c r="T31" i="43"/>
  <c r="T32" i="43"/>
  <c r="T33" i="43"/>
  <c r="T34" i="43"/>
  <c r="T41" i="43"/>
  <c r="T43" i="43"/>
  <c r="T44" i="43"/>
  <c r="T45" i="43"/>
  <c r="T46" i="43"/>
  <c r="T47" i="43"/>
  <c r="T75" i="43"/>
  <c r="T76" i="43"/>
  <c r="T77" i="43"/>
  <c r="T78" i="43"/>
  <c r="T79" i="43"/>
  <c r="T80" i="43"/>
  <c r="T81" i="43"/>
  <c r="T82" i="43"/>
  <c r="T83" i="43"/>
  <c r="T84" i="43"/>
  <c r="T85" i="43"/>
  <c r="T86" i="43"/>
  <c r="T87" i="43"/>
  <c r="T88" i="43"/>
  <c r="T94" i="43"/>
  <c r="T95" i="43"/>
  <c r="T97" i="43"/>
  <c r="T98" i="43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31" i="43"/>
  <c r="AF72" i="43"/>
  <c r="AF56" i="43"/>
  <c r="AU90" i="43"/>
  <c r="U90" i="43"/>
  <c r="AT90" i="43"/>
  <c r="AT35" i="43"/>
  <c r="AU35" i="43"/>
  <c r="U35" i="43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AU92" i="43"/>
  <c r="U92" i="43"/>
  <c r="AT92" i="43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AU91" i="43"/>
  <c r="U91" i="43"/>
  <c r="AT91" i="43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W21" i="43"/>
  <c r="AS63" i="43"/>
  <c r="R63" i="43"/>
  <c r="AQ63" i="43"/>
  <c r="AW63" i="43" s="1"/>
  <c r="AD63" i="43"/>
  <c r="AF68" i="43"/>
  <c r="AF52" i="43"/>
  <c r="AO52" i="43"/>
  <c r="AA92" i="38"/>
  <c r="AA92" i="43"/>
  <c r="AA37" i="38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AA90" i="38"/>
  <c r="AA90" i="43"/>
  <c r="AA35" i="38"/>
  <c r="AA35" i="43"/>
  <c r="AA40" i="38"/>
  <c r="AA40" i="43"/>
  <c r="AD68" i="43"/>
  <c r="AO68" i="43" s="1"/>
  <c r="AS68" i="43"/>
  <c r="AQ68" i="43"/>
  <c r="AW68" i="43" s="1"/>
  <c r="R68" i="43"/>
  <c r="AF61" i="43"/>
  <c r="AO61" i="43"/>
  <c r="U89" i="43"/>
  <c r="AU89" i="43"/>
  <c r="AT89" i="43"/>
  <c r="AT93" i="43"/>
  <c r="U93" i="43"/>
  <c r="AU93" i="43"/>
  <c r="AT38" i="43"/>
  <c r="U38" i="43"/>
  <c r="AU38" i="43"/>
  <c r="Z28" i="43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AA89" i="38"/>
  <c r="AA89" i="43"/>
  <c r="AA93" i="38"/>
  <c r="AA93" i="43"/>
  <c r="AA38" i="43"/>
  <c r="AA38" i="38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AA39" i="38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12" i="43"/>
  <c r="W75" i="43"/>
  <c r="W27" i="43"/>
  <c r="W11" i="43"/>
  <c r="AW51" i="42"/>
  <c r="AZ51" i="42"/>
  <c r="AX51" i="42"/>
  <c r="AF64" i="43"/>
  <c r="X89" i="38"/>
  <c r="X89" i="43"/>
  <c r="X93" i="38"/>
  <c r="X93" i="43"/>
  <c r="X38" i="38"/>
  <c r="X38" i="43"/>
  <c r="AF67" i="43"/>
  <c r="AF51" i="43"/>
  <c r="X39" i="43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X91" i="38"/>
  <c r="X91" i="43"/>
  <c r="X36" i="38"/>
  <c r="X36" i="43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AA91" i="38"/>
  <c r="AA91" i="43"/>
  <c r="AA36" i="38"/>
  <c r="AA36" i="43"/>
  <c r="AO56" i="43"/>
  <c r="T96" i="43"/>
  <c r="Z48" i="43"/>
  <c r="Z18" i="43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X90" i="38"/>
  <c r="X90" i="43"/>
  <c r="X35" i="38"/>
  <c r="X35" i="43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26" i="43"/>
  <c r="W47" i="43"/>
  <c r="W17" i="43"/>
  <c r="W9" i="43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X92" i="38"/>
  <c r="X92" i="43"/>
  <c r="AS67" i="43"/>
  <c r="R67" i="43"/>
  <c r="AQ67" i="43"/>
  <c r="AD67" i="43"/>
  <c r="AO67" i="43" s="1"/>
  <c r="AQ51" i="43"/>
  <c r="AD51" i="43"/>
  <c r="AO51" i="43" s="1"/>
  <c r="AS51" i="43"/>
  <c r="R51" i="43"/>
  <c r="U39" i="43"/>
  <c r="AU39" i="43"/>
  <c r="AT39" i="43"/>
  <c r="Z80" i="43"/>
  <c r="Z24" i="43"/>
  <c r="Z8" i="43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X40" i="38"/>
  <c r="X40" i="43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G4" i="43"/>
  <c r="AM4" i="43"/>
  <c r="AE5" i="43"/>
  <c r="AG5" i="43"/>
  <c r="AM5" i="43"/>
  <c r="AE6" i="43"/>
  <c r="AG6" i="43"/>
  <c r="AM6" i="43"/>
  <c r="AE7" i="43"/>
  <c r="AG7" i="43"/>
  <c r="AM7" i="43"/>
  <c r="Y8" i="43"/>
  <c r="AE8" i="43"/>
  <c r="AG8" i="43"/>
  <c r="AM8" i="43"/>
  <c r="V9" i="43"/>
  <c r="AE9" i="43"/>
  <c r="AG9" i="43"/>
  <c r="AM9" i="43"/>
  <c r="AE10" i="43"/>
  <c r="AG10" i="43"/>
  <c r="AM10" i="43"/>
  <c r="V11" i="43"/>
  <c r="AE11" i="43"/>
  <c r="AG11" i="43"/>
  <c r="AM11" i="43"/>
  <c r="AE12" i="43"/>
  <c r="AG12" i="43"/>
  <c r="AM12" i="43"/>
  <c r="AE13" i="43"/>
  <c r="AG13" i="43"/>
  <c r="AM13" i="43"/>
  <c r="AE14" i="43"/>
  <c r="AG14" i="43"/>
  <c r="AM14" i="43"/>
  <c r="AE15" i="43"/>
  <c r="AG15" i="43"/>
  <c r="AM15" i="43"/>
  <c r="AE16" i="43"/>
  <c r="AG16" i="43"/>
  <c r="AM16" i="43"/>
  <c r="V17" i="43"/>
  <c r="AE17" i="43"/>
  <c r="AG17" i="43"/>
  <c r="AM17" i="43"/>
  <c r="Y18" i="43"/>
  <c r="AE18" i="43"/>
  <c r="AG18" i="43"/>
  <c r="AM18" i="43"/>
  <c r="AE19" i="43"/>
  <c r="AG19" i="43"/>
  <c r="AM19" i="43"/>
  <c r="AE20" i="43"/>
  <c r="AG20" i="43"/>
  <c r="AM20" i="43"/>
  <c r="V21" i="43"/>
  <c r="AE21" i="43"/>
  <c r="AG21" i="43"/>
  <c r="AM21" i="43"/>
  <c r="AE22" i="43"/>
  <c r="AG22" i="43"/>
  <c r="AM22" i="43"/>
  <c r="AE23" i="43"/>
  <c r="AG23" i="43"/>
  <c r="AM23" i="43"/>
  <c r="Y24" i="43"/>
  <c r="AE24" i="43"/>
  <c r="AG24" i="43"/>
  <c r="AM24" i="43"/>
  <c r="AE25" i="43"/>
  <c r="AG25" i="43"/>
  <c r="AM25" i="43"/>
  <c r="U26" i="42"/>
  <c r="AE26" i="43"/>
  <c r="AG26" i="43"/>
  <c r="AM26" i="43"/>
  <c r="V27" i="43"/>
  <c r="AE27" i="43"/>
  <c r="AG27" i="43"/>
  <c r="AM27" i="43"/>
  <c r="Y28" i="43"/>
  <c r="AE28" i="43"/>
  <c r="AG28" i="43"/>
  <c r="AM28" i="43"/>
  <c r="AE29" i="43"/>
  <c r="AG29" i="43"/>
  <c r="AM29" i="43"/>
  <c r="AE30" i="43"/>
  <c r="AG30" i="43"/>
  <c r="AM30" i="43"/>
  <c r="V31" i="43"/>
  <c r="AE31" i="43"/>
  <c r="AG31" i="43"/>
  <c r="AM31" i="43"/>
  <c r="AE32" i="43"/>
  <c r="AG32" i="43"/>
  <c r="AM32" i="43"/>
  <c r="AE33" i="43"/>
  <c r="AG33" i="43"/>
  <c r="AM33" i="43"/>
  <c r="AE34" i="43"/>
  <c r="AG34" i="43"/>
  <c r="AM34" i="43"/>
  <c r="AM38" i="43"/>
  <c r="AM39" i="43"/>
  <c r="AM40" i="43"/>
  <c r="AE41" i="43"/>
  <c r="AG41" i="43"/>
  <c r="AM41" i="43"/>
  <c r="U42" i="42"/>
  <c r="AE42" i="43"/>
  <c r="AG42" i="43"/>
  <c r="AM42" i="43"/>
  <c r="AE43" i="43"/>
  <c r="AG43" i="43"/>
  <c r="AM43" i="43"/>
  <c r="Y44" i="43"/>
  <c r="AE44" i="43"/>
  <c r="AG44" i="43"/>
  <c r="AM44" i="43"/>
  <c r="V45" i="43"/>
  <c r="AE45" i="43"/>
  <c r="AG45" i="43"/>
  <c r="AM45" i="43"/>
  <c r="AE46" i="43"/>
  <c r="AG46" i="43"/>
  <c r="AM46" i="43"/>
  <c r="V47" i="43"/>
  <c r="AE47" i="43"/>
  <c r="AG47" i="43"/>
  <c r="AM47" i="43"/>
  <c r="U48" i="42"/>
  <c r="Y48" i="43"/>
  <c r="AE48" i="43"/>
  <c r="AG48" i="43"/>
  <c r="AM48" i="43"/>
  <c r="V75" i="43"/>
  <c r="AE75" i="43"/>
  <c r="AG75" i="43"/>
  <c r="AM75" i="43"/>
  <c r="AE76" i="43"/>
  <c r="AG76" i="43"/>
  <c r="AM76" i="43"/>
  <c r="AE77" i="43"/>
  <c r="AG77" i="43"/>
  <c r="AM77" i="43"/>
  <c r="AE78" i="43"/>
  <c r="AG78" i="43"/>
  <c r="AM78" i="43"/>
  <c r="AE79" i="43"/>
  <c r="AG79" i="43"/>
  <c r="AM79" i="43"/>
  <c r="Y80" i="43"/>
  <c r="AE80" i="43"/>
  <c r="AG80" i="43"/>
  <c r="AM80" i="43"/>
  <c r="AE81" i="43"/>
  <c r="AG81" i="43"/>
  <c r="AM81" i="43"/>
  <c r="AE82" i="43"/>
  <c r="AG82" i="43"/>
  <c r="AM82" i="43"/>
  <c r="AE83" i="43"/>
  <c r="AG83" i="43"/>
  <c r="AM83" i="43"/>
  <c r="AE84" i="43"/>
  <c r="AG84" i="43"/>
  <c r="AM84" i="43"/>
  <c r="AE85" i="43"/>
  <c r="AG85" i="43"/>
  <c r="AM85" i="43"/>
  <c r="AE86" i="43"/>
  <c r="AG86" i="43"/>
  <c r="AM86" i="43"/>
  <c r="AE87" i="43"/>
  <c r="AG87" i="43"/>
  <c r="AM87" i="43"/>
  <c r="AE88" i="43"/>
  <c r="AG88" i="43"/>
  <c r="AM88" i="43"/>
  <c r="AE94" i="43"/>
  <c r="AG94" i="43"/>
  <c r="AM94" i="43"/>
  <c r="AE95" i="43"/>
  <c r="AG95" i="43"/>
  <c r="AM95" i="43"/>
  <c r="AE96" i="43"/>
  <c r="AG96" i="43"/>
  <c r="AM96" i="43"/>
  <c r="AE97" i="43"/>
  <c r="AG97" i="43"/>
  <c r="AM97" i="43"/>
  <c r="AE98" i="43"/>
  <c r="AG98" i="43"/>
  <c r="AM98" i="43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AA80" i="38"/>
  <c r="AA80" i="43"/>
  <c r="X79" i="42"/>
  <c r="AN79" i="42" s="1"/>
  <c r="V79" i="43"/>
  <c r="U78" i="42"/>
  <c r="AT78" i="42"/>
  <c r="S78" i="43"/>
  <c r="AU78" i="42"/>
  <c r="AA46" i="42"/>
  <c r="Y46" i="43"/>
  <c r="X45" i="38"/>
  <c r="X45" i="43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X21" i="38"/>
  <c r="X21" i="43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S49" i="38"/>
  <c r="AQ49" i="38"/>
  <c r="AS73" i="38"/>
  <c r="AD73" i="38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127" i="38"/>
  <c r="W105" i="43"/>
  <c r="W126" i="43" s="1"/>
  <c r="AS58" i="38"/>
  <c r="AD58" i="38"/>
  <c r="AQ58" i="38"/>
  <c r="Z127" i="38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AA48" i="38"/>
  <c r="AA48" i="43"/>
  <c r="X47" i="38"/>
  <c r="X47" i="43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S67" i="38"/>
  <c r="AQ67" i="38"/>
  <c r="AW69" i="43"/>
  <c r="AS50" i="38"/>
  <c r="AD50" i="38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127" i="38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X31" i="38"/>
  <c r="X31" i="43"/>
  <c r="U30" i="42"/>
  <c r="AU30" i="42"/>
  <c r="S30" i="43"/>
  <c r="AT30" i="42"/>
  <c r="AA24" i="38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AA8" i="38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Z66" i="43"/>
  <c r="AX66" i="43"/>
  <c r="AQ63" i="38"/>
  <c r="AW63" i="38" s="1"/>
  <c r="AS63" i="38"/>
  <c r="AD63" i="38"/>
  <c r="AU38" i="38"/>
  <c r="AT38" i="38"/>
  <c r="U38" i="38"/>
  <c r="AT89" i="38"/>
  <c r="AU89" i="38"/>
  <c r="U89" i="38"/>
  <c r="AF40" i="43"/>
  <c r="AS69" i="38"/>
  <c r="AD69" i="38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X75" i="38"/>
  <c r="X75" i="43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S56" i="38"/>
  <c r="AQ56" i="38"/>
  <c r="AD72" i="38"/>
  <c r="AS72" i="38"/>
  <c r="AQ72" i="38"/>
  <c r="AZ74" i="43"/>
  <c r="AX74" i="43"/>
  <c r="AX69" i="43"/>
  <c r="AZ69" i="43"/>
  <c r="AD57" i="38"/>
  <c r="AQ57" i="38"/>
  <c r="AW57" i="38" s="1"/>
  <c r="AS57" i="38"/>
  <c r="AS54" i="38"/>
  <c r="AD54" i="38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S71" i="38"/>
  <c r="AQ71" i="38"/>
  <c r="AS52" i="38"/>
  <c r="AD52" i="38"/>
  <c r="AQ52" i="38"/>
  <c r="AF40" i="38"/>
  <c r="AS53" i="38"/>
  <c r="AD53" i="38"/>
  <c r="AQ53" i="38"/>
  <c r="AZ71" i="43"/>
  <c r="AX71" i="43"/>
  <c r="AS62" i="38"/>
  <c r="AD62" i="38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AA18" i="38"/>
  <c r="AA18" i="43"/>
  <c r="X17" i="38"/>
  <c r="X17" i="43"/>
  <c r="U16" i="42"/>
  <c r="S16" i="43"/>
  <c r="AU16" i="42"/>
  <c r="AT16" i="42"/>
  <c r="AA10" i="42"/>
  <c r="Y10" i="43"/>
  <c r="X9" i="38"/>
  <c r="X9" i="43"/>
  <c r="U8" i="42"/>
  <c r="S8" i="43"/>
  <c r="AU8" i="42"/>
  <c r="AT8" i="42"/>
  <c r="AA80" i="42"/>
  <c r="AW51" i="43"/>
  <c r="AS70" i="38"/>
  <c r="AD70" i="38"/>
  <c r="AQ70" i="38"/>
  <c r="AA48" i="42"/>
  <c r="AF91" i="38"/>
  <c r="AQ66" i="38"/>
  <c r="AW66" i="38" s="1"/>
  <c r="AD66" i="38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AA44" i="38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AA28" i="38"/>
  <c r="AA28" i="43"/>
  <c r="X27" i="38"/>
  <c r="X27" i="43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X11" i="38"/>
  <c r="X11" i="43"/>
  <c r="U10" i="42"/>
  <c r="S10" i="43"/>
  <c r="AU10" i="42"/>
  <c r="AT10" i="42"/>
  <c r="AA4" i="42"/>
  <c r="Y4" i="43"/>
  <c r="AS51" i="38"/>
  <c r="AD51" i="38"/>
  <c r="AQ51" i="38"/>
  <c r="AQ55" i="38"/>
  <c r="AW55" i="38" s="1"/>
  <c r="AS55" i="38"/>
  <c r="AD55" i="38"/>
  <c r="AW67" i="43"/>
  <c r="AQ65" i="38"/>
  <c r="AW65" i="38" s="1"/>
  <c r="AD65" i="38"/>
  <c r="AS65" i="38"/>
  <c r="AX63" i="43"/>
  <c r="AZ63" i="43"/>
  <c r="U96" i="42"/>
  <c r="AZ57" i="43"/>
  <c r="AX57" i="43"/>
  <c r="AS59" i="38"/>
  <c r="AD59" i="38"/>
  <c r="AQ59" i="38"/>
  <c r="AW59" i="38" s="1"/>
  <c r="AS60" i="38"/>
  <c r="AD60" i="38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V72" i="38" l="1" a="1"/>
  <c r="AV72" i="38" s="1"/>
  <c r="AV57" i="38" a="1"/>
  <c r="AV57" i="38" s="1"/>
  <c r="AV73" i="38" a="1"/>
  <c r="AV73" i="38" s="1"/>
  <c r="AV60" i="38" a="1"/>
  <c r="AV60" i="38" s="1"/>
  <c r="AV53" i="38" a="1"/>
  <c r="AV53" i="38" s="1"/>
  <c r="AV71" i="38" a="1"/>
  <c r="AV71" i="38" s="1"/>
  <c r="AV55" i="38" a="1"/>
  <c r="AV55" i="38" s="1"/>
  <c r="AV70" i="38" a="1"/>
  <c r="AV70" i="38" s="1"/>
  <c r="AX70" i="38" s="1"/>
  <c r="AV74" i="38" a="1"/>
  <c r="AV74" i="38" s="1"/>
  <c r="AV56" i="38" a="1"/>
  <c r="AV56" i="38" s="1"/>
  <c r="AV50" i="38" a="1"/>
  <c r="AV50" i="38" s="1"/>
  <c r="AV51" i="38" a="1"/>
  <c r="AV51" i="38" s="1"/>
  <c r="AZ51" i="38" s="1"/>
  <c r="AV68" i="38" a="1"/>
  <c r="AV68" i="38" s="1"/>
  <c r="AV61" i="38" a="1"/>
  <c r="AV61" i="38" s="1"/>
  <c r="AV59" i="38" a="1"/>
  <c r="AV59" i="38" s="1"/>
  <c r="AV65" i="38" a="1"/>
  <c r="AV65" i="38" s="1"/>
  <c r="AZ65" i="38" s="1"/>
  <c r="AV62" i="38" a="1"/>
  <c r="AV62" i="38" s="1"/>
  <c r="AV54" i="38" a="1"/>
  <c r="AV54" i="38" s="1"/>
  <c r="AV67" i="38" a="1"/>
  <c r="AV67" i="38" s="1"/>
  <c r="AV49" i="38" a="1"/>
  <c r="AV49" i="38" s="1"/>
  <c r="AV66" i="38" a="1"/>
  <c r="AV66" i="38" s="1"/>
  <c r="AV52" i="38" a="1"/>
  <c r="AV52" i="38" s="1"/>
  <c r="AV69" i="38" a="1"/>
  <c r="AV69" i="38" s="1"/>
  <c r="AV64" i="38" a="1"/>
  <c r="AV64" i="38" s="1"/>
  <c r="AV63" i="38" a="1"/>
  <c r="AV63" i="38" s="1"/>
  <c r="AZ63" i="38" s="1"/>
  <c r="AV58" i="38" a="1"/>
  <c r="AV58" i="38" s="1"/>
  <c r="AX59" i="43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Z37" i="43"/>
  <c r="AX37" i="43"/>
  <c r="AZ92" i="43"/>
  <c r="AX92" i="43"/>
  <c r="AX35" i="43"/>
  <c r="AT77" i="43"/>
  <c r="AU77" i="43"/>
  <c r="U77" i="43"/>
  <c r="AA34" i="38"/>
  <c r="AA34" i="43"/>
  <c r="AG126" i="42"/>
  <c r="Q20" i="3"/>
  <c r="AA15" i="38"/>
  <c r="AA15" i="43"/>
  <c r="AA82" i="38"/>
  <c r="AA82" i="43"/>
  <c r="AD11" i="42"/>
  <c r="AS11" i="42"/>
  <c r="AQ11" i="42"/>
  <c r="R11" i="42"/>
  <c r="AS93" i="38"/>
  <c r="AD93" i="38"/>
  <c r="AQ93" i="38"/>
  <c r="AD10" i="42"/>
  <c r="AS10" i="42"/>
  <c r="AQ10" i="42"/>
  <c r="R10" i="42"/>
  <c r="AD18" i="42"/>
  <c r="AS18" i="42"/>
  <c r="AQ18" i="42"/>
  <c r="R18" i="42"/>
  <c r="AA11" i="38"/>
  <c r="AA11" i="43"/>
  <c r="AA19" i="38"/>
  <c r="AA19" i="43"/>
  <c r="AA27" i="38"/>
  <c r="AA27" i="43"/>
  <c r="U76" i="43"/>
  <c r="AU76" i="43"/>
  <c r="AT76" i="43"/>
  <c r="AU84" i="43"/>
  <c r="U84" i="43"/>
  <c r="AT84" i="43"/>
  <c r="X25" i="38"/>
  <c r="X25" i="43"/>
  <c r="X33" i="38"/>
  <c r="X33" i="43"/>
  <c r="X42" i="38"/>
  <c r="X42" i="43"/>
  <c r="X76" i="38"/>
  <c r="X76" i="43"/>
  <c r="X84" i="38"/>
  <c r="X84" i="43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AU95" i="43"/>
  <c r="AT95" i="43"/>
  <c r="U95" i="43"/>
  <c r="AN3" i="42"/>
  <c r="AN105" i="42" s="1"/>
  <c r="X105" i="42"/>
  <c r="X126" i="42" s="1"/>
  <c r="AS90" i="38"/>
  <c r="AQ90" i="38"/>
  <c r="AD90" i="38"/>
  <c r="AD38" i="38"/>
  <c r="AS38" i="38"/>
  <c r="AQ38" i="38"/>
  <c r="AT6" i="43"/>
  <c r="U6" i="43"/>
  <c r="AU6" i="43"/>
  <c r="AT14" i="43"/>
  <c r="U14" i="43"/>
  <c r="AU14" i="43"/>
  <c r="AT30" i="43"/>
  <c r="U30" i="43"/>
  <c r="AU30" i="43"/>
  <c r="AF41" i="42"/>
  <c r="AF75" i="42"/>
  <c r="AF83" i="42"/>
  <c r="AF96" i="42"/>
  <c r="AD37" i="38"/>
  <c r="AS37" i="38"/>
  <c r="AQ37" i="38"/>
  <c r="X6" i="38"/>
  <c r="X6" i="43"/>
  <c r="X14" i="38"/>
  <c r="X14" i="43"/>
  <c r="X22" i="38"/>
  <c r="X22" i="43"/>
  <c r="X30" i="38"/>
  <c r="X30" i="43"/>
  <c r="X81" i="38"/>
  <c r="X81" i="43"/>
  <c r="X94" i="38"/>
  <c r="X94" i="43"/>
  <c r="AF6" i="42"/>
  <c r="AA94" i="38"/>
  <c r="AA94" i="43"/>
  <c r="K45" i="3"/>
  <c r="AW38" i="42"/>
  <c r="AZ38" i="42"/>
  <c r="AX38" i="42"/>
  <c r="AT78" i="43"/>
  <c r="U78" i="43"/>
  <c r="AU78" i="43"/>
  <c r="AD84" i="42"/>
  <c r="AS84" i="42"/>
  <c r="AQ84" i="42"/>
  <c r="R84" i="42"/>
  <c r="AA26" i="38"/>
  <c r="AA26" i="43"/>
  <c r="V105" i="43"/>
  <c r="V126" i="43" s="1"/>
  <c r="X3" i="43"/>
  <c r="AT81" i="43"/>
  <c r="U81" i="43"/>
  <c r="AU81" i="43"/>
  <c r="AW89" i="43"/>
  <c r="AZ89" i="43"/>
  <c r="AX89" i="43"/>
  <c r="AT45" i="43"/>
  <c r="AU45" i="43"/>
  <c r="U45" i="43"/>
  <c r="X19" i="38"/>
  <c r="X19" i="43"/>
  <c r="AF11" i="42"/>
  <c r="AO11" i="42"/>
  <c r="AV11" i="42" s="1" a="1"/>
  <c r="AV11" i="42" s="1"/>
  <c r="AF19" i="42"/>
  <c r="AF27" i="42"/>
  <c r="AA98" i="38"/>
  <c r="AA98" i="43"/>
  <c r="AD86" i="42"/>
  <c r="AS86" i="42"/>
  <c r="AQ86" i="42"/>
  <c r="AW86" i="42" s="1"/>
  <c r="R86" i="42"/>
  <c r="X8" i="38"/>
  <c r="X8" i="43"/>
  <c r="X16" i="38"/>
  <c r="X16" i="43"/>
  <c r="X24" i="38"/>
  <c r="X24" i="43"/>
  <c r="X32" i="38"/>
  <c r="X32" i="43"/>
  <c r="AU82" i="43"/>
  <c r="U82" i="43"/>
  <c r="AT82" i="43"/>
  <c r="V126" i="42"/>
  <c r="J20" i="3"/>
  <c r="AT94" i="43"/>
  <c r="AU94" i="43"/>
  <c r="U94" i="43"/>
  <c r="AD98" i="42"/>
  <c r="AS98" i="42"/>
  <c r="R98" i="42"/>
  <c r="AQ98" i="42"/>
  <c r="AW98" i="42" s="1"/>
  <c r="AU79" i="43"/>
  <c r="U79" i="43"/>
  <c r="AT79" i="43"/>
  <c r="AF94" i="42"/>
  <c r="AT11" i="43"/>
  <c r="U11" i="43"/>
  <c r="AU11" i="43"/>
  <c r="AT19" i="43"/>
  <c r="U19" i="43"/>
  <c r="AU19" i="43"/>
  <c r="U27" i="43"/>
  <c r="AU27" i="43"/>
  <c r="AT27" i="43"/>
  <c r="AU44" i="43"/>
  <c r="U44" i="43"/>
  <c r="AT44" i="43"/>
  <c r="AE126" i="42"/>
  <c r="R20" i="3"/>
  <c r="AF28" i="43"/>
  <c r="AX91" i="43"/>
  <c r="AZ91" i="43"/>
  <c r="AD22" i="42"/>
  <c r="AS22" i="42"/>
  <c r="AQ22" i="42"/>
  <c r="R22" i="42"/>
  <c r="AA23" i="38"/>
  <c r="AA23" i="43"/>
  <c r="AA95" i="38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AA4" i="38"/>
  <c r="AA4" i="43"/>
  <c r="AA12" i="38"/>
  <c r="AA12" i="43"/>
  <c r="AA20" i="38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X43" i="38"/>
  <c r="X43" i="43"/>
  <c r="X77" i="38"/>
  <c r="X77" i="43"/>
  <c r="X85" i="38"/>
  <c r="X85" i="43"/>
  <c r="X98" i="38"/>
  <c r="X98" i="43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A9" i="38"/>
  <c r="AA9" i="43"/>
  <c r="AA17" i="38"/>
  <c r="AA17" i="43"/>
  <c r="AA25" i="38"/>
  <c r="AA25" i="43"/>
  <c r="AA33" i="38"/>
  <c r="AA33" i="43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X7" i="38"/>
  <c r="X7" i="43"/>
  <c r="X15" i="38"/>
  <c r="X15" i="43"/>
  <c r="X23" i="38"/>
  <c r="X23" i="43"/>
  <c r="AT47" i="43"/>
  <c r="U47" i="43"/>
  <c r="AU47" i="43"/>
  <c r="AG127" i="38"/>
  <c r="AG105" i="43"/>
  <c r="AG126" i="43" s="1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U4" i="43"/>
  <c r="AU4" i="43"/>
  <c r="AT4" i="43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127" i="38"/>
  <c r="AM105" i="43"/>
  <c r="AM126" i="43" s="1"/>
  <c r="N45" i="3"/>
  <c r="X4" i="38"/>
  <c r="X4" i="43"/>
  <c r="X12" i="38"/>
  <c r="X12" i="43"/>
  <c r="X20" i="38"/>
  <c r="X20" i="43"/>
  <c r="X28" i="38"/>
  <c r="X28" i="43"/>
  <c r="X79" i="38"/>
  <c r="X79" i="43"/>
  <c r="AT42" i="43"/>
  <c r="U42" i="43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X44" i="38"/>
  <c r="X44" i="43"/>
  <c r="X78" i="38"/>
  <c r="X78" i="43"/>
  <c r="X86" i="38"/>
  <c r="X86" i="43"/>
  <c r="AZ38" i="43"/>
  <c r="AX38" i="43"/>
  <c r="U9" i="43"/>
  <c r="AT9" i="43"/>
  <c r="AU9" i="43"/>
  <c r="AT17" i="43"/>
  <c r="U17" i="43"/>
  <c r="AU17" i="43"/>
  <c r="AU25" i="43"/>
  <c r="AT25" i="43"/>
  <c r="U25" i="43"/>
  <c r="AT33" i="43"/>
  <c r="U33" i="43"/>
  <c r="AU33" i="43"/>
  <c r="AU96" i="43"/>
  <c r="U96" i="43"/>
  <c r="AT96" i="43"/>
  <c r="Y126" i="42"/>
  <c r="M20" i="3"/>
  <c r="AF9" i="42"/>
  <c r="AC9" i="42"/>
  <c r="AF17" i="42"/>
  <c r="AC17" i="42"/>
  <c r="AF25" i="42"/>
  <c r="AC25" i="42"/>
  <c r="AF33" i="42"/>
  <c r="AC33" i="42"/>
  <c r="X83" i="38"/>
  <c r="X83" i="43"/>
  <c r="X96" i="38"/>
  <c r="X96" i="43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U3" i="43"/>
  <c r="S105" i="43"/>
  <c r="AU3" i="43"/>
  <c r="AT3" i="43"/>
  <c r="X88" i="38"/>
  <c r="X88" i="43"/>
  <c r="AS39" i="38"/>
  <c r="AD39" i="38"/>
  <c r="AQ39" i="38"/>
  <c r="AD4" i="42"/>
  <c r="AO4" i="42" s="1"/>
  <c r="AV4" i="42" s="1" a="1"/>
  <c r="AV4" i="42" s="1"/>
  <c r="AS4" i="42"/>
  <c r="AQ4" i="42"/>
  <c r="R4" i="42"/>
  <c r="X13" i="38"/>
  <c r="X13" i="43"/>
  <c r="X29" i="38"/>
  <c r="X29" i="43"/>
  <c r="X46" i="38"/>
  <c r="X46" i="43"/>
  <c r="X80" i="38"/>
  <c r="X80" i="43"/>
  <c r="AQ35" i="38"/>
  <c r="AW35" i="38" s="1"/>
  <c r="AS35" i="38"/>
  <c r="AD35" i="38"/>
  <c r="AT43" i="43"/>
  <c r="U43" i="43"/>
  <c r="AU43" i="43"/>
  <c r="AA43" i="38"/>
  <c r="AA43" i="43"/>
  <c r="AX40" i="43"/>
  <c r="AZ40" i="43"/>
  <c r="AD14" i="42"/>
  <c r="AS14" i="42"/>
  <c r="AQ14" i="42"/>
  <c r="R14" i="42"/>
  <c r="AA31" i="38"/>
  <c r="AA31" i="43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AA78" i="38"/>
  <c r="AA86" i="43"/>
  <c r="AA86" i="38"/>
  <c r="AW93" i="43"/>
  <c r="AZ40" i="42"/>
  <c r="AX40" i="42"/>
  <c r="AF48" i="42"/>
  <c r="AC48" i="42"/>
  <c r="AO48" i="42"/>
  <c r="AV48" i="42" s="1" a="1"/>
  <c r="AV48" i="42" s="1"/>
  <c r="U75" i="43"/>
  <c r="AT75" i="43"/>
  <c r="AU75" i="43"/>
  <c r="AU83" i="43"/>
  <c r="U83" i="43"/>
  <c r="AT83" i="43"/>
  <c r="AA3" i="43"/>
  <c r="Y105" i="43"/>
  <c r="Y126" i="43" s="1"/>
  <c r="AU7" i="43"/>
  <c r="AT7" i="43"/>
  <c r="U7" i="43"/>
  <c r="AU23" i="43"/>
  <c r="AT23" i="43"/>
  <c r="U23" i="43"/>
  <c r="X41" i="38"/>
  <c r="X41" i="43"/>
  <c r="I45" i="3"/>
  <c r="AS89" i="38"/>
  <c r="AD89" i="38"/>
  <c r="AQ89" i="38"/>
  <c r="AF8" i="43"/>
  <c r="AA16" i="38"/>
  <c r="AA16" i="43"/>
  <c r="AF24" i="43"/>
  <c r="AA32" i="38"/>
  <c r="AA32" i="43"/>
  <c r="X48" i="38"/>
  <c r="X48" i="43"/>
  <c r="X82" i="38"/>
  <c r="X82" i="43"/>
  <c r="X95" i="38"/>
  <c r="X95" i="43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AU80" i="43"/>
  <c r="AT80" i="43"/>
  <c r="U80" i="43"/>
  <c r="AW38" i="43"/>
  <c r="X5" i="38"/>
  <c r="X5" i="43"/>
  <c r="AS36" i="38"/>
  <c r="AQ36" i="38"/>
  <c r="AW36" i="38" s="1"/>
  <c r="AD36" i="38"/>
  <c r="AA5" i="38"/>
  <c r="AA5" i="43"/>
  <c r="AA13" i="38"/>
  <c r="AA13" i="43"/>
  <c r="AA21" i="38"/>
  <c r="AA21" i="43"/>
  <c r="AA29" i="38"/>
  <c r="AA29" i="43"/>
  <c r="AA46" i="38"/>
  <c r="AA46" i="43"/>
  <c r="AF80" i="43"/>
  <c r="AT85" i="43"/>
  <c r="U85" i="43"/>
  <c r="AU85" i="43"/>
  <c r="AD97" i="42"/>
  <c r="AS97" i="42"/>
  <c r="R97" i="42"/>
  <c r="AQ97" i="42"/>
  <c r="AW97" i="42" s="1"/>
  <c r="AA77" i="38"/>
  <c r="AA77" i="43"/>
  <c r="AA88" i="38"/>
  <c r="AA88" i="43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AT34" i="43"/>
  <c r="U34" i="43"/>
  <c r="AA45" i="38"/>
  <c r="AA45" i="43"/>
  <c r="AA79" i="38"/>
  <c r="AA79" i="43"/>
  <c r="AA87" i="38"/>
  <c r="AA87" i="43"/>
  <c r="X10" i="38"/>
  <c r="X10" i="43"/>
  <c r="X18" i="38"/>
  <c r="X18" i="43"/>
  <c r="X26" i="38"/>
  <c r="X26" i="43"/>
  <c r="X34" i="38"/>
  <c r="X34" i="43"/>
  <c r="AF44" i="38"/>
  <c r="AF78" i="42"/>
  <c r="AC78" i="42"/>
  <c r="AF86" i="42"/>
  <c r="AC86" i="42"/>
  <c r="AO86" i="42"/>
  <c r="AV86" i="42" s="1" a="1"/>
  <c r="AV86" i="42" s="1"/>
  <c r="AU8" i="43"/>
  <c r="U8" i="43"/>
  <c r="AT8" i="43"/>
  <c r="AT16" i="43"/>
  <c r="AU16" i="43"/>
  <c r="U16" i="43"/>
  <c r="AT24" i="43"/>
  <c r="AU24" i="43"/>
  <c r="U24" i="43"/>
  <c r="AU32" i="43"/>
  <c r="AT32" i="43"/>
  <c r="U32" i="43"/>
  <c r="U41" i="43"/>
  <c r="AT41" i="43"/>
  <c r="AU41" i="43"/>
  <c r="AS40" i="38"/>
  <c r="AD40" i="38"/>
  <c r="AQ40" i="38"/>
  <c r="AT104" i="42"/>
  <c r="U31" i="43"/>
  <c r="AT31" i="43"/>
  <c r="AU31" i="43"/>
  <c r="AA76" i="38"/>
  <c r="AA76" i="43"/>
  <c r="AA84" i="38"/>
  <c r="AA84" i="43"/>
  <c r="AA97" i="38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AU98" i="43"/>
  <c r="AT5" i="43"/>
  <c r="U5" i="43"/>
  <c r="AU5" i="43"/>
  <c r="AT13" i="43"/>
  <c r="AU13" i="43"/>
  <c r="U13" i="43"/>
  <c r="AU21" i="43"/>
  <c r="AT21" i="43"/>
  <c r="U21" i="43"/>
  <c r="AU29" i="43"/>
  <c r="AT29" i="43"/>
  <c r="U29" i="43"/>
  <c r="AT46" i="43"/>
  <c r="U46" i="43"/>
  <c r="AU46" i="43"/>
  <c r="U88" i="43"/>
  <c r="AU88" i="43"/>
  <c r="AT88" i="43"/>
  <c r="AF8" i="42"/>
  <c r="AC8" i="42"/>
  <c r="AA14" i="43"/>
  <c r="AA14" i="38"/>
  <c r="AA22" i="38"/>
  <c r="AA22" i="43"/>
  <c r="AA30" i="43"/>
  <c r="AA30" i="38"/>
  <c r="AA47" i="38"/>
  <c r="AA47" i="43"/>
  <c r="AA81" i="38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S92" i="38"/>
  <c r="AQ92" i="38"/>
  <c r="AD76" i="42"/>
  <c r="AS76" i="42"/>
  <c r="AQ76" i="42"/>
  <c r="R76" i="42"/>
  <c r="AA10" i="38"/>
  <c r="AA10" i="43"/>
  <c r="AA85" i="38"/>
  <c r="AA85" i="43"/>
  <c r="AD30" i="42"/>
  <c r="AQ30" i="42"/>
  <c r="AW30" i="42" s="1"/>
  <c r="R30" i="42"/>
  <c r="AS30" i="42"/>
  <c r="AA7" i="38"/>
  <c r="AA7" i="43"/>
  <c r="AF48" i="43"/>
  <c r="AU20" i="43"/>
  <c r="U20" i="43"/>
  <c r="AT20" i="43"/>
  <c r="AE105" i="43"/>
  <c r="AE126" i="43" s="1"/>
  <c r="AF44" i="42"/>
  <c r="AC44" i="42"/>
  <c r="AO44" i="42"/>
  <c r="AV44" i="42" s="1" a="1"/>
  <c r="AV44" i="42" s="1"/>
  <c r="AT10" i="43"/>
  <c r="AU10" i="43"/>
  <c r="U10" i="43"/>
  <c r="AU18" i="43"/>
  <c r="AT18" i="43"/>
  <c r="U18" i="43"/>
  <c r="AT26" i="43"/>
  <c r="AU26" i="43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U97" i="43"/>
  <c r="AU97" i="43"/>
  <c r="AT97" i="43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X97" i="38"/>
  <c r="X97" i="43"/>
  <c r="AT86" i="43"/>
  <c r="U86" i="43"/>
  <c r="AU86" i="43"/>
  <c r="AD91" i="38"/>
  <c r="AS91" i="38"/>
  <c r="AQ91" i="38"/>
  <c r="AU104" i="42"/>
  <c r="AU15" i="43"/>
  <c r="AT15" i="43"/>
  <c r="U15" i="43"/>
  <c r="AA42" i="38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AT22" i="43"/>
  <c r="U22" i="43"/>
  <c r="AU22" i="43"/>
  <c r="AA41" i="38"/>
  <c r="AA41" i="43"/>
  <c r="AA75" i="38"/>
  <c r="AA75" i="43"/>
  <c r="AA83" i="38"/>
  <c r="AA83" i="43"/>
  <c r="AA96" i="38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AA6" i="38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X87" i="38"/>
  <c r="X87" i="43"/>
  <c r="AX67" i="38" l="1"/>
  <c r="AZ67" i="38"/>
  <c r="AW67" i="38"/>
  <c r="AW52" i="38"/>
  <c r="AX52" i="38"/>
  <c r="AX59" i="38"/>
  <c r="AZ59" i="38"/>
  <c r="AZ55" i="38"/>
  <c r="AX55" i="38"/>
  <c r="AZ50" i="38"/>
  <c r="AX50" i="38"/>
  <c r="AW50" i="38"/>
  <c r="AX64" i="38"/>
  <c r="AZ64" i="38"/>
  <c r="AW71" i="38"/>
  <c r="AX71" i="38"/>
  <c r="AZ71" i="38"/>
  <c r="AZ54" i="38"/>
  <c r="AW54" i="38"/>
  <c r="AX54" i="38"/>
  <c r="AX53" i="38"/>
  <c r="AZ53" i="38"/>
  <c r="AW53" i="38"/>
  <c r="AX62" i="38"/>
  <c r="AZ62" i="38"/>
  <c r="AW58" i="38"/>
  <c r="AZ58" i="38"/>
  <c r="AX58" i="38"/>
  <c r="AZ66" i="38"/>
  <c r="AX66" i="38"/>
  <c r="AZ56" i="38"/>
  <c r="AX56" i="38"/>
  <c r="AW56" i="38"/>
  <c r="AX60" i="38"/>
  <c r="AW60" i="38"/>
  <c r="AZ60" i="38"/>
  <c r="AZ49" i="38"/>
  <c r="AW49" i="38"/>
  <c r="AX49" i="38"/>
  <c r="AX74" i="38"/>
  <c r="AW74" i="38"/>
  <c r="AZ74" i="38"/>
  <c r="AZ73" i="38"/>
  <c r="AX73" i="38"/>
  <c r="AW73" i="38"/>
  <c r="AW61" i="38"/>
  <c r="AZ61" i="38"/>
  <c r="AX61" i="38"/>
  <c r="AZ57" i="38"/>
  <c r="AX57" i="38"/>
  <c r="AW69" i="38"/>
  <c r="AX69" i="38"/>
  <c r="AZ69" i="38"/>
  <c r="AX68" i="38"/>
  <c r="AZ68" i="38"/>
  <c r="AZ72" i="38"/>
  <c r="AX72" i="38"/>
  <c r="AW72" i="38"/>
  <c r="AV37" i="38" a="1"/>
  <c r="AV37" i="38" s="1"/>
  <c r="AV38" i="38" a="1"/>
  <c r="AV38" i="38" s="1"/>
  <c r="AZ52" i="38"/>
  <c r="AX65" i="38"/>
  <c r="AV90" i="38" a="1"/>
  <c r="AV90" i="38" s="1"/>
  <c r="AV91" i="38" a="1"/>
  <c r="AV91" i="38" s="1"/>
  <c r="AW51" i="38"/>
  <c r="AX51" i="38"/>
  <c r="AV89" i="38" a="1"/>
  <c r="AV89" i="38" s="1"/>
  <c r="AX63" i="38"/>
  <c r="AW70" i="38"/>
  <c r="AV40" i="38" a="1"/>
  <c r="AV40" i="38" s="1"/>
  <c r="AV36" i="38" a="1"/>
  <c r="AV36" i="38" s="1"/>
  <c r="AV93" i="38" a="1"/>
  <c r="AV93" i="38" s="1"/>
  <c r="AZ70" i="38"/>
  <c r="AV35" i="38" a="1"/>
  <c r="AV35" i="38" s="1"/>
  <c r="AV39" i="38" a="1"/>
  <c r="AV39" i="38" s="1"/>
  <c r="AV92" i="38" a="1"/>
  <c r="AV92" i="38" s="1"/>
  <c r="AZ36" i="43"/>
  <c r="AC4" i="42"/>
  <c r="AC20" i="42"/>
  <c r="AC95" i="42"/>
  <c r="AC26" i="42"/>
  <c r="AC42" i="42"/>
  <c r="AW4" i="42"/>
  <c r="AS104" i="42"/>
  <c r="AF105" i="42"/>
  <c r="AZ27" i="42"/>
  <c r="AX27" i="42"/>
  <c r="AZ33" i="42"/>
  <c r="AX33" i="42"/>
  <c r="AZ17" i="42"/>
  <c r="AX17" i="42"/>
  <c r="AZ20" i="42"/>
  <c r="AX20" i="42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Z41" i="42"/>
  <c r="AX41" i="42"/>
  <c r="AW80" i="42"/>
  <c r="AX80" i="42"/>
  <c r="AZ80" i="42"/>
  <c r="AZ13" i="42"/>
  <c r="AX13" i="42"/>
  <c r="AZ34" i="42"/>
  <c r="AX34" i="42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W47" i="42"/>
  <c r="AZ47" i="42"/>
  <c r="AX47" i="42"/>
  <c r="AW5" i="42"/>
  <c r="AF75" i="38"/>
  <c r="AF42" i="43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5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V127" i="38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7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F11" i="43"/>
  <c r="AO11" i="43"/>
  <c r="AW10" i="42"/>
  <c r="Q45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27" i="38"/>
  <c r="AA3" i="38"/>
  <c r="AA106" i="38" s="1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5" i="3"/>
  <c r="AF32" i="43"/>
  <c r="AT7" i="38"/>
  <c r="U7" i="38"/>
  <c r="AU7" i="38"/>
  <c r="AW48" i="42"/>
  <c r="AZ48" i="42"/>
  <c r="AX48" i="42"/>
  <c r="AF78" i="38"/>
  <c r="O20" i="3"/>
  <c r="M45" i="3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5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X36" i="38" l="1"/>
  <c r="AZ36" i="38"/>
  <c r="AX40" i="38"/>
  <c r="AW40" i="38"/>
  <c r="AZ40" i="38"/>
  <c r="AW92" i="38"/>
  <c r="AX92" i="38"/>
  <c r="AZ92" i="38"/>
  <c r="AW39" i="38"/>
  <c r="AX39" i="38"/>
  <c r="AZ39" i="38"/>
  <c r="AZ38" i="38"/>
  <c r="AX38" i="38"/>
  <c r="AW38" i="38"/>
  <c r="AX35" i="38"/>
  <c r="AZ35" i="38"/>
  <c r="AX89" i="38"/>
  <c r="AW89" i="38"/>
  <c r="AZ89" i="38"/>
  <c r="AX37" i="38"/>
  <c r="AW37" i="38"/>
  <c r="AZ37" i="38"/>
  <c r="AW93" i="38"/>
  <c r="AX93" i="38"/>
  <c r="AZ93" i="38"/>
  <c r="AX91" i="38"/>
  <c r="AZ91" i="38"/>
  <c r="AW91" i="38"/>
  <c r="AZ90" i="38"/>
  <c r="AX90" i="38"/>
  <c r="AW90" i="38"/>
  <c r="X106" i="38"/>
  <c r="X127" i="38" s="1"/>
  <c r="U106" i="38"/>
  <c r="AC20" i="3"/>
  <c r="AC19" i="3"/>
  <c r="AF19" i="3" s="1"/>
  <c r="AC18" i="3"/>
  <c r="AF18" i="3" s="1"/>
  <c r="AC17" i="3"/>
  <c r="AF17" i="3" s="1"/>
  <c r="AV23" i="43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5" i="3"/>
  <c r="AD33" i="38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S15" i="38"/>
  <c r="AQ15" i="38"/>
  <c r="AZ6" i="43"/>
  <c r="AX6" i="43"/>
  <c r="AZ86" i="43"/>
  <c r="AW44" i="43"/>
  <c r="AX44" i="43"/>
  <c r="AZ44" i="43"/>
  <c r="AU106" i="38"/>
  <c r="S127" i="38"/>
  <c r="AU127" i="38" s="1"/>
  <c r="AZ80" i="43"/>
  <c r="AX80" i="43"/>
  <c r="AX8" i="43"/>
  <c r="AC45" i="3"/>
  <c r="AW47" i="43"/>
  <c r="AS25" i="38"/>
  <c r="AD25" i="38"/>
  <c r="AQ25" i="38"/>
  <c r="AS104" i="43"/>
  <c r="AZ24" i="43"/>
  <c r="AX24" i="43"/>
  <c r="AW97" i="43"/>
  <c r="AZ97" i="43"/>
  <c r="AX97" i="43"/>
  <c r="AD46" i="38"/>
  <c r="AS46" i="38"/>
  <c r="AQ46" i="38"/>
  <c r="AW46" i="38" s="1"/>
  <c r="AS27" i="38"/>
  <c r="AD27" i="38"/>
  <c r="AQ27" i="38"/>
  <c r="AD83" i="38"/>
  <c r="AS83" i="38"/>
  <c r="AQ83" i="38"/>
  <c r="AD82" i="38"/>
  <c r="AS82" i="38"/>
  <c r="AQ82" i="38"/>
  <c r="AD42" i="38"/>
  <c r="AS42" i="38"/>
  <c r="AQ42" i="38"/>
  <c r="AD88" i="38"/>
  <c r="AS88" i="38"/>
  <c r="AQ88" i="38"/>
  <c r="AS44" i="38"/>
  <c r="AD44" i="38"/>
  <c r="AQ44" i="38"/>
  <c r="AZ32" i="43"/>
  <c r="AX32" i="43"/>
  <c r="AS76" i="38"/>
  <c r="AD76" i="38"/>
  <c r="AQ76" i="38"/>
  <c r="AS43" i="38"/>
  <c r="AD43" i="38"/>
  <c r="AQ43" i="38"/>
  <c r="AZ25" i="43"/>
  <c r="AS12" i="38"/>
  <c r="AD12" i="38"/>
  <c r="AQ12" i="38"/>
  <c r="AD79" i="38"/>
  <c r="AS79" i="38"/>
  <c r="AQ79" i="38"/>
  <c r="AW87" i="43"/>
  <c r="AQ104" i="43"/>
  <c r="AW9" i="43"/>
  <c r="AZ5" i="43"/>
  <c r="AX5" i="43"/>
  <c r="AS6" i="38"/>
  <c r="AD6" i="38"/>
  <c r="AQ6" i="38"/>
  <c r="AD34" i="38"/>
  <c r="AS34" i="38"/>
  <c r="AQ34" i="38"/>
  <c r="AW98" i="43"/>
  <c r="AS47" i="38"/>
  <c r="AD47" i="38"/>
  <c r="AQ47" i="38"/>
  <c r="AZ95" i="43"/>
  <c r="AX95" i="43"/>
  <c r="AD8" i="38"/>
  <c r="AS8" i="38"/>
  <c r="AQ8" i="38"/>
  <c r="AW78" i="43"/>
  <c r="AW28" i="43"/>
  <c r="AF105" i="43"/>
  <c r="AA126" i="43"/>
  <c r="AS24" i="38"/>
  <c r="AD24" i="38"/>
  <c r="AQ24" i="38"/>
  <c r="AW14" i="43"/>
  <c r="AW31" i="43"/>
  <c r="AW82" i="43"/>
  <c r="AD45" i="38"/>
  <c r="AS45" i="38"/>
  <c r="AQ45" i="38"/>
  <c r="AD81" i="38"/>
  <c r="AS81" i="38"/>
  <c r="AQ81" i="38"/>
  <c r="AS13" i="38"/>
  <c r="AD13" i="38"/>
  <c r="AQ13" i="38"/>
  <c r="AD16" i="38"/>
  <c r="AS16" i="38"/>
  <c r="AQ16" i="38"/>
  <c r="AW104" i="42"/>
  <c r="AW6" i="43"/>
  <c r="AC105" i="42"/>
  <c r="AC126" i="42" s="1"/>
  <c r="AD29" i="38"/>
  <c r="AS29" i="38"/>
  <c r="AQ29" i="38"/>
  <c r="AD86" i="38"/>
  <c r="AS86" i="38"/>
  <c r="AQ86" i="38"/>
  <c r="AQ19" i="38"/>
  <c r="AW19" i="38" s="1"/>
  <c r="AD19" i="38"/>
  <c r="AS19" i="38"/>
  <c r="AZ12" i="43"/>
  <c r="AX12" i="43"/>
  <c r="AS41" i="38"/>
  <c r="AD41" i="38"/>
  <c r="AQ41" i="38"/>
  <c r="AS14" i="38"/>
  <c r="AD14" i="38"/>
  <c r="AQ14" i="38"/>
  <c r="AW33" i="43"/>
  <c r="AZ28" i="43"/>
  <c r="AX28" i="43"/>
  <c r="AD75" i="38"/>
  <c r="AS75" i="38"/>
  <c r="AQ75" i="38"/>
  <c r="AS87" i="38"/>
  <c r="AD87" i="38"/>
  <c r="AQ87" i="38"/>
  <c r="AV3" i="43"/>
  <c r="AO105" i="43"/>
  <c r="AO126" i="43" s="1"/>
  <c r="AW13" i="43"/>
  <c r="AW43" i="43"/>
  <c r="AS5" i="38"/>
  <c r="AD5" i="38"/>
  <c r="AQ5" i="38"/>
  <c r="AZ82" i="43"/>
  <c r="AX82" i="43"/>
  <c r="AS11" i="38"/>
  <c r="AD11" i="38"/>
  <c r="AQ11" i="38"/>
  <c r="AS30" i="38"/>
  <c r="AD30" i="38"/>
  <c r="AQ30" i="38"/>
  <c r="AD48" i="38"/>
  <c r="AS48" i="38"/>
  <c r="AQ48" i="38"/>
  <c r="AD126" i="42"/>
  <c r="P20" i="3"/>
  <c r="AF20" i="3" s="1"/>
  <c r="AZ43" i="43"/>
  <c r="AX43" i="43"/>
  <c r="AS28" i="38"/>
  <c r="AD28" i="38"/>
  <c r="AQ28" i="38"/>
  <c r="AS85" i="38"/>
  <c r="AD85" i="38"/>
  <c r="AQ85" i="38"/>
  <c r="AW48" i="43"/>
  <c r="AU105" i="38"/>
  <c r="AS20" i="38"/>
  <c r="AD20" i="38"/>
  <c r="AQ20" i="38"/>
  <c r="AD18" i="38"/>
  <c r="AS18" i="38"/>
  <c r="AQ18" i="38"/>
  <c r="AF3" i="38"/>
  <c r="AS98" i="38"/>
  <c r="AD98" i="38"/>
  <c r="AQ98" i="38"/>
  <c r="AD10" i="38"/>
  <c r="AS10" i="38"/>
  <c r="AQ10" i="38"/>
  <c r="AW20" i="43"/>
  <c r="AZ20" i="43"/>
  <c r="AX20" i="43"/>
  <c r="AS3" i="38"/>
  <c r="U127" i="38"/>
  <c r="AD3" i="38"/>
  <c r="AQ3" i="38"/>
  <c r="AW8" i="43"/>
  <c r="AS9" i="38"/>
  <c r="AD9" i="38"/>
  <c r="AQ9" i="38"/>
  <c r="AN105" i="43"/>
  <c r="AN126" i="43" s="1"/>
  <c r="AS96" i="38"/>
  <c r="AD96" i="38"/>
  <c r="AQ96" i="38"/>
  <c r="AS32" i="38"/>
  <c r="AD32" i="38"/>
  <c r="AQ32" i="38"/>
  <c r="AS77" i="38"/>
  <c r="AD77" i="38"/>
  <c r="AQ77" i="38"/>
  <c r="AW30" i="43"/>
  <c r="AD97" i="38"/>
  <c r="AS97" i="38"/>
  <c r="AQ97" i="38"/>
  <c r="AD23" i="38"/>
  <c r="AS23" i="38"/>
  <c r="AQ23" i="38"/>
  <c r="AW23" i="38" s="1"/>
  <c r="AD78" i="38"/>
  <c r="AS78" i="38"/>
  <c r="AQ78" i="38"/>
  <c r="AD17" i="38"/>
  <c r="AS17" i="38"/>
  <c r="AQ17" i="38"/>
  <c r="AZ78" i="43"/>
  <c r="AX78" i="43"/>
  <c r="AD80" i="38"/>
  <c r="AS80" i="38"/>
  <c r="AQ80" i="38"/>
  <c r="AW16" i="43"/>
  <c r="AW76" i="43"/>
  <c r="AX76" i="43"/>
  <c r="AZ76" i="43"/>
  <c r="AZ81" i="43"/>
  <c r="AX81" i="43"/>
  <c r="AE20" i="3"/>
  <c r="F20" i="3"/>
  <c r="O45" i="3"/>
  <c r="AK20" i="3"/>
  <c r="AS7" i="38"/>
  <c r="AD7" i="38"/>
  <c r="AQ7" i="38"/>
  <c r="AZ21" i="43"/>
  <c r="AX21" i="43"/>
  <c r="AS94" i="38"/>
  <c r="AD94" i="38"/>
  <c r="AQ94" i="38"/>
  <c r="AW75" i="43"/>
  <c r="AZ29" i="43"/>
  <c r="AX29" i="43"/>
  <c r="AS31" i="38"/>
  <c r="AD31" i="38"/>
  <c r="AQ31" i="38"/>
  <c r="AD26" i="38"/>
  <c r="AS26" i="38"/>
  <c r="AQ26" i="38"/>
  <c r="AD84" i="38"/>
  <c r="AS84" i="38"/>
  <c r="AQ84" i="38"/>
  <c r="AW5" i="43"/>
  <c r="AS95" i="38"/>
  <c r="AD95" i="38"/>
  <c r="AQ95" i="38"/>
  <c r="AZ45" i="43"/>
  <c r="AX45" i="43"/>
  <c r="AZ15" i="43"/>
  <c r="AX15" i="43"/>
  <c r="AW84" i="43"/>
  <c r="AS22" i="38"/>
  <c r="AD22" i="38"/>
  <c r="AQ22" i="38"/>
  <c r="AW45" i="43"/>
  <c r="AT105" i="38"/>
  <c r="AW88" i="43"/>
  <c r="AW41" i="43"/>
  <c r="AD105" i="43"/>
  <c r="AD126" i="43" s="1"/>
  <c r="AW24" i="43"/>
  <c r="AS21" i="38"/>
  <c r="AD21" i="38"/>
  <c r="AQ21" i="38"/>
  <c r="AW15" i="43"/>
  <c r="AW11" i="43"/>
  <c r="AZ11" i="43"/>
  <c r="AX11" i="43"/>
  <c r="AX42" i="43"/>
  <c r="AZ42" i="43"/>
  <c r="AZ96" i="43"/>
  <c r="AX96" i="43"/>
  <c r="AS4" i="38"/>
  <c r="AD4" i="38"/>
  <c r="AQ4" i="38"/>
  <c r="AZ3" i="42"/>
  <c r="AZ105" i="42" s="1"/>
  <c r="AZ126" i="42" s="1"/>
  <c r="AX3" i="42"/>
  <c r="AV41" i="38" l="1" a="1"/>
  <c r="AV41" i="38" s="1"/>
  <c r="AZ41" i="38" s="1"/>
  <c r="AV31" i="38" a="1"/>
  <c r="AV31" i="38" s="1"/>
  <c r="AV96" i="38" a="1"/>
  <c r="AV96" i="38" s="1"/>
  <c r="AV18" i="38" a="1"/>
  <c r="AV18" i="38" s="1"/>
  <c r="AV86" i="38" a="1"/>
  <c r="AV86" i="38" s="1"/>
  <c r="AZ86" i="38" s="1"/>
  <c r="AV34" i="38" a="1"/>
  <c r="AV34" i="38" s="1"/>
  <c r="AV42" i="38" a="1"/>
  <c r="AV42" i="38" s="1"/>
  <c r="AV27" i="38" a="1"/>
  <c r="AV27" i="38" s="1"/>
  <c r="AV11" i="38" a="1"/>
  <c r="AV11" i="38" s="1"/>
  <c r="AW11" i="38" s="1"/>
  <c r="AV81" i="38" a="1"/>
  <c r="AV81" i="38" s="1"/>
  <c r="AV80" i="38" a="1"/>
  <c r="AV80" i="38" s="1"/>
  <c r="AV78" i="38" a="1"/>
  <c r="AV78" i="38" s="1"/>
  <c r="AV10" i="38" a="1"/>
  <c r="AV10" i="38" s="1"/>
  <c r="AV16" i="38" a="1"/>
  <c r="AV16" i="38" s="1"/>
  <c r="AV43" i="38" a="1"/>
  <c r="AV43" i="38" s="1"/>
  <c r="AV44" i="38" a="1"/>
  <c r="AV44" i="38" s="1"/>
  <c r="AV97" i="38" a="1"/>
  <c r="AV97" i="38" s="1"/>
  <c r="AV4" i="38" a="1"/>
  <c r="AV4" i="38" s="1"/>
  <c r="AV77" i="38" a="1"/>
  <c r="AV77" i="38" s="1"/>
  <c r="AV20" i="38" a="1"/>
  <c r="AV20" i="38" s="1"/>
  <c r="AV28" i="38"/>
  <c r="AV48" i="38" a="1"/>
  <c r="AV48" i="38" s="1"/>
  <c r="AV45" i="38" a="1"/>
  <c r="AV45" i="38" s="1"/>
  <c r="AV85" i="38" a="1"/>
  <c r="AV85" i="38" s="1"/>
  <c r="AV75" i="38" a="1"/>
  <c r="AV75" i="38" s="1"/>
  <c r="AV24" i="38" a="1"/>
  <c r="AV24" i="38" s="1"/>
  <c r="AV84" i="38" a="1"/>
  <c r="AV84" i="38" s="1"/>
  <c r="AV7" i="38" a="1"/>
  <c r="AV7" i="38" s="1"/>
  <c r="AV98" i="38" a="1"/>
  <c r="AV98" i="38" s="1"/>
  <c r="AV87" i="38" a="1"/>
  <c r="AV87" i="38" s="1"/>
  <c r="AV29" i="38" a="1"/>
  <c r="AV29" i="38" s="1"/>
  <c r="AV13" i="38" a="1"/>
  <c r="AV13" i="38" s="1"/>
  <c r="AZ13" i="38" s="1"/>
  <c r="AV47" i="38" a="1"/>
  <c r="AV47" i="38" s="1"/>
  <c r="AV79" i="38" a="1"/>
  <c r="AV79" i="38" s="1"/>
  <c r="AV82" i="38" a="1"/>
  <c r="AV82" i="38" s="1"/>
  <c r="AV23" i="38" a="1"/>
  <c r="AV23" i="38" s="1"/>
  <c r="AZ23" i="38" s="1"/>
  <c r="AV30" i="38" a="1"/>
  <c r="AV30" i="38" s="1"/>
  <c r="AV5" i="38" a="1"/>
  <c r="AV5" i="38" s="1"/>
  <c r="AV14" i="38" a="1"/>
  <c r="AV14" i="38" s="1"/>
  <c r="AV19" i="38" a="1"/>
  <c r="AV19" i="38" s="1"/>
  <c r="AX19" i="38" s="1"/>
  <c r="AV76" i="38" a="1"/>
  <c r="AV76" i="38" s="1"/>
  <c r="AV46" i="38" a="1"/>
  <c r="AV46" i="38" s="1"/>
  <c r="AV25" i="38" a="1"/>
  <c r="AV25" i="38" s="1"/>
  <c r="AV33" i="38" a="1"/>
  <c r="AV33" i="38" s="1"/>
  <c r="AX33" i="38" s="1"/>
  <c r="AV21" i="38" a="1"/>
  <c r="AV21" i="38" s="1"/>
  <c r="AV32" i="38" a="1"/>
  <c r="AV32" i="38" s="1"/>
  <c r="AV9" i="38" a="1"/>
  <c r="AV9" i="38" s="1"/>
  <c r="AV12" i="38" a="1"/>
  <c r="AV12" i="38" s="1"/>
  <c r="AW12" i="38" s="1"/>
  <c r="AV88" i="38" a="1"/>
  <c r="AV88" i="38" s="1"/>
  <c r="AV15" i="38" a="1"/>
  <c r="AV15" i="38" s="1"/>
  <c r="AV8" i="38" a="1"/>
  <c r="AV8" i="38" s="1"/>
  <c r="AV22" i="38" a="1"/>
  <c r="AV22" i="38" s="1"/>
  <c r="AX22" i="38" s="1"/>
  <c r="AV95" i="38" a="1"/>
  <c r="AV95" i="38" s="1"/>
  <c r="AV26" i="38" a="1"/>
  <c r="AV26" i="38" s="1"/>
  <c r="AV94" i="38" a="1"/>
  <c r="AV94" i="38" s="1"/>
  <c r="AV17" i="38" a="1"/>
  <c r="AV17" i="38" s="1"/>
  <c r="AZ17" i="38" s="1"/>
  <c r="AV83" i="38" a="1"/>
  <c r="AV83" i="38" s="1"/>
  <c r="AD106" i="38"/>
  <c r="AD127" i="38" s="1"/>
  <c r="AI17" i="3"/>
  <c r="AJ17" i="3"/>
  <c r="AI18" i="3"/>
  <c r="AJ18" i="3"/>
  <c r="AI19" i="3"/>
  <c r="AJ19" i="3"/>
  <c r="AZ22" i="43"/>
  <c r="AX26" i="43"/>
  <c r="AX86" i="43"/>
  <c r="AZ4" i="43"/>
  <c r="AZ17" i="43"/>
  <c r="AW26" i="43"/>
  <c r="AV104" i="43"/>
  <c r="AX83" i="43"/>
  <c r="AZ30" i="43"/>
  <c r="AZ79" i="43"/>
  <c r="AF45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C46" i="3"/>
  <c r="V46" i="3"/>
  <c r="T46" i="3"/>
  <c r="AD46" i="3"/>
  <c r="W46" i="3"/>
  <c r="Z46" i="3"/>
  <c r="X46" i="3"/>
  <c r="S46" i="3"/>
  <c r="AF46" i="3"/>
  <c r="AG46" i="3"/>
  <c r="U46" i="3"/>
  <c r="Q46" i="3"/>
  <c r="R46" i="3"/>
  <c r="AO128" i="43"/>
  <c r="AJ20" i="3"/>
  <c r="AI20" i="3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Q105" i="38"/>
  <c r="AE45" i="3"/>
  <c r="AW33" i="38"/>
  <c r="AW3" i="43"/>
  <c r="AZ3" i="43"/>
  <c r="AZ105" i="43" s="1"/>
  <c r="AZ126" i="43" s="1"/>
  <c r="AX3" i="43"/>
  <c r="AS105" i="38"/>
  <c r="AA127" i="38"/>
  <c r="AC104" i="38" s="1"/>
  <c r="AF106" i="38"/>
  <c r="P45" i="3"/>
  <c r="P46" i="3" s="1"/>
  <c r="AH20" i="3"/>
  <c r="AX104" i="43"/>
  <c r="AW104" i="43"/>
  <c r="AZ10" i="38" l="1"/>
  <c r="AW10" i="38"/>
  <c r="AX85" i="38"/>
  <c r="AZ85" i="38"/>
  <c r="AZ97" i="38"/>
  <c r="AW97" i="38"/>
  <c r="AW7" i="38"/>
  <c r="AX7" i="38"/>
  <c r="AX28" i="38"/>
  <c r="AZ28" i="38"/>
  <c r="AW17" i="38"/>
  <c r="AO106" i="38"/>
  <c r="AO127" i="38" s="1"/>
  <c r="AX30" i="38"/>
  <c r="AW30" i="38"/>
  <c r="AZ30" i="38"/>
  <c r="AZ29" i="38"/>
  <c r="AX29" i="38"/>
  <c r="AW29" i="38"/>
  <c r="AZ77" i="38"/>
  <c r="AX77" i="38"/>
  <c r="AW77" i="38"/>
  <c r="AW34" i="38"/>
  <c r="AX34" i="38"/>
  <c r="AZ34" i="38"/>
  <c r="AZ88" i="38"/>
  <c r="AX88" i="38"/>
  <c r="AW88" i="38"/>
  <c r="AX25" i="38"/>
  <c r="AW25" i="38"/>
  <c r="AZ25" i="38"/>
  <c r="AZ87" i="38"/>
  <c r="AX87" i="38"/>
  <c r="AW87" i="38"/>
  <c r="AW4" i="38"/>
  <c r="AX4" i="38"/>
  <c r="AZ4" i="38"/>
  <c r="AW78" i="38"/>
  <c r="AX78" i="38"/>
  <c r="AZ78" i="38"/>
  <c r="AZ26" i="38"/>
  <c r="AX26" i="38"/>
  <c r="AW26" i="38"/>
  <c r="AX76" i="38"/>
  <c r="AZ76" i="38"/>
  <c r="AW76" i="38"/>
  <c r="AW82" i="38"/>
  <c r="AZ82" i="38"/>
  <c r="AX82" i="38"/>
  <c r="AW45" i="38"/>
  <c r="AX45" i="38"/>
  <c r="AZ45" i="38"/>
  <c r="AZ81" i="38"/>
  <c r="AX81" i="38"/>
  <c r="AW81" i="38"/>
  <c r="AX18" i="38"/>
  <c r="AW18" i="38"/>
  <c r="AW105" i="38" s="1"/>
  <c r="AZ18" i="38"/>
  <c r="AX15" i="38"/>
  <c r="AW15" i="38"/>
  <c r="AZ15" i="38"/>
  <c r="AW98" i="38"/>
  <c r="AZ98" i="38"/>
  <c r="AX98" i="38"/>
  <c r="AX95" i="38"/>
  <c r="AZ95" i="38"/>
  <c r="AW95" i="38"/>
  <c r="AZ9" i="38"/>
  <c r="AX9" i="38"/>
  <c r="AW9" i="38"/>
  <c r="AX79" i="38"/>
  <c r="AZ79" i="38"/>
  <c r="AW79" i="38"/>
  <c r="AW48" i="38"/>
  <c r="AZ48" i="38"/>
  <c r="AX48" i="38"/>
  <c r="AX44" i="38"/>
  <c r="AZ44" i="38"/>
  <c r="AW44" i="38"/>
  <c r="AW96" i="38"/>
  <c r="AZ96" i="38"/>
  <c r="AX96" i="38"/>
  <c r="AW80" i="38"/>
  <c r="AZ80" i="38"/>
  <c r="AX80" i="38"/>
  <c r="AZ32" i="38"/>
  <c r="AX32" i="38"/>
  <c r="AW32" i="38"/>
  <c r="AZ47" i="38"/>
  <c r="AX47" i="38"/>
  <c r="AW47" i="38"/>
  <c r="AW84" i="38"/>
  <c r="AX84" i="38"/>
  <c r="AZ84" i="38"/>
  <c r="AW43" i="38"/>
  <c r="AZ43" i="38"/>
  <c r="AX43" i="38"/>
  <c r="AX31" i="38"/>
  <c r="AW31" i="38"/>
  <c r="AZ31" i="38"/>
  <c r="AX46" i="38"/>
  <c r="AZ46" i="38"/>
  <c r="AZ21" i="38"/>
  <c r="AX21" i="38"/>
  <c r="AW21" i="38"/>
  <c r="AX14" i="38"/>
  <c r="AZ14" i="38"/>
  <c r="AW14" i="38"/>
  <c r="AX24" i="38"/>
  <c r="AW24" i="38"/>
  <c r="AZ24" i="38"/>
  <c r="AZ16" i="38"/>
  <c r="AX16" i="38"/>
  <c r="AW16" i="38"/>
  <c r="AZ27" i="38"/>
  <c r="AX27" i="38"/>
  <c r="AW27" i="38"/>
  <c r="AW94" i="38"/>
  <c r="AZ94" i="38"/>
  <c r="AX94" i="38"/>
  <c r="AW83" i="38"/>
  <c r="AX83" i="38"/>
  <c r="AZ83" i="38"/>
  <c r="AZ8" i="38"/>
  <c r="AX8" i="38"/>
  <c r="AW8" i="38"/>
  <c r="AX5" i="38"/>
  <c r="AW5" i="38"/>
  <c r="AZ5" i="38"/>
  <c r="AX75" i="38"/>
  <c r="AW75" i="38"/>
  <c r="AZ75" i="38"/>
  <c r="AW20" i="38"/>
  <c r="AX20" i="38"/>
  <c r="AZ20" i="38"/>
  <c r="AZ42" i="38"/>
  <c r="AW42" i="38"/>
  <c r="AX42" i="38"/>
  <c r="AZ19" i="38"/>
  <c r="AZ7" i="38"/>
  <c r="AX17" i="38"/>
  <c r="AX23" i="38"/>
  <c r="AX11" i="38"/>
  <c r="AV6" i="38" a="1"/>
  <c r="AV6" i="38" s="1"/>
  <c r="AV105" i="38"/>
  <c r="AW22" i="38"/>
  <c r="AW86" i="38"/>
  <c r="AW13" i="38"/>
  <c r="AZ22" i="38"/>
  <c r="AX13" i="38"/>
  <c r="AX10" i="38"/>
  <c r="AW85" i="38"/>
  <c r="AZ11" i="38"/>
  <c r="AX12" i="38"/>
  <c r="AZ33" i="38"/>
  <c r="AX41" i="38"/>
  <c r="AW28" i="38"/>
  <c r="AX86" i="38"/>
  <c r="AZ12" i="38"/>
  <c r="AW41" i="38"/>
  <c r="AX97" i="38"/>
  <c r="E4" i="50"/>
  <c r="D105" i="50"/>
  <c r="AG45" i="3"/>
  <c r="AC111" i="38"/>
  <c r="AC121" i="38"/>
  <c r="AC110" i="38"/>
  <c r="AC116" i="38"/>
  <c r="AC118" i="38"/>
  <c r="AC108" i="38"/>
  <c r="AC122" i="38"/>
  <c r="AC109" i="38"/>
  <c r="AC117" i="38"/>
  <c r="AC119" i="38"/>
  <c r="AC120" i="38"/>
  <c r="AC112" i="38"/>
  <c r="AC123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7" i="38"/>
  <c r="AC3" i="38"/>
  <c r="AX105" i="38"/>
  <c r="AV3" i="38"/>
  <c r="AC105" i="43"/>
  <c r="AC126" i="43" s="1"/>
  <c r="AZ6" i="38" l="1"/>
  <c r="AX6" i="38"/>
  <c r="AW6" i="38"/>
  <c r="AC106" i="38"/>
  <c r="F4" i="50"/>
  <c r="E5" i="50"/>
  <c r="AC114" i="38"/>
  <c r="AC125" i="38"/>
  <c r="AZ3" i="38"/>
  <c r="AX3" i="38"/>
  <c r="AW3" i="38"/>
  <c r="AZ106" i="38" l="1"/>
  <c r="AZ127" i="38" s="1"/>
  <c r="E6" i="50"/>
  <c r="F5" i="50"/>
  <c r="AC127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  <c r="X99" i="56" l="1"/>
  <c r="AN99" i="56" s="1"/>
  <c r="AA99" i="56"/>
  <c r="X103" i="56"/>
  <c r="AN103" i="56" s="1"/>
  <c r="AA103" i="56" l="1"/>
  <c r="X100" i="56"/>
  <c r="AN100" i="56" s="1"/>
  <c r="U102" i="56"/>
  <c r="AU102" i="56"/>
  <c r="AT102" i="56"/>
  <c r="X101" i="56"/>
  <c r="AN101" i="56" s="1"/>
  <c r="AA100" i="56"/>
  <c r="U101" i="56"/>
  <c r="U103" i="56"/>
  <c r="AF103" i="56"/>
  <c r="AU101" i="56"/>
  <c r="AT101" i="56"/>
  <c r="AF99" i="56"/>
  <c r="AA102" i="56"/>
  <c r="U100" i="56"/>
  <c r="AU100" i="56"/>
  <c r="AT100" i="56"/>
  <c r="AF100" i="56"/>
  <c r="AU103" i="56"/>
  <c r="AT103" i="56"/>
  <c r="X102" i="56"/>
  <c r="AN102" i="56" s="1"/>
  <c r="AA101" i="56"/>
  <c r="U99" i="56"/>
  <c r="AU99" i="56"/>
  <c r="AT99" i="56"/>
  <c r="AD99" i="56" l="1"/>
  <c r="AO99" i="56" s="1"/>
  <c r="AV99" i="56" s="1" a="1"/>
  <c r="AV99" i="56" s="1"/>
  <c r="AS99" i="56"/>
  <c r="AQ99" i="56"/>
  <c r="AW99" i="56" s="1"/>
  <c r="R99" i="56"/>
  <c r="AD100" i="56"/>
  <c r="AS100" i="56"/>
  <c r="R100" i="56"/>
  <c r="AQ100" i="56"/>
  <c r="AD102" i="56"/>
  <c r="AO102" i="56" s="1"/>
  <c r="AV102" i="56" s="1" a="1"/>
  <c r="AV102" i="56" s="1"/>
  <c r="AS102" i="56"/>
  <c r="AQ102" i="56"/>
  <c r="R102" i="56"/>
  <c r="AF101" i="56"/>
  <c r="AF102" i="56"/>
  <c r="AD103" i="56"/>
  <c r="AO103" i="56" s="1"/>
  <c r="AV103" i="56" s="1" a="1"/>
  <c r="AV103" i="56" s="1"/>
  <c r="R103" i="56"/>
  <c r="AQ103" i="56"/>
  <c r="AW103" i="56" s="1"/>
  <c r="AS103" i="56"/>
  <c r="AD101" i="56"/>
  <c r="AO101" i="56" s="1"/>
  <c r="AV101" i="56" s="1" a="1"/>
  <c r="AV101" i="56" s="1"/>
  <c r="AQ101" i="56"/>
  <c r="AW101" i="56" s="1"/>
  <c r="AS101" i="56"/>
  <c r="R101" i="56"/>
  <c r="AO100" i="56"/>
  <c r="AV100" i="56" s="1" a="1"/>
  <c r="AV100" i="56" s="1"/>
  <c r="AX101" i="56" l="1"/>
  <c r="AZ101" i="56"/>
  <c r="AZ102" i="56"/>
  <c r="AX102" i="56"/>
  <c r="AW100" i="56"/>
  <c r="AZ100" i="56"/>
  <c r="AX100" i="56"/>
  <c r="AZ103" i="56"/>
  <c r="AX103" i="56"/>
  <c r="AW102" i="56"/>
  <c r="AZ99" i="56"/>
  <c r="AX99" i="56"/>
  <c r="X49" i="56" l="1"/>
  <c r="AN49" i="56" s="1"/>
  <c r="AA49" i="56"/>
  <c r="X50" i="56"/>
  <c r="AN50" i="56" s="1"/>
  <c r="U56" i="56"/>
  <c r="AA56" i="56"/>
  <c r="X61" i="56"/>
  <c r="AN61" i="56" s="1"/>
  <c r="AA63" i="56"/>
  <c r="U64" i="56"/>
  <c r="X66" i="56"/>
  <c r="AN66" i="56" s="1"/>
  <c r="X69" i="56"/>
  <c r="AN69" i="56" s="1"/>
  <c r="U72" i="56"/>
  <c r="X74" i="56"/>
  <c r="AN74" i="56" s="1"/>
  <c r="X57" i="56" l="1"/>
  <c r="AN57" i="56" s="1"/>
  <c r="X53" i="56"/>
  <c r="AN53" i="56" s="1"/>
  <c r="AD72" i="56"/>
  <c r="AS72" i="56"/>
  <c r="R72" i="56"/>
  <c r="AQ72" i="56"/>
  <c r="AW72" i="56" s="1"/>
  <c r="AD64" i="56"/>
  <c r="AS64" i="56"/>
  <c r="AQ64" i="56"/>
  <c r="AW64" i="56" s="1"/>
  <c r="R64" i="56"/>
  <c r="AD56" i="56"/>
  <c r="R56" i="56"/>
  <c r="AS56" i="56"/>
  <c r="AQ56" i="56"/>
  <c r="AW56" i="56" s="1"/>
  <c r="AU72" i="56"/>
  <c r="AT72" i="56"/>
  <c r="X71" i="56"/>
  <c r="AN71" i="56" s="1"/>
  <c r="AA70" i="56"/>
  <c r="U68" i="56"/>
  <c r="AU68" i="56"/>
  <c r="AT68" i="56"/>
  <c r="X67" i="56"/>
  <c r="AN67" i="56" s="1"/>
  <c r="AA66" i="56"/>
  <c r="AU64" i="56"/>
  <c r="AT64" i="56"/>
  <c r="X63" i="56"/>
  <c r="AN63" i="56" s="1"/>
  <c r="AA62" i="56"/>
  <c r="U60" i="56"/>
  <c r="AU60" i="56"/>
  <c r="AT60" i="56"/>
  <c r="X59" i="56"/>
  <c r="AN59" i="56" s="1"/>
  <c r="AA58" i="56"/>
  <c r="AU56" i="56"/>
  <c r="AT56" i="56"/>
  <c r="X55" i="56"/>
  <c r="AN55" i="56" s="1"/>
  <c r="AA54" i="56"/>
  <c r="U52" i="56"/>
  <c r="AU52" i="56"/>
  <c r="AT52" i="56"/>
  <c r="X51" i="56"/>
  <c r="AN51" i="56" s="1"/>
  <c r="AA50" i="56"/>
  <c r="X72" i="56"/>
  <c r="AN72" i="56" s="1"/>
  <c r="AA74" i="56"/>
  <c r="AA73" i="56"/>
  <c r="U71" i="56"/>
  <c r="AU71" i="56"/>
  <c r="AT71" i="56"/>
  <c r="X70" i="56"/>
  <c r="AN70" i="56" s="1"/>
  <c r="AA69" i="56"/>
  <c r="U67" i="56"/>
  <c r="AU67" i="56"/>
  <c r="AT67" i="56"/>
  <c r="AA65" i="56"/>
  <c r="U63" i="56"/>
  <c r="AT63" i="56"/>
  <c r="AU63" i="56"/>
  <c r="X62" i="56"/>
  <c r="AN62" i="56" s="1"/>
  <c r="AA61" i="56"/>
  <c r="U59" i="56"/>
  <c r="AU59" i="56"/>
  <c r="AT59" i="56"/>
  <c r="X58" i="56"/>
  <c r="AN58" i="56" s="1"/>
  <c r="AA57" i="56"/>
  <c r="U55" i="56"/>
  <c r="AU55" i="56"/>
  <c r="AT55" i="56"/>
  <c r="X54" i="56"/>
  <c r="AN54" i="56" s="1"/>
  <c r="AA53" i="56"/>
  <c r="U51" i="56"/>
  <c r="AU51" i="56"/>
  <c r="AT51" i="56"/>
  <c r="AF49" i="56"/>
  <c r="AF56" i="56"/>
  <c r="U74" i="56"/>
  <c r="AU74" i="56"/>
  <c r="AT74" i="56"/>
  <c r="X73" i="56"/>
  <c r="AN73" i="56" s="1"/>
  <c r="AA72" i="56"/>
  <c r="U70" i="56"/>
  <c r="AT70" i="56"/>
  <c r="AU70" i="56"/>
  <c r="AA68" i="56"/>
  <c r="U66" i="56"/>
  <c r="AU66" i="56"/>
  <c r="AT66" i="56"/>
  <c r="X65" i="56"/>
  <c r="AN65" i="56" s="1"/>
  <c r="AA64" i="56"/>
  <c r="U62" i="56"/>
  <c r="AU62" i="56"/>
  <c r="AT62" i="56"/>
  <c r="AA60" i="56"/>
  <c r="U58" i="56"/>
  <c r="AU58" i="56"/>
  <c r="AT58" i="56"/>
  <c r="U54" i="56"/>
  <c r="AU54" i="56"/>
  <c r="AT54" i="56"/>
  <c r="AA52" i="56"/>
  <c r="U50" i="56"/>
  <c r="AT50" i="56"/>
  <c r="AU50" i="56"/>
  <c r="AF63" i="56"/>
  <c r="U73" i="56"/>
  <c r="AU73" i="56"/>
  <c r="AT73" i="56"/>
  <c r="AA71" i="56"/>
  <c r="U69" i="56"/>
  <c r="AU69" i="56"/>
  <c r="AT69" i="56"/>
  <c r="X68" i="56"/>
  <c r="AN68" i="56" s="1"/>
  <c r="AA67" i="56"/>
  <c r="U65" i="56"/>
  <c r="AU65" i="56"/>
  <c r="AT65" i="56"/>
  <c r="X64" i="56"/>
  <c r="AN64" i="56" s="1"/>
  <c r="U61" i="56"/>
  <c r="AU61" i="56"/>
  <c r="AT61" i="56"/>
  <c r="X60" i="56"/>
  <c r="AN60" i="56" s="1"/>
  <c r="AA59" i="56"/>
  <c r="U57" i="56"/>
  <c r="AT57" i="56"/>
  <c r="AU57" i="56"/>
  <c r="X56" i="56"/>
  <c r="AN56" i="56" s="1"/>
  <c r="AO56" i="56" s="1"/>
  <c r="AV56" i="56" s="1" a="1"/>
  <c r="AV56" i="56" s="1"/>
  <c r="AA55" i="56"/>
  <c r="U53" i="56"/>
  <c r="AU53" i="56"/>
  <c r="AT53" i="56"/>
  <c r="X52" i="56"/>
  <c r="AN52" i="56" s="1"/>
  <c r="AA51" i="56"/>
  <c r="U49" i="56"/>
  <c r="AU49" i="56"/>
  <c r="AT49" i="56"/>
  <c r="AA89" i="56"/>
  <c r="AA93" i="56"/>
  <c r="X35" i="56"/>
  <c r="AN35" i="56" s="1"/>
  <c r="X37" i="56"/>
  <c r="AN37" i="56" s="1"/>
  <c r="AA39" i="56"/>
  <c r="AF39" i="56"/>
  <c r="X38" i="56" l="1"/>
  <c r="AN38" i="56" s="1"/>
  <c r="X93" i="56"/>
  <c r="AN93" i="56" s="1"/>
  <c r="X89" i="56"/>
  <c r="AN89" i="56" s="1"/>
  <c r="X40" i="56"/>
  <c r="AN40" i="56" s="1"/>
  <c r="AA38" i="56"/>
  <c r="AA40" i="56"/>
  <c r="U37" i="56"/>
  <c r="AU37" i="56"/>
  <c r="AT37" i="56"/>
  <c r="X36" i="56"/>
  <c r="AN36" i="56" s="1"/>
  <c r="AA35" i="56"/>
  <c r="U92" i="56"/>
  <c r="AU92" i="56"/>
  <c r="AT92" i="56"/>
  <c r="X91" i="56"/>
  <c r="AN91" i="56" s="1"/>
  <c r="AA90" i="56"/>
  <c r="AD49" i="56"/>
  <c r="AO49" i="56" s="1"/>
  <c r="AV49" i="56" s="1" a="1"/>
  <c r="AV49" i="56" s="1"/>
  <c r="AS49" i="56"/>
  <c r="AQ49" i="56"/>
  <c r="R49" i="56"/>
  <c r="AD69" i="56"/>
  <c r="R69" i="56"/>
  <c r="AQ69" i="56"/>
  <c r="AS69" i="56"/>
  <c r="AF69" i="56"/>
  <c r="AO69" i="56"/>
  <c r="AV69" i="56" s="1" a="1"/>
  <c r="AV69" i="56" s="1"/>
  <c r="AF70" i="56"/>
  <c r="X90" i="56"/>
  <c r="AN90" i="56" s="1"/>
  <c r="AF51" i="56"/>
  <c r="AF71" i="56"/>
  <c r="AD58" i="56"/>
  <c r="AS58" i="56"/>
  <c r="AQ58" i="56"/>
  <c r="AW58" i="56" s="1"/>
  <c r="R58" i="56"/>
  <c r="AD55" i="56"/>
  <c r="AS55" i="56"/>
  <c r="R55" i="56"/>
  <c r="AQ55" i="56"/>
  <c r="AW55" i="56" s="1"/>
  <c r="AF50" i="56"/>
  <c r="X39" i="56"/>
  <c r="AN39" i="56" s="1"/>
  <c r="AF38" i="56"/>
  <c r="U36" i="56"/>
  <c r="AU36" i="56"/>
  <c r="AT36" i="56"/>
  <c r="AF93" i="56"/>
  <c r="U91" i="56"/>
  <c r="AU91" i="56"/>
  <c r="AT91" i="56"/>
  <c r="AF89" i="56"/>
  <c r="AD57" i="56"/>
  <c r="AO57" i="56" s="1"/>
  <c r="AV57" i="56" s="1" a="1"/>
  <c r="AV57" i="56" s="1"/>
  <c r="AS57" i="56"/>
  <c r="R57" i="56"/>
  <c r="AQ57" i="56"/>
  <c r="AW57" i="56" s="1"/>
  <c r="AD50" i="56"/>
  <c r="AO50" i="56" s="1"/>
  <c r="AV50" i="56" s="1" a="1"/>
  <c r="AV50" i="56" s="1"/>
  <c r="AQ50" i="56"/>
  <c r="R50" i="56"/>
  <c r="AS50" i="56"/>
  <c r="AF60" i="56"/>
  <c r="AD66" i="56"/>
  <c r="AQ66" i="56"/>
  <c r="AW66" i="56" s="1"/>
  <c r="AS66" i="56"/>
  <c r="R66" i="56"/>
  <c r="AF57" i="56"/>
  <c r="AF58" i="56"/>
  <c r="AO58" i="56"/>
  <c r="AV58" i="56" s="1" a="1"/>
  <c r="AV58" i="56" s="1"/>
  <c r="U40" i="56"/>
  <c r="AF59" i="56"/>
  <c r="AD65" i="56"/>
  <c r="AS65" i="56"/>
  <c r="R65" i="56"/>
  <c r="AQ65" i="56"/>
  <c r="AW65" i="56" s="1"/>
  <c r="AF52" i="56"/>
  <c r="AF68" i="56"/>
  <c r="AD74" i="56"/>
  <c r="AS74" i="56"/>
  <c r="R74" i="56"/>
  <c r="AQ74" i="56"/>
  <c r="AW74" i="56" s="1"/>
  <c r="AD63" i="56"/>
  <c r="AO63" i="56" s="1"/>
  <c r="AV63" i="56" s="1" a="1"/>
  <c r="AV63" i="56" s="1"/>
  <c r="AS63" i="56"/>
  <c r="R63" i="56"/>
  <c r="AQ63" i="56"/>
  <c r="AW63" i="56" s="1"/>
  <c r="AF66" i="56"/>
  <c r="AO66" i="56"/>
  <c r="AV66" i="56" s="1" a="1"/>
  <c r="AV66" i="56" s="1"/>
  <c r="AU40" i="56"/>
  <c r="AT40" i="56"/>
  <c r="AA37" i="56"/>
  <c r="U35" i="56"/>
  <c r="AT35" i="56"/>
  <c r="AU35" i="56"/>
  <c r="AA92" i="56"/>
  <c r="U90" i="56"/>
  <c r="AT90" i="56"/>
  <c r="AU90" i="56"/>
  <c r="AF67" i="56"/>
  <c r="AD73" i="56"/>
  <c r="AO73" i="56" s="1"/>
  <c r="AV73" i="56" s="1" a="1"/>
  <c r="AV73" i="56" s="1"/>
  <c r="AS73" i="56"/>
  <c r="R73" i="56"/>
  <c r="AQ73" i="56"/>
  <c r="AD51" i="56"/>
  <c r="AO51" i="56" s="1"/>
  <c r="AV51" i="56" s="1" a="1"/>
  <c r="AV51" i="56" s="1"/>
  <c r="AQ51" i="56"/>
  <c r="AW51" i="56" s="1"/>
  <c r="AS51" i="56"/>
  <c r="R51" i="56"/>
  <c r="AF65" i="56"/>
  <c r="AO65" i="56"/>
  <c r="AV65" i="56" s="1" a="1"/>
  <c r="AV65" i="56" s="1"/>
  <c r="AD71" i="56"/>
  <c r="AO71" i="56" s="1"/>
  <c r="AV71" i="56" s="1" a="1"/>
  <c r="AV71" i="56" s="1"/>
  <c r="AQ71" i="56"/>
  <c r="AW71" i="56" s="1"/>
  <c r="AS71" i="56"/>
  <c r="R71" i="56"/>
  <c r="U39" i="56"/>
  <c r="AU39" i="56"/>
  <c r="AT39" i="56"/>
  <c r="AD53" i="56"/>
  <c r="AO53" i="56" s="1"/>
  <c r="AV53" i="56" s="1" a="1"/>
  <c r="AV53" i="56" s="1"/>
  <c r="AS53" i="56"/>
  <c r="R53" i="56"/>
  <c r="AQ53" i="56"/>
  <c r="AD62" i="56"/>
  <c r="AS62" i="56"/>
  <c r="R62" i="56"/>
  <c r="AQ62" i="56"/>
  <c r="AW62" i="56" s="1"/>
  <c r="AZ56" i="56"/>
  <c r="AX56" i="56"/>
  <c r="AF53" i="56"/>
  <c r="AF73" i="56"/>
  <c r="AD52" i="56"/>
  <c r="AO52" i="56" s="1"/>
  <c r="AV52" i="56" s="1" a="1"/>
  <c r="AV52" i="56" s="1"/>
  <c r="R52" i="56"/>
  <c r="AS52" i="56"/>
  <c r="AQ52" i="56"/>
  <c r="U38" i="56"/>
  <c r="AU38" i="56"/>
  <c r="AT38" i="56"/>
  <c r="AA36" i="56"/>
  <c r="U93" i="56"/>
  <c r="AU93" i="56"/>
  <c r="AT93" i="56"/>
  <c r="X92" i="56"/>
  <c r="AN92" i="56" s="1"/>
  <c r="AA91" i="56"/>
  <c r="U89" i="56"/>
  <c r="AU89" i="56"/>
  <c r="AT89" i="56"/>
  <c r="AF55" i="56"/>
  <c r="AO55" i="56"/>
  <c r="AV55" i="56" s="1" a="1"/>
  <c r="AV55" i="56" s="1"/>
  <c r="AD54" i="56"/>
  <c r="AS54" i="56"/>
  <c r="R54" i="56"/>
  <c r="AQ54" i="56"/>
  <c r="AW54" i="56" s="1"/>
  <c r="AF64" i="56"/>
  <c r="AO64" i="56"/>
  <c r="AV64" i="56" s="1" a="1"/>
  <c r="AV64" i="56" s="1"/>
  <c r="AD70" i="56"/>
  <c r="AO70" i="56" s="1"/>
  <c r="AV70" i="56" s="1" a="1"/>
  <c r="AV70" i="56" s="1"/>
  <c r="AS70" i="56"/>
  <c r="AQ70" i="56"/>
  <c r="AW70" i="56" s="1"/>
  <c r="R70" i="56"/>
  <c r="AD59" i="56"/>
  <c r="AO59" i="56" s="1"/>
  <c r="AV59" i="56" s="1" a="1"/>
  <c r="AV59" i="56" s="1"/>
  <c r="AS59" i="56"/>
  <c r="R59" i="56"/>
  <c r="AQ59" i="56"/>
  <c r="AW59" i="56" s="1"/>
  <c r="AF54" i="56"/>
  <c r="AO54" i="56"/>
  <c r="AV54" i="56" s="1" a="1"/>
  <c r="AV54" i="56" s="1"/>
  <c r="AD60" i="56"/>
  <c r="AO60" i="56" s="1"/>
  <c r="AV60" i="56" s="1" a="1"/>
  <c r="AV60" i="56" s="1"/>
  <c r="AS60" i="56"/>
  <c r="R60" i="56"/>
  <c r="AQ60" i="56"/>
  <c r="AD61" i="56"/>
  <c r="AO61" i="56" s="1"/>
  <c r="AV61" i="56" s="1" a="1"/>
  <c r="AV61" i="56" s="1"/>
  <c r="AS61" i="56"/>
  <c r="AQ61" i="56"/>
  <c r="R61" i="56"/>
  <c r="AF72" i="56"/>
  <c r="AO72" i="56"/>
  <c r="AV72" i="56" s="1" a="1"/>
  <c r="AV72" i="56" s="1"/>
  <c r="AF61" i="56"/>
  <c r="AD67" i="56"/>
  <c r="AO67" i="56" s="1"/>
  <c r="AV67" i="56" s="1" a="1"/>
  <c r="AV67" i="56" s="1"/>
  <c r="R67" i="56"/>
  <c r="AS67" i="56"/>
  <c r="AQ67" i="56"/>
  <c r="AW67" i="56" s="1"/>
  <c r="AF74" i="56"/>
  <c r="AO74" i="56"/>
  <c r="AV74" i="56" s="1" a="1"/>
  <c r="AV74" i="56" s="1"/>
  <c r="AF62" i="56"/>
  <c r="AO62" i="56"/>
  <c r="AV62" i="56" s="1" a="1"/>
  <c r="AV62" i="56" s="1"/>
  <c r="AD68" i="56"/>
  <c r="AO68" i="56" s="1"/>
  <c r="AV68" i="56" s="1" a="1"/>
  <c r="AV68" i="56" s="1"/>
  <c r="AQ68" i="56"/>
  <c r="AW68" i="56" s="1"/>
  <c r="R68" i="56"/>
  <c r="AS68" i="56"/>
  <c r="AW73" i="56" l="1"/>
  <c r="AW52" i="56"/>
  <c r="AX59" i="56"/>
  <c r="AZ59" i="56"/>
  <c r="AZ71" i="56"/>
  <c r="AX71" i="56"/>
  <c r="AZ60" i="56"/>
  <c r="AX60" i="56"/>
  <c r="AZ70" i="56"/>
  <c r="AX70" i="56"/>
  <c r="AZ67" i="56"/>
  <c r="AX67" i="56"/>
  <c r="AZ68" i="56"/>
  <c r="AX68" i="56"/>
  <c r="AX51" i="56"/>
  <c r="AZ51" i="56"/>
  <c r="AD89" i="56"/>
  <c r="AO89" i="56" s="1"/>
  <c r="AV89" i="56" s="1" a="1"/>
  <c r="AV89" i="56" s="1"/>
  <c r="AQ89" i="56"/>
  <c r="AS89" i="56"/>
  <c r="R89" i="56"/>
  <c r="AD39" i="56"/>
  <c r="AS39" i="56"/>
  <c r="AQ39" i="56"/>
  <c r="R39" i="56"/>
  <c r="AD91" i="56"/>
  <c r="AO91" i="56" s="1"/>
  <c r="AV91" i="56" s="1" a="1"/>
  <c r="AV91" i="56" s="1"/>
  <c r="AQ91" i="56"/>
  <c r="AW91" i="56" s="1"/>
  <c r="R91" i="56"/>
  <c r="AS91" i="56"/>
  <c r="T106" i="56"/>
  <c r="Z106" i="56"/>
  <c r="AF91" i="56"/>
  <c r="AD38" i="56"/>
  <c r="R38" i="56"/>
  <c r="AS38" i="56"/>
  <c r="AQ38" i="56"/>
  <c r="AW38" i="56" s="1"/>
  <c r="AD35" i="56"/>
  <c r="AO35" i="56" s="1"/>
  <c r="AV35" i="56" s="1" a="1"/>
  <c r="AV35" i="56" s="1"/>
  <c r="AS35" i="56"/>
  <c r="R35" i="56"/>
  <c r="AQ35" i="56"/>
  <c r="AW35" i="56" s="1"/>
  <c r="AD92" i="56"/>
  <c r="R92" i="56"/>
  <c r="AQ92" i="56"/>
  <c r="AW92" i="56" s="1"/>
  <c r="AS92" i="56"/>
  <c r="W106" i="56"/>
  <c r="AZ62" i="56"/>
  <c r="AX62" i="56"/>
  <c r="AW61" i="56"/>
  <c r="AZ54" i="56"/>
  <c r="AX54" i="56"/>
  <c r="AZ53" i="56"/>
  <c r="AX53" i="56"/>
  <c r="AW53" i="56"/>
  <c r="AF37" i="56"/>
  <c r="AX57" i="56"/>
  <c r="AZ57" i="56"/>
  <c r="AF35" i="56"/>
  <c r="AZ63" i="56"/>
  <c r="AX63" i="56"/>
  <c r="AZ69" i="56"/>
  <c r="AX69" i="56"/>
  <c r="AZ61" i="56"/>
  <c r="AX61" i="56"/>
  <c r="AZ55" i="56"/>
  <c r="AX55" i="56"/>
  <c r="AZ52" i="56"/>
  <c r="AX52" i="56"/>
  <c r="AW50" i="56"/>
  <c r="AZ50" i="56"/>
  <c r="AX50" i="56"/>
  <c r="AW49" i="56"/>
  <c r="AZ49" i="56"/>
  <c r="AX49" i="56"/>
  <c r="AZ74" i="56"/>
  <c r="AX74" i="56"/>
  <c r="AW60" i="56"/>
  <c r="AX64" i="56"/>
  <c r="AZ64" i="56"/>
  <c r="AD93" i="56"/>
  <c r="AO93" i="56" s="1"/>
  <c r="AV93" i="56" s="1" a="1"/>
  <c r="AV93" i="56" s="1"/>
  <c r="AS93" i="56"/>
  <c r="AQ93" i="56"/>
  <c r="AW93" i="56" s="1"/>
  <c r="R93" i="56"/>
  <c r="AD90" i="56"/>
  <c r="AO90" i="56" s="1"/>
  <c r="AV90" i="56" s="1" a="1"/>
  <c r="AV90" i="56" s="1"/>
  <c r="AS90" i="56"/>
  <c r="AQ90" i="56"/>
  <c r="AW90" i="56" s="1"/>
  <c r="R90" i="56"/>
  <c r="AD40" i="56"/>
  <c r="AS40" i="56"/>
  <c r="R40" i="56"/>
  <c r="AQ40" i="56"/>
  <c r="AW40" i="56" s="1"/>
  <c r="AF90" i="56"/>
  <c r="AF36" i="56"/>
  <c r="AZ65" i="56"/>
  <c r="AX65" i="56"/>
  <c r="AF92" i="56"/>
  <c r="AO92" i="56"/>
  <c r="AV92" i="56" s="1" a="1"/>
  <c r="AV92" i="56" s="1"/>
  <c r="AZ66" i="56"/>
  <c r="AX66" i="56"/>
  <c r="AD36" i="56"/>
  <c r="AO36" i="56" s="1"/>
  <c r="AV36" i="56" s="1" a="1"/>
  <c r="AV36" i="56" s="1"/>
  <c r="R36" i="56"/>
  <c r="AQ36" i="56"/>
  <c r="AW36" i="56" s="1"/>
  <c r="AS36" i="56"/>
  <c r="AW69" i="56"/>
  <c r="AD37" i="56"/>
  <c r="AO37" i="56" s="1"/>
  <c r="AV37" i="56" s="1" a="1"/>
  <c r="AV37" i="56" s="1"/>
  <c r="AS37" i="56"/>
  <c r="R37" i="56"/>
  <c r="AQ37" i="56"/>
  <c r="AW37" i="56" s="1"/>
  <c r="AZ72" i="56"/>
  <c r="AX72" i="56"/>
  <c r="AZ73" i="56"/>
  <c r="AX73" i="56"/>
  <c r="AZ58" i="56"/>
  <c r="AX58" i="56"/>
  <c r="AF40" i="56"/>
  <c r="X4" i="56"/>
  <c r="AN4" i="56" s="1"/>
  <c r="AA4" i="56"/>
  <c r="X5" i="56"/>
  <c r="AN5" i="56" s="1"/>
  <c r="AA5" i="56"/>
  <c r="X6" i="56"/>
  <c r="AN6" i="56" s="1"/>
  <c r="AA6" i="56"/>
  <c r="X7" i="56"/>
  <c r="AN7" i="56" s="1"/>
  <c r="AA7" i="56"/>
  <c r="U8" i="56"/>
  <c r="X8" i="56"/>
  <c r="AN8" i="56" s="1"/>
  <c r="AA8" i="56"/>
  <c r="X9" i="56"/>
  <c r="AN9" i="56" s="1"/>
  <c r="AA9" i="56"/>
  <c r="X10" i="56"/>
  <c r="AN10" i="56" s="1"/>
  <c r="AA10" i="56"/>
  <c r="X11" i="56"/>
  <c r="AN11" i="56" s="1"/>
  <c r="AA11" i="56"/>
  <c r="X12" i="56"/>
  <c r="AN12" i="56" s="1"/>
  <c r="AA12" i="56"/>
  <c r="X13" i="56"/>
  <c r="AN13" i="56" s="1"/>
  <c r="AA13" i="56"/>
  <c r="X14" i="56"/>
  <c r="AN14" i="56" s="1"/>
  <c r="AA14" i="56"/>
  <c r="X15" i="56"/>
  <c r="AN15" i="56" s="1"/>
  <c r="AA15" i="56"/>
  <c r="U16" i="56"/>
  <c r="X16" i="56"/>
  <c r="AN16" i="56" s="1"/>
  <c r="AA16" i="56"/>
  <c r="X17" i="56"/>
  <c r="AN17" i="56" s="1"/>
  <c r="AA17" i="56"/>
  <c r="X18" i="56"/>
  <c r="AN18" i="56" s="1"/>
  <c r="AA18" i="56"/>
  <c r="X19" i="56"/>
  <c r="AN19" i="56" s="1"/>
  <c r="AA19" i="56"/>
  <c r="X20" i="56"/>
  <c r="AN20" i="56" s="1"/>
  <c r="AA20" i="56"/>
  <c r="X21" i="56"/>
  <c r="AN21" i="56" s="1"/>
  <c r="AA21" i="56"/>
  <c r="X22" i="56"/>
  <c r="AN22" i="56" s="1"/>
  <c r="AA22" i="56"/>
  <c r="X23" i="56"/>
  <c r="AN23" i="56" s="1"/>
  <c r="AA23" i="56"/>
  <c r="X24" i="56"/>
  <c r="AN24" i="56" s="1"/>
  <c r="AA24" i="56"/>
  <c r="X25" i="56"/>
  <c r="AN25" i="56" s="1"/>
  <c r="AA25" i="56"/>
  <c r="X26" i="56"/>
  <c r="AN26" i="56" s="1"/>
  <c r="AA26" i="56"/>
  <c r="X27" i="56"/>
  <c r="AN27" i="56" s="1"/>
  <c r="AA27" i="56"/>
  <c r="X28" i="56"/>
  <c r="AN28" i="56" s="1"/>
  <c r="AA28" i="56"/>
  <c r="X29" i="56"/>
  <c r="AN29" i="56" s="1"/>
  <c r="AA29" i="56"/>
  <c r="X30" i="56"/>
  <c r="AN30" i="56" s="1"/>
  <c r="AA30" i="56"/>
  <c r="X31" i="56"/>
  <c r="AN31" i="56" s="1"/>
  <c r="AA31" i="56"/>
  <c r="X32" i="56"/>
  <c r="AN32" i="56" s="1"/>
  <c r="AA32" i="56"/>
  <c r="X33" i="56"/>
  <c r="AN33" i="56" s="1"/>
  <c r="AA33" i="56"/>
  <c r="X34" i="56"/>
  <c r="AN34" i="56" s="1"/>
  <c r="AA34" i="56"/>
  <c r="X41" i="56"/>
  <c r="AN41" i="56" s="1"/>
  <c r="AA41" i="56"/>
  <c r="X42" i="56"/>
  <c r="AN42" i="56" s="1"/>
  <c r="AA42" i="56"/>
  <c r="X43" i="56"/>
  <c r="AN43" i="56" s="1"/>
  <c r="AA43" i="56"/>
  <c r="X44" i="56"/>
  <c r="AN44" i="56" s="1"/>
  <c r="AA44" i="56"/>
  <c r="X45" i="56"/>
  <c r="AN45" i="56" s="1"/>
  <c r="AA45" i="56"/>
  <c r="X46" i="56"/>
  <c r="AN46" i="56" s="1"/>
  <c r="AA46" i="56"/>
  <c r="X47" i="56"/>
  <c r="AN47" i="56" s="1"/>
  <c r="AA47" i="56"/>
  <c r="AF47" i="56"/>
  <c r="U48" i="56"/>
  <c r="X48" i="56"/>
  <c r="AN48" i="56" s="1"/>
  <c r="AA48" i="56"/>
  <c r="X75" i="56"/>
  <c r="AN75" i="56" s="1"/>
  <c r="AA75" i="56"/>
  <c r="X76" i="56"/>
  <c r="AN76" i="56" s="1"/>
  <c r="AA76" i="56"/>
  <c r="X77" i="56"/>
  <c r="AN77" i="56" s="1"/>
  <c r="AA77" i="56"/>
  <c r="X78" i="56"/>
  <c r="AN78" i="56" s="1"/>
  <c r="AA78" i="56"/>
  <c r="X79" i="56"/>
  <c r="AN79" i="56" s="1"/>
  <c r="AA79" i="56"/>
  <c r="X80" i="56"/>
  <c r="AN80" i="56" s="1"/>
  <c r="AA80" i="56"/>
  <c r="X81" i="56"/>
  <c r="AN81" i="56" s="1"/>
  <c r="AA81" i="56"/>
  <c r="X82" i="56"/>
  <c r="AN82" i="56" s="1"/>
  <c r="AA82" i="56"/>
  <c r="X83" i="56"/>
  <c r="AN83" i="56" s="1"/>
  <c r="AA83" i="56"/>
  <c r="X84" i="56"/>
  <c r="AN84" i="56" s="1"/>
  <c r="AA84" i="56"/>
  <c r="X85" i="56"/>
  <c r="AN85" i="56" s="1"/>
  <c r="AA85" i="56"/>
  <c r="X86" i="56"/>
  <c r="AN86" i="56" s="1"/>
  <c r="AA86" i="56"/>
  <c r="X87" i="56"/>
  <c r="AN87" i="56" s="1"/>
  <c r="AA87" i="56"/>
  <c r="X88" i="56"/>
  <c r="AN88" i="56" s="1"/>
  <c r="AA88" i="56"/>
  <c r="U94" i="56"/>
  <c r="X94" i="56"/>
  <c r="AN94" i="56" s="1"/>
  <c r="AA94" i="56"/>
  <c r="X95" i="56"/>
  <c r="AN95" i="56" s="1"/>
  <c r="AA95" i="56"/>
  <c r="U96" i="56"/>
  <c r="X96" i="56"/>
  <c r="AN96" i="56" s="1"/>
  <c r="AA96" i="56"/>
  <c r="X97" i="56"/>
  <c r="AN97" i="56" s="1"/>
  <c r="AA97" i="56"/>
  <c r="X98" i="56"/>
  <c r="AN98" i="56" s="1"/>
  <c r="AA98" i="56"/>
  <c r="AO40" i="56" l="1"/>
  <c r="AV40" i="56" s="1" a="1"/>
  <c r="AV40" i="56" s="1"/>
  <c r="AX40" i="56" s="1"/>
  <c r="AD96" i="56"/>
  <c r="R96" i="56"/>
  <c r="AS96" i="56"/>
  <c r="AQ96" i="56"/>
  <c r="AW96" i="56" s="1"/>
  <c r="AF34" i="56"/>
  <c r="AD16" i="56"/>
  <c r="AS16" i="56"/>
  <c r="R16" i="56"/>
  <c r="AQ16" i="56"/>
  <c r="AF10" i="56"/>
  <c r="AD8" i="56"/>
  <c r="AQ8" i="56"/>
  <c r="R8" i="56"/>
  <c r="AS8" i="56"/>
  <c r="AF98" i="56"/>
  <c r="AF44" i="56"/>
  <c r="AZ36" i="56"/>
  <c r="AX36" i="56"/>
  <c r="AX35" i="56"/>
  <c r="AZ35" i="56"/>
  <c r="AF81" i="56"/>
  <c r="AF95" i="56"/>
  <c r="AF82" i="56"/>
  <c r="AD94" i="56"/>
  <c r="R94" i="56"/>
  <c r="AS94" i="56"/>
  <c r="AQ94" i="56"/>
  <c r="AW94" i="56" s="1"/>
  <c r="AD48" i="56"/>
  <c r="AS48" i="56"/>
  <c r="R48" i="56"/>
  <c r="AQ48" i="56"/>
  <c r="AZ40" i="56"/>
  <c r="AF79" i="56"/>
  <c r="U77" i="56"/>
  <c r="AU77" i="56"/>
  <c r="AT77" i="56"/>
  <c r="AF45" i="56"/>
  <c r="U43" i="56"/>
  <c r="AT43" i="56"/>
  <c r="AU43" i="56"/>
  <c r="U34" i="56"/>
  <c r="AU34" i="56"/>
  <c r="AT34" i="56"/>
  <c r="AF28" i="56"/>
  <c r="U26" i="56"/>
  <c r="AU26" i="56"/>
  <c r="AT26" i="56"/>
  <c r="AF20" i="56"/>
  <c r="U18" i="56"/>
  <c r="AU18" i="56"/>
  <c r="AT18" i="56"/>
  <c r="AF12" i="56"/>
  <c r="U10" i="56"/>
  <c r="AT10" i="56"/>
  <c r="AU10" i="56"/>
  <c r="AF4" i="56"/>
  <c r="AZ93" i="56"/>
  <c r="AX93" i="56"/>
  <c r="I23" i="3"/>
  <c r="I28" i="3" s="1"/>
  <c r="T129" i="38" s="1"/>
  <c r="T127" i="56"/>
  <c r="AF80" i="56"/>
  <c r="U78" i="56"/>
  <c r="AU78" i="56"/>
  <c r="AT78" i="56"/>
  <c r="AF46" i="56"/>
  <c r="U44" i="56"/>
  <c r="AU44" i="56"/>
  <c r="AT44" i="56"/>
  <c r="AF29" i="56"/>
  <c r="U27" i="56"/>
  <c r="AU27" i="56"/>
  <c r="AT27" i="56"/>
  <c r="AF21" i="56"/>
  <c r="U19" i="56"/>
  <c r="AT19" i="56"/>
  <c r="AU19" i="56"/>
  <c r="AF13" i="56"/>
  <c r="U11" i="56"/>
  <c r="AU11" i="56"/>
  <c r="AT11" i="56"/>
  <c r="AF5" i="56"/>
  <c r="AX91" i="56"/>
  <c r="AZ91" i="56"/>
  <c r="AO39" i="56"/>
  <c r="AV39" i="56" s="1" a="1"/>
  <c r="AV39" i="56" s="1"/>
  <c r="AE106" i="56"/>
  <c r="AM106" i="56"/>
  <c r="AF88" i="56"/>
  <c r="AU87" i="56"/>
  <c r="AT87" i="56"/>
  <c r="AU79" i="56"/>
  <c r="AT79" i="56"/>
  <c r="U45" i="56"/>
  <c r="AU45" i="56"/>
  <c r="AT45" i="56"/>
  <c r="AF30" i="56"/>
  <c r="U28" i="56"/>
  <c r="AT28" i="56"/>
  <c r="AU28" i="56"/>
  <c r="AF22" i="56"/>
  <c r="U20" i="56"/>
  <c r="AT20" i="56"/>
  <c r="AU20" i="56"/>
  <c r="AF14" i="56"/>
  <c r="U12" i="56"/>
  <c r="AU12" i="56"/>
  <c r="AT12" i="56"/>
  <c r="AF6" i="56"/>
  <c r="U4" i="56"/>
  <c r="AT4" i="56"/>
  <c r="AU4" i="56"/>
  <c r="AZ90" i="56"/>
  <c r="AX90" i="56"/>
  <c r="AG106" i="56"/>
  <c r="U88" i="56"/>
  <c r="AU88" i="56"/>
  <c r="AT88" i="56"/>
  <c r="U80" i="56"/>
  <c r="AU80" i="56"/>
  <c r="AT80" i="56"/>
  <c r="AF48" i="56"/>
  <c r="AO48" i="56"/>
  <c r="AV48" i="56" s="1" a="1"/>
  <c r="AV48" i="56" s="1"/>
  <c r="U46" i="56"/>
  <c r="AU46" i="56"/>
  <c r="AT46" i="56"/>
  <c r="AF31" i="56"/>
  <c r="U29" i="56"/>
  <c r="AT29" i="56"/>
  <c r="AU29" i="56"/>
  <c r="AF23" i="56"/>
  <c r="U21" i="56"/>
  <c r="AU21" i="56"/>
  <c r="AT21" i="56"/>
  <c r="AF15" i="56"/>
  <c r="U13" i="56"/>
  <c r="AU13" i="56"/>
  <c r="AT13" i="56"/>
  <c r="AF7" i="56"/>
  <c r="U5" i="56"/>
  <c r="AU5" i="56"/>
  <c r="AT5" i="56"/>
  <c r="AZ37" i="56"/>
  <c r="AX37" i="56"/>
  <c r="K23" i="3"/>
  <c r="K28" i="3" s="1"/>
  <c r="W127" i="56"/>
  <c r="U98" i="56"/>
  <c r="AU98" i="56"/>
  <c r="AT98" i="56"/>
  <c r="U86" i="56"/>
  <c r="AU86" i="56"/>
  <c r="AT86" i="56"/>
  <c r="AF96" i="56"/>
  <c r="AO96" i="56"/>
  <c r="AV96" i="56" s="1" a="1"/>
  <c r="AV96" i="56" s="1"/>
  <c r="AU94" i="56"/>
  <c r="AT94" i="56"/>
  <c r="AF83" i="56"/>
  <c r="U81" i="56"/>
  <c r="AU81" i="56"/>
  <c r="AT81" i="56"/>
  <c r="AF75" i="56"/>
  <c r="U47" i="56"/>
  <c r="AU47" i="56"/>
  <c r="AT47" i="56"/>
  <c r="AF41" i="56"/>
  <c r="AF32" i="56"/>
  <c r="U30" i="56"/>
  <c r="AU30" i="56"/>
  <c r="AT30" i="56"/>
  <c r="AF24" i="56"/>
  <c r="U22" i="56"/>
  <c r="AU22" i="56"/>
  <c r="AT22" i="56"/>
  <c r="AF16" i="56"/>
  <c r="AO16" i="56"/>
  <c r="AV16" i="56" s="1" a="1"/>
  <c r="AV16" i="56" s="1"/>
  <c r="U14" i="56"/>
  <c r="AU14" i="56"/>
  <c r="AT14" i="56"/>
  <c r="AF8" i="56"/>
  <c r="AO8" i="56"/>
  <c r="AV8" i="56" s="1" a="1"/>
  <c r="AV8" i="56" s="1"/>
  <c r="U6" i="56"/>
  <c r="AU6" i="56"/>
  <c r="AT6" i="56"/>
  <c r="AW89" i="56"/>
  <c r="AF87" i="56"/>
  <c r="AT85" i="56"/>
  <c r="AU85" i="56"/>
  <c r="AF94" i="56"/>
  <c r="AO94" i="56"/>
  <c r="AV94" i="56" s="1" a="1"/>
  <c r="AV94" i="56" s="1"/>
  <c r="AF97" i="56"/>
  <c r="U95" i="56"/>
  <c r="AU95" i="56"/>
  <c r="AT95" i="56"/>
  <c r="AF84" i="56"/>
  <c r="U82" i="56"/>
  <c r="AU82" i="56"/>
  <c r="AT82" i="56"/>
  <c r="AF76" i="56"/>
  <c r="AU48" i="56"/>
  <c r="AT48" i="56"/>
  <c r="AF42" i="56"/>
  <c r="AF33" i="56"/>
  <c r="U31" i="56"/>
  <c r="AU31" i="56"/>
  <c r="AT31" i="56"/>
  <c r="AF25" i="56"/>
  <c r="U23" i="56"/>
  <c r="AU23" i="56"/>
  <c r="AT23" i="56"/>
  <c r="AF17" i="56"/>
  <c r="U15" i="56"/>
  <c r="AT15" i="56"/>
  <c r="AU15" i="56"/>
  <c r="AF9" i="56"/>
  <c r="U7" i="56"/>
  <c r="AU7" i="56"/>
  <c r="AT7" i="56"/>
  <c r="U85" i="56"/>
  <c r="N23" i="3"/>
  <c r="N28" i="3" s="1"/>
  <c r="Z127" i="56"/>
  <c r="AZ89" i="56"/>
  <c r="AX89" i="56"/>
  <c r="AU96" i="56"/>
  <c r="AT96" i="56"/>
  <c r="AF85" i="56"/>
  <c r="U83" i="56"/>
  <c r="AU83" i="56"/>
  <c r="AT83" i="56"/>
  <c r="AF77" i="56"/>
  <c r="U75" i="56"/>
  <c r="AU75" i="56"/>
  <c r="AT75" i="56"/>
  <c r="AF43" i="56"/>
  <c r="U41" i="56"/>
  <c r="AT41" i="56"/>
  <c r="AU41" i="56"/>
  <c r="U32" i="56"/>
  <c r="AU32" i="56"/>
  <c r="AT32" i="56"/>
  <c r="AF26" i="56"/>
  <c r="U24" i="56"/>
  <c r="AU24" i="56"/>
  <c r="AT24" i="56"/>
  <c r="AF18" i="56"/>
  <c r="AU16" i="56"/>
  <c r="AT16" i="56"/>
  <c r="AT8" i="56"/>
  <c r="AU8" i="56"/>
  <c r="U79" i="56"/>
  <c r="U97" i="56"/>
  <c r="AU97" i="56"/>
  <c r="AT97" i="56"/>
  <c r="AF86" i="56"/>
  <c r="U84" i="56"/>
  <c r="AU84" i="56"/>
  <c r="AT84" i="56"/>
  <c r="AF78" i="56"/>
  <c r="U76" i="56"/>
  <c r="AU76" i="56"/>
  <c r="AT76" i="56"/>
  <c r="AU42" i="56"/>
  <c r="AT42" i="56"/>
  <c r="U33" i="56"/>
  <c r="AU33" i="56"/>
  <c r="AT33" i="56"/>
  <c r="AF27" i="56"/>
  <c r="U25" i="56"/>
  <c r="AU25" i="56"/>
  <c r="AT25" i="56"/>
  <c r="AF19" i="56"/>
  <c r="U17" i="56"/>
  <c r="AU17" i="56"/>
  <c r="AT17" i="56"/>
  <c r="AF11" i="56"/>
  <c r="U9" i="56"/>
  <c r="AU9" i="56"/>
  <c r="AT9" i="56"/>
  <c r="AX92" i="56"/>
  <c r="AZ92" i="56"/>
  <c r="U42" i="56"/>
  <c r="AO38" i="56"/>
  <c r="AV38" i="56" s="1" a="1"/>
  <c r="AV38" i="56" s="1"/>
  <c r="U87" i="56"/>
  <c r="AW8" i="56" l="1"/>
  <c r="AZ48" i="56"/>
  <c r="AX48" i="56"/>
  <c r="AD28" i="56"/>
  <c r="AO28" i="56" s="1"/>
  <c r="AV28" i="56" s="1"/>
  <c r="R28" i="56"/>
  <c r="AQ28" i="56"/>
  <c r="AS28" i="56"/>
  <c r="AD25" i="56"/>
  <c r="AO25" i="56" s="1"/>
  <c r="AV25" i="56" s="1" a="1"/>
  <c r="AV25" i="56" s="1"/>
  <c r="AS25" i="56"/>
  <c r="R25" i="56"/>
  <c r="AQ25" i="56"/>
  <c r="AW25" i="56" s="1"/>
  <c r="AD79" i="56"/>
  <c r="AO79" i="56" s="1"/>
  <c r="AV79" i="56" s="1" a="1"/>
  <c r="AV79" i="56" s="1"/>
  <c r="AQ79" i="56"/>
  <c r="R79" i="56"/>
  <c r="AS79" i="56"/>
  <c r="AD32" i="56"/>
  <c r="AO32" i="56" s="1"/>
  <c r="AV32" i="56" s="1" a="1"/>
  <c r="AV32" i="56" s="1"/>
  <c r="R32" i="56"/>
  <c r="AQ32" i="56"/>
  <c r="AW32" i="56" s="1"/>
  <c r="AS32" i="56"/>
  <c r="AD31" i="56"/>
  <c r="AO31" i="56" s="1"/>
  <c r="AV31" i="56" s="1" a="1"/>
  <c r="AV31" i="56" s="1"/>
  <c r="AS31" i="56"/>
  <c r="R31" i="56"/>
  <c r="AQ31" i="56"/>
  <c r="AW31" i="56" s="1"/>
  <c r="AD81" i="56"/>
  <c r="AO81" i="56" s="1"/>
  <c r="AV81" i="56" s="1" a="1"/>
  <c r="AV81" i="56" s="1"/>
  <c r="AQ81" i="56"/>
  <c r="AS81" i="56"/>
  <c r="R81" i="56"/>
  <c r="U23" i="3"/>
  <c r="U28" i="3" s="1"/>
  <c r="AM127" i="56"/>
  <c r="AD42" i="56"/>
  <c r="AO42" i="56" s="1"/>
  <c r="AV42" i="56" s="1" a="1"/>
  <c r="AV42" i="56" s="1"/>
  <c r="AQ42" i="56"/>
  <c r="AS42" i="56"/>
  <c r="R42" i="56"/>
  <c r="AD27" i="56"/>
  <c r="AO27" i="56" s="1"/>
  <c r="AV27" i="56" s="1" a="1"/>
  <c r="AV27" i="56" s="1"/>
  <c r="AS27" i="56"/>
  <c r="R27" i="56"/>
  <c r="AQ27" i="56"/>
  <c r="AD84" i="56"/>
  <c r="AO84" i="56" s="1"/>
  <c r="AV84" i="56" s="1" a="1"/>
  <c r="AV84" i="56" s="1"/>
  <c r="R84" i="56"/>
  <c r="AS84" i="56"/>
  <c r="AQ84" i="56"/>
  <c r="AW84" i="56" s="1"/>
  <c r="AD75" i="56"/>
  <c r="AO75" i="56" s="1"/>
  <c r="AV75" i="56" s="1" a="1"/>
  <c r="AV75" i="56" s="1"/>
  <c r="AS75" i="56"/>
  <c r="AQ75" i="56"/>
  <c r="AW75" i="56" s="1"/>
  <c r="R75" i="56"/>
  <c r="V106" i="56"/>
  <c r="X3" i="56"/>
  <c r="AX8" i="56"/>
  <c r="AZ8" i="56"/>
  <c r="AD30" i="56"/>
  <c r="AO30" i="56" s="1"/>
  <c r="AV30" i="56" s="1" a="1"/>
  <c r="AV30" i="56" s="1"/>
  <c r="R30" i="56"/>
  <c r="AS30" i="56"/>
  <c r="AQ30" i="56"/>
  <c r="AW30" i="56" s="1"/>
  <c r="AD21" i="56"/>
  <c r="AO21" i="56" s="1"/>
  <c r="AV21" i="56" s="1" a="1"/>
  <c r="AV21" i="56" s="1"/>
  <c r="AQ21" i="56"/>
  <c r="R21" i="56"/>
  <c r="AS21" i="56"/>
  <c r="AD20" i="56"/>
  <c r="AO20" i="56" s="1"/>
  <c r="AV20" i="56" s="1" a="1"/>
  <c r="AV20" i="56" s="1"/>
  <c r="AS20" i="56"/>
  <c r="R20" i="56"/>
  <c r="AQ20" i="56"/>
  <c r="AD19" i="56"/>
  <c r="AO19" i="56" s="1"/>
  <c r="AV19" i="56" s="1" a="1"/>
  <c r="AV19" i="56" s="1"/>
  <c r="AQ19" i="56"/>
  <c r="AW19" i="56" s="1"/>
  <c r="R19" i="56"/>
  <c r="AS19" i="56"/>
  <c r="AD10" i="56"/>
  <c r="AO10" i="56" s="1"/>
  <c r="AV10" i="56" s="1" a="1"/>
  <c r="AV10" i="56" s="1"/>
  <c r="R10" i="56"/>
  <c r="AS10" i="56"/>
  <c r="AQ10" i="56"/>
  <c r="AD6" i="56"/>
  <c r="AO6" i="56" s="1"/>
  <c r="AV6" i="56" s="1" a="1"/>
  <c r="AV6" i="56" s="1"/>
  <c r="R6" i="56"/>
  <c r="AQ6" i="56"/>
  <c r="AS6" i="56"/>
  <c r="AD17" i="56"/>
  <c r="AO17" i="56" s="1"/>
  <c r="AV17" i="56" s="1" a="1"/>
  <c r="AV17" i="56" s="1"/>
  <c r="AQ17" i="56"/>
  <c r="AS17" i="56"/>
  <c r="R17" i="56"/>
  <c r="AD24" i="56"/>
  <c r="AO24" i="56" s="1"/>
  <c r="AV24" i="56" s="1" a="1"/>
  <c r="AV24" i="56" s="1"/>
  <c r="R24" i="56"/>
  <c r="AS24" i="56"/>
  <c r="AQ24" i="56"/>
  <c r="Z129" i="38"/>
  <c r="AD23" i="56"/>
  <c r="AO23" i="56" s="1"/>
  <c r="AV23" i="56" s="1" a="1"/>
  <c r="AV23" i="56" s="1"/>
  <c r="AS23" i="56"/>
  <c r="R23" i="56"/>
  <c r="AQ23" i="56"/>
  <c r="AW23" i="56" s="1"/>
  <c r="AD47" i="56"/>
  <c r="AO47" i="56" s="1"/>
  <c r="AV47" i="56" s="1" a="1"/>
  <c r="AV47" i="56" s="1"/>
  <c r="AS47" i="56"/>
  <c r="R47" i="56"/>
  <c r="AQ47" i="56"/>
  <c r="R23" i="3"/>
  <c r="R28" i="3" s="1"/>
  <c r="AE127" i="56"/>
  <c r="AW48" i="56"/>
  <c r="AZ16" i="56"/>
  <c r="AX16" i="56"/>
  <c r="AD29" i="56"/>
  <c r="AO29" i="56" s="1"/>
  <c r="AV29" i="56" s="1" a="1"/>
  <c r="AV29" i="56" s="1"/>
  <c r="AS29" i="56"/>
  <c r="R29" i="56"/>
  <c r="AQ29" i="56"/>
  <c r="AW29" i="56" s="1"/>
  <c r="AD76" i="56"/>
  <c r="AO76" i="56" s="1"/>
  <c r="AV76" i="56" s="1" a="1"/>
  <c r="AV76" i="56" s="1"/>
  <c r="AS76" i="56"/>
  <c r="R76" i="56"/>
  <c r="AQ76" i="56"/>
  <c r="AW76" i="56" s="1"/>
  <c r="AD41" i="56"/>
  <c r="AO41" i="56" s="1"/>
  <c r="AV41" i="56" s="1" a="1"/>
  <c r="AV41" i="56" s="1"/>
  <c r="R41" i="56"/>
  <c r="AS41" i="56"/>
  <c r="AQ41" i="56"/>
  <c r="AW41" i="56" s="1"/>
  <c r="AD85" i="56"/>
  <c r="AO85" i="56" s="1"/>
  <c r="AV85" i="56" s="1" a="1"/>
  <c r="AV85" i="56" s="1"/>
  <c r="AQ85" i="56"/>
  <c r="AW85" i="56" s="1"/>
  <c r="R85" i="56"/>
  <c r="AS85" i="56"/>
  <c r="S106" i="56"/>
  <c r="U3" i="56"/>
  <c r="AU3" i="56"/>
  <c r="AT3" i="56"/>
  <c r="AD22" i="56"/>
  <c r="AO22" i="56" s="1"/>
  <c r="AV22" i="56" s="1" a="1"/>
  <c r="AV22" i="56" s="1"/>
  <c r="R22" i="56"/>
  <c r="AS22" i="56"/>
  <c r="AQ22" i="56"/>
  <c r="AW22" i="56" s="1"/>
  <c r="AD86" i="56"/>
  <c r="AO86" i="56" s="1"/>
  <c r="AV86" i="56" s="1" a="1"/>
  <c r="AV86" i="56" s="1"/>
  <c r="R86" i="56"/>
  <c r="AQ86" i="56"/>
  <c r="AW86" i="56" s="1"/>
  <c r="AS86" i="56"/>
  <c r="AD13" i="56"/>
  <c r="AO13" i="56" s="1"/>
  <c r="AV13" i="56" s="1" a="1"/>
  <c r="AV13" i="56" s="1"/>
  <c r="AS13" i="56"/>
  <c r="R13" i="56"/>
  <c r="AQ13" i="56"/>
  <c r="AW13" i="56" s="1"/>
  <c r="AD80" i="56"/>
  <c r="AO80" i="56" s="1"/>
  <c r="AV80" i="56" s="1" a="1"/>
  <c r="AV80" i="56" s="1"/>
  <c r="R80" i="56"/>
  <c r="AS80" i="56"/>
  <c r="AQ80" i="56"/>
  <c r="AD12" i="56"/>
  <c r="AO12" i="56" s="1"/>
  <c r="AV12" i="56" s="1" a="1"/>
  <c r="AV12" i="56" s="1"/>
  <c r="AQ12" i="56"/>
  <c r="AS12" i="56"/>
  <c r="R12" i="56"/>
  <c r="AW39" i="56"/>
  <c r="AZ39" i="56"/>
  <c r="AX39" i="56"/>
  <c r="AD11" i="56"/>
  <c r="AO11" i="56" s="1"/>
  <c r="AV11" i="56" s="1" a="1"/>
  <c r="AV11" i="56" s="1"/>
  <c r="AQ11" i="56"/>
  <c r="R11" i="56"/>
  <c r="AS11" i="56"/>
  <c r="AD78" i="56"/>
  <c r="AO78" i="56" s="1"/>
  <c r="AV78" i="56" s="1" a="1"/>
  <c r="AV78" i="56" s="1"/>
  <c r="AQ78" i="56"/>
  <c r="AS78" i="56"/>
  <c r="R78" i="56"/>
  <c r="AD34" i="56"/>
  <c r="AO34" i="56" s="1"/>
  <c r="AV34" i="56" s="1" a="1"/>
  <c r="AV34" i="56" s="1"/>
  <c r="R34" i="56"/>
  <c r="AQ34" i="56"/>
  <c r="AW34" i="56" s="1"/>
  <c r="AS34" i="56"/>
  <c r="AZ96" i="56"/>
  <c r="AX96" i="56"/>
  <c r="AD9" i="56"/>
  <c r="AO9" i="56" s="1"/>
  <c r="AV9" i="56" s="1" a="1"/>
  <c r="AV9" i="56" s="1"/>
  <c r="AS9" i="56"/>
  <c r="AQ9" i="56"/>
  <c r="AW9" i="56" s="1"/>
  <c r="R9" i="56"/>
  <c r="AT105" i="56"/>
  <c r="AD15" i="56"/>
  <c r="AO15" i="56" s="1"/>
  <c r="AV15" i="56" s="1" a="1"/>
  <c r="AV15" i="56" s="1"/>
  <c r="AQ15" i="56"/>
  <c r="AS15" i="56"/>
  <c r="R15" i="56"/>
  <c r="AD95" i="56"/>
  <c r="AO95" i="56" s="1"/>
  <c r="AV95" i="56" s="1" a="1"/>
  <c r="AV95" i="56" s="1"/>
  <c r="R95" i="56"/>
  <c r="AS95" i="56"/>
  <c r="AQ95" i="56"/>
  <c r="AW95" i="56" s="1"/>
  <c r="AD77" i="56"/>
  <c r="AO77" i="56" s="1"/>
  <c r="AV77" i="56" s="1" a="1"/>
  <c r="AV77" i="56" s="1"/>
  <c r="AQ77" i="56"/>
  <c r="R77" i="56"/>
  <c r="AS77" i="56"/>
  <c r="AW16" i="56"/>
  <c r="AD87" i="56"/>
  <c r="AO87" i="56" s="1"/>
  <c r="AV87" i="56" s="1" a="1"/>
  <c r="AV87" i="56" s="1"/>
  <c r="AQ87" i="56"/>
  <c r="R87" i="56"/>
  <c r="AS87" i="56"/>
  <c r="AU105" i="56"/>
  <c r="AZ94" i="56"/>
  <c r="AX94" i="56"/>
  <c r="AD14" i="56"/>
  <c r="AO14" i="56" s="1"/>
  <c r="AV14" i="56" s="1" a="1"/>
  <c r="AV14" i="56" s="1"/>
  <c r="AS14" i="56"/>
  <c r="AQ14" i="56"/>
  <c r="R14" i="56"/>
  <c r="AD5" i="56"/>
  <c r="AO5" i="56" s="1"/>
  <c r="AV5" i="56" s="1" a="1"/>
  <c r="AV5" i="56" s="1"/>
  <c r="AQ5" i="56"/>
  <c r="AS5" i="56"/>
  <c r="R5" i="56"/>
  <c r="AD46" i="56"/>
  <c r="AO46" i="56" s="1"/>
  <c r="AV46" i="56" s="1" a="1"/>
  <c r="AV46" i="56" s="1"/>
  <c r="AS46" i="56"/>
  <c r="R46" i="56"/>
  <c r="AQ46" i="56"/>
  <c r="AW46" i="56" s="1"/>
  <c r="AD4" i="56"/>
  <c r="AO4" i="56" s="1"/>
  <c r="AV4" i="56" s="1" a="1"/>
  <c r="AV4" i="56" s="1"/>
  <c r="AS4" i="56"/>
  <c r="AQ4" i="56"/>
  <c r="R4" i="56"/>
  <c r="AD45" i="56"/>
  <c r="AO45" i="56" s="1"/>
  <c r="AV45" i="56" s="1" a="1"/>
  <c r="AV45" i="56" s="1"/>
  <c r="AS45" i="56"/>
  <c r="AQ45" i="56"/>
  <c r="R45" i="56"/>
  <c r="AD44" i="56"/>
  <c r="AO44" i="56" s="1"/>
  <c r="AV44" i="56" s="1" a="1"/>
  <c r="AV44" i="56" s="1"/>
  <c r="AS44" i="56"/>
  <c r="R44" i="56"/>
  <c r="AQ44" i="56"/>
  <c r="AD26" i="56"/>
  <c r="AO26" i="56" s="1"/>
  <c r="AV26" i="56" s="1" a="1"/>
  <c r="AV26" i="56" s="1"/>
  <c r="R26" i="56"/>
  <c r="AQ26" i="56"/>
  <c r="AS26" i="56"/>
  <c r="AD97" i="56"/>
  <c r="AO97" i="56" s="1"/>
  <c r="AV97" i="56" s="1" a="1"/>
  <c r="AV97" i="56" s="1"/>
  <c r="AS97" i="56"/>
  <c r="R97" i="56"/>
  <c r="AQ97" i="56"/>
  <c r="AW97" i="56" s="1"/>
  <c r="AD83" i="56"/>
  <c r="AO83" i="56" s="1"/>
  <c r="AV83" i="56" s="1" a="1"/>
  <c r="AV83" i="56" s="1"/>
  <c r="AQ83" i="56"/>
  <c r="AS83" i="56"/>
  <c r="R83" i="56"/>
  <c r="Q23" i="3"/>
  <c r="Q28" i="3" s="1"/>
  <c r="AG127" i="56"/>
  <c r="AD18" i="56"/>
  <c r="AO18" i="56" s="1"/>
  <c r="AV18" i="56" s="1" a="1"/>
  <c r="AV18" i="56" s="1"/>
  <c r="R18" i="56"/>
  <c r="AS18" i="56"/>
  <c r="AQ18" i="56"/>
  <c r="AX38" i="56"/>
  <c r="AZ38" i="56"/>
  <c r="AD33" i="56"/>
  <c r="AO33" i="56" s="1"/>
  <c r="AV33" i="56" s="1" a="1"/>
  <c r="AV33" i="56" s="1"/>
  <c r="AS33" i="56"/>
  <c r="AQ33" i="56"/>
  <c r="R33" i="56"/>
  <c r="Y106" i="56"/>
  <c r="AA3" i="56"/>
  <c r="AD7" i="56"/>
  <c r="AO7" i="56" s="1"/>
  <c r="AV7" i="56" s="1" a="1"/>
  <c r="AV7" i="56" s="1"/>
  <c r="AS7" i="56"/>
  <c r="AQ7" i="56"/>
  <c r="R7" i="56"/>
  <c r="AD82" i="56"/>
  <c r="AO82" i="56" s="1"/>
  <c r="AV82" i="56" s="1" a="1"/>
  <c r="AV82" i="56" s="1"/>
  <c r="AS82" i="56"/>
  <c r="R82" i="56"/>
  <c r="AQ82" i="56"/>
  <c r="AW82" i="56" s="1"/>
  <c r="AD98" i="56"/>
  <c r="AO98" i="56" s="1"/>
  <c r="AV98" i="56" s="1" a="1"/>
  <c r="AV98" i="56" s="1"/>
  <c r="AQ98" i="56"/>
  <c r="AS98" i="56"/>
  <c r="R98" i="56"/>
  <c r="AD88" i="56"/>
  <c r="AO88" i="56" s="1"/>
  <c r="AV88" i="56" s="1" a="1"/>
  <c r="AV88" i="56" s="1"/>
  <c r="R88" i="56"/>
  <c r="AS88" i="56"/>
  <c r="AQ88" i="56"/>
  <c r="AW88" i="56" s="1"/>
  <c r="AD43" i="56"/>
  <c r="AO43" i="56" s="1"/>
  <c r="AV43" i="56" s="1" a="1"/>
  <c r="AV43" i="56" s="1"/>
  <c r="AS43" i="56"/>
  <c r="R43" i="56"/>
  <c r="AQ43" i="56"/>
  <c r="AW80" i="56" l="1"/>
  <c r="AW24" i="56"/>
  <c r="AW81" i="56"/>
  <c r="AA106" i="56"/>
  <c r="AF3" i="56"/>
  <c r="AW14" i="56"/>
  <c r="AW12" i="56"/>
  <c r="AW47" i="56"/>
  <c r="AZ47" i="56"/>
  <c r="AX47" i="56"/>
  <c r="AZ81" i="56"/>
  <c r="AX81" i="56"/>
  <c r="AX32" i="56"/>
  <c r="AZ32" i="56"/>
  <c r="AX25" i="56"/>
  <c r="AZ25" i="56"/>
  <c r="AZ43" i="56"/>
  <c r="AX43" i="56"/>
  <c r="M23" i="3"/>
  <c r="Y127" i="56"/>
  <c r="AW18" i="56"/>
  <c r="AW83" i="56"/>
  <c r="AW87" i="56"/>
  <c r="AX87" i="56"/>
  <c r="AZ87" i="56"/>
  <c r="AX12" i="56"/>
  <c r="AZ12" i="56"/>
  <c r="AZ13" i="56"/>
  <c r="AX13" i="56"/>
  <c r="AZ22" i="56"/>
  <c r="AX22" i="56"/>
  <c r="AZ85" i="56"/>
  <c r="AX85" i="56"/>
  <c r="AZ76" i="56"/>
  <c r="AX76" i="56"/>
  <c r="X106" i="56"/>
  <c r="X127" i="56" s="1"/>
  <c r="AN3" i="56"/>
  <c r="AN106" i="56" s="1"/>
  <c r="AZ83" i="56"/>
  <c r="AX83" i="56"/>
  <c r="AZ14" i="56"/>
  <c r="AX14" i="56"/>
  <c r="AZ34" i="56"/>
  <c r="AX34" i="56"/>
  <c r="AW11" i="56"/>
  <c r="AZ11" i="56"/>
  <c r="AX11" i="56"/>
  <c r="AZ24" i="56"/>
  <c r="AX24" i="56"/>
  <c r="AW6" i="56"/>
  <c r="AX6" i="56"/>
  <c r="AZ6" i="56"/>
  <c r="AX19" i="56"/>
  <c r="AZ19" i="56"/>
  <c r="AW21" i="56"/>
  <c r="AZ21" i="56"/>
  <c r="AX21" i="56"/>
  <c r="J23" i="3"/>
  <c r="V127" i="56"/>
  <c r="AX84" i="56"/>
  <c r="AZ84" i="56"/>
  <c r="AW42" i="56"/>
  <c r="AZ42" i="56"/>
  <c r="AX42" i="56"/>
  <c r="AW28" i="56"/>
  <c r="AW45" i="56"/>
  <c r="AZ45" i="56"/>
  <c r="AX45" i="56"/>
  <c r="AZ95" i="56"/>
  <c r="AX95" i="56"/>
  <c r="AZ88" i="56"/>
  <c r="AX88" i="56"/>
  <c r="AZ82" i="56"/>
  <c r="AX82" i="56"/>
  <c r="AW44" i="56"/>
  <c r="AZ9" i="56"/>
  <c r="AX9" i="56"/>
  <c r="AW10" i="56"/>
  <c r="AW20" i="56"/>
  <c r="AW27" i="56"/>
  <c r="AX98" i="56"/>
  <c r="AZ98" i="56"/>
  <c r="AZ46" i="56"/>
  <c r="AX46" i="56"/>
  <c r="AW43" i="56"/>
  <c r="AZ18" i="56"/>
  <c r="AX18" i="56"/>
  <c r="AW4" i="56"/>
  <c r="U106" i="56"/>
  <c r="U127" i="56" s="1"/>
  <c r="R3" i="56"/>
  <c r="R106" i="56" s="1"/>
  <c r="R127" i="56" s="1"/>
  <c r="AD3" i="56"/>
  <c r="AD106" i="56" s="1"/>
  <c r="AS3" i="56"/>
  <c r="AQ3" i="56"/>
  <c r="AE129" i="38"/>
  <c r="AZ23" i="56"/>
  <c r="AX23" i="56"/>
  <c r="AM129" i="38"/>
  <c r="AZ31" i="56"/>
  <c r="AX31" i="56"/>
  <c r="AW79" i="56"/>
  <c r="AZ79" i="56"/>
  <c r="AX79" i="56"/>
  <c r="AZ28" i="56"/>
  <c r="AX28" i="56"/>
  <c r="AZ7" i="56"/>
  <c r="AV105" i="56"/>
  <c r="AX7" i="56"/>
  <c r="AW26" i="56"/>
  <c r="AX26" i="56"/>
  <c r="AZ26" i="56"/>
  <c r="AQ105" i="56"/>
  <c r="AW7" i="56"/>
  <c r="AW33" i="56"/>
  <c r="AZ33" i="56"/>
  <c r="AX33" i="56"/>
  <c r="AW5" i="56"/>
  <c r="AW78" i="56"/>
  <c r="AZ80" i="56"/>
  <c r="AX80" i="56"/>
  <c r="AZ86" i="56"/>
  <c r="AX86" i="56"/>
  <c r="H23" i="3"/>
  <c r="H28" i="3" s="1"/>
  <c r="S129" i="38" s="1"/>
  <c r="S127" i="56"/>
  <c r="AU127" i="56" s="1"/>
  <c r="AU106" i="56"/>
  <c r="AZ41" i="56"/>
  <c r="AX41" i="56"/>
  <c r="AW98" i="56"/>
  <c r="AS105" i="56"/>
  <c r="AG129" i="38"/>
  <c r="AZ97" i="56"/>
  <c r="AX97" i="56"/>
  <c r="AZ44" i="56"/>
  <c r="AX44" i="56"/>
  <c r="AZ4" i="56"/>
  <c r="AX4" i="56"/>
  <c r="AZ5" i="56"/>
  <c r="AX5" i="56"/>
  <c r="AW77" i="56"/>
  <c r="AX77" i="56"/>
  <c r="AZ77" i="56"/>
  <c r="AW15" i="56"/>
  <c r="AX15" i="56"/>
  <c r="AZ15" i="56"/>
  <c r="AZ78" i="56"/>
  <c r="AX78" i="56"/>
  <c r="AZ29" i="56"/>
  <c r="AX29" i="56"/>
  <c r="AW17" i="56"/>
  <c r="AX17" i="56"/>
  <c r="AZ17" i="56"/>
  <c r="AZ10" i="56"/>
  <c r="AX10" i="56"/>
  <c r="AZ20" i="56"/>
  <c r="AX20" i="56"/>
  <c r="AZ30" i="56"/>
  <c r="AX30" i="56"/>
  <c r="AZ75" i="56"/>
  <c r="AX75" i="56"/>
  <c r="AZ27" i="56"/>
  <c r="AX27" i="56"/>
  <c r="L23" i="3" l="1"/>
  <c r="L28" i="3" s="1"/>
  <c r="J28" i="3"/>
  <c r="AX105" i="56"/>
  <c r="AN127" i="56"/>
  <c r="AC23" i="3"/>
  <c r="AC28" i="3" s="1"/>
  <c r="AO3" i="56"/>
  <c r="O23" i="3"/>
  <c r="M28" i="3"/>
  <c r="AW105" i="56"/>
  <c r="P23" i="3"/>
  <c r="AD127" i="56"/>
  <c r="AA127" i="56"/>
  <c r="AF106" i="56"/>
  <c r="AO106" i="56" l="1"/>
  <c r="AO127" i="56" s="1"/>
  <c r="AV3" i="56"/>
  <c r="AN129" i="38"/>
  <c r="AF127" i="56"/>
  <c r="AC104" i="56"/>
  <c r="AC99" i="56"/>
  <c r="AC103" i="56"/>
  <c r="AC100" i="56"/>
  <c r="AC101" i="56"/>
  <c r="AC102" i="56"/>
  <c r="AC49" i="56"/>
  <c r="AC63" i="56"/>
  <c r="AC56" i="56"/>
  <c r="AC70" i="56"/>
  <c r="AC38" i="56"/>
  <c r="AC39" i="56"/>
  <c r="AC71" i="56"/>
  <c r="AC58" i="56"/>
  <c r="AC73" i="56"/>
  <c r="AC72" i="56"/>
  <c r="AC66" i="56"/>
  <c r="AC65" i="56"/>
  <c r="AC64" i="56"/>
  <c r="AC74" i="56"/>
  <c r="AC50" i="56"/>
  <c r="AC89" i="56"/>
  <c r="AC52" i="56"/>
  <c r="AC55" i="56"/>
  <c r="AC61" i="56"/>
  <c r="AC69" i="56"/>
  <c r="AC59" i="56"/>
  <c r="AC51" i="56"/>
  <c r="AC93" i="56"/>
  <c r="AC57" i="56"/>
  <c r="AC53" i="56"/>
  <c r="AC54" i="56"/>
  <c r="AC62" i="56"/>
  <c r="AC60" i="56"/>
  <c r="AC68" i="56"/>
  <c r="AC67" i="56"/>
  <c r="AC35" i="56"/>
  <c r="AC92" i="56"/>
  <c r="AC37" i="56"/>
  <c r="AC36" i="56"/>
  <c r="AC90" i="56"/>
  <c r="AC40" i="56"/>
  <c r="AC91" i="56"/>
  <c r="AC46" i="56"/>
  <c r="AC5" i="56"/>
  <c r="AC47" i="56"/>
  <c r="AC48" i="56"/>
  <c r="AC96" i="56"/>
  <c r="AC41" i="56"/>
  <c r="AC16" i="56"/>
  <c r="AC11" i="56"/>
  <c r="AC95" i="56"/>
  <c r="AC79" i="56"/>
  <c r="AC4" i="56"/>
  <c r="AC14" i="56"/>
  <c r="AC97" i="56"/>
  <c r="AC17" i="56"/>
  <c r="AC18" i="56"/>
  <c r="AC80" i="56"/>
  <c r="AC13" i="56"/>
  <c r="AC88" i="56"/>
  <c r="AC15" i="56"/>
  <c r="AC24" i="56"/>
  <c r="AC94" i="56"/>
  <c r="AC42" i="56"/>
  <c r="AC43" i="56"/>
  <c r="AC26" i="56"/>
  <c r="AC78" i="56"/>
  <c r="AC75" i="56"/>
  <c r="AC25" i="56"/>
  <c r="AC19" i="56"/>
  <c r="AC6" i="56"/>
  <c r="AC7" i="56"/>
  <c r="AC98" i="56"/>
  <c r="AC82" i="56"/>
  <c r="AC12" i="56"/>
  <c r="AC21" i="56"/>
  <c r="AC22" i="56"/>
  <c r="AC23" i="56"/>
  <c r="AC32" i="56"/>
  <c r="AC77" i="56"/>
  <c r="AC86" i="56"/>
  <c r="AC44" i="56"/>
  <c r="AC10" i="56"/>
  <c r="AC29" i="56"/>
  <c r="AC30" i="56"/>
  <c r="AC31" i="56"/>
  <c r="AC83" i="56"/>
  <c r="AC87" i="56"/>
  <c r="AC76" i="56"/>
  <c r="AC33" i="56"/>
  <c r="AC27" i="56"/>
  <c r="AC28" i="56"/>
  <c r="AC9" i="56"/>
  <c r="AC34" i="56"/>
  <c r="AC81" i="56"/>
  <c r="AC45" i="56"/>
  <c r="AC20" i="56"/>
  <c r="AC8" i="56"/>
  <c r="AC85" i="56"/>
  <c r="AC84" i="56"/>
  <c r="AC3" i="56"/>
  <c r="Y129" i="38"/>
  <c r="N30" i="3"/>
  <c r="F23" i="3"/>
  <c r="F28" i="3" s="1"/>
  <c r="AF23" i="3"/>
  <c r="AE23" i="3"/>
  <c r="AE28" i="3" s="1"/>
  <c r="AK23" i="3"/>
  <c r="O28" i="3"/>
  <c r="AC30" i="3" s="1"/>
  <c r="AH23" i="3"/>
  <c r="P28" i="3"/>
  <c r="AC106" i="56" l="1"/>
  <c r="AC127" i="56" s="1"/>
  <c r="AI23" i="3"/>
  <c r="AJ23" i="3"/>
  <c r="AF28" i="3"/>
  <c r="AO129" i="38" s="1"/>
  <c r="AD129" i="38"/>
  <c r="P30" i="3"/>
  <c r="AH28" i="3"/>
  <c r="X30" i="3"/>
  <c r="Z30" i="3"/>
  <c r="AK28" i="3"/>
  <c r="W31" i="3"/>
  <c r="V30" i="3"/>
  <c r="W30" i="3"/>
  <c r="T30" i="3"/>
  <c r="S30" i="3"/>
  <c r="U30" i="3"/>
  <c r="Q30" i="3"/>
  <c r="R30" i="3"/>
  <c r="AW3" i="56"/>
  <c r="AZ3" i="56"/>
  <c r="AZ106" i="56" s="1"/>
  <c r="AZ127" i="56" s="1"/>
  <c r="AX3" i="56"/>
  <c r="AG31" i="3" l="1"/>
  <c r="AG30" i="3"/>
  <c r="AJ28" i="3"/>
  <c r="AI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8AC76F0-9F7C-494D-B060-9A7522B00BE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80AA5EE-39FE-4D46-BA75-BF06FE7F0D6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6B9E1B9-566C-45EE-80A6-6973D6AD53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EAFE174-AC3A-4CA7-83CD-055EC4C86A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BF50035-DFF0-4620-A66E-D38BE40D28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4898A89-03E8-4322-8ACC-413E1EB18C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95BD2572-1FC9-49C8-B9AB-75F66297E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F842A3D-D9A1-43E9-809B-533A6A6E1A7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B7F3C43-555D-4579-93E4-2AD728F5FBC7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786B6AC-A7B0-494F-8DD4-10454159DD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EC3836B-6A11-401D-A003-E73A8995E0C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38A0F43-BF88-4AD4-85A2-20B2D1F1910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5BDF397-162D-4FA2-89A4-A292A04202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E7AAF63-CF99-463E-8E0F-D0BC4B05CE5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90EFBBB-FA2E-4471-9284-5647B7ABBC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B7899FD-5E0A-49E8-9833-C3F98A7846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9164A085-20F7-4419-A312-720FC70B57E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225DCE3-1B92-4DE3-88D4-C8EAEF1A0AA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3CE9B7D-F4BA-4E97-B0F7-713E6E908C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7BE28F2-9193-414B-8D84-B344EBDE1CD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3B749E-AFAE-49B8-AEA7-54FD0588615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1771DC1-F3A3-4153-AD98-CA2C1CEBFF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6DA4475-934A-4247-85A4-4A23245894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CF69C8B-62AC-40D5-849E-F5C6A8E6A15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291FF685-47F8-42DF-A832-77FD3D7D468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A344E42-DE26-4A1D-A313-9B1352ACAA3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AFCAA45-2A25-4074-BDBE-97DBCDFC428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569BFC3-B8E9-4F8A-A2CB-A3FCBBD3A5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0720BAA-0D46-403A-95E2-9EB210DE0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A4E7734-52D1-4DE5-B0BA-67FEDC470D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E691F38-1EBB-4A29-8699-629D292400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0EE0F5D-54FC-4E92-88EB-681B54859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692ED25-430A-47E9-AE3A-EC070449994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40FDC8DD-B691-49C7-90B9-56D9E239EB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5915B0-981F-4DC3-A056-AA42AF86760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10503FC-89D8-461C-B442-0BB98FBDB4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4697D914-9BAF-4C94-A1F5-42CE8FAA6A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02DB867-8DDC-486A-B74C-D1E0B675DF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9D51A28-EEA6-4750-ADEA-81209EEBF9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C7702C3-8E8F-4087-8F0A-DD447C89C7C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<sst xmlns="http://schemas.openxmlformats.org/spreadsheetml/2006/main" count="13329" uniqueCount="381">
  <si>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</si>
  <si>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</si>
  <si>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</si>
  <si>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</si>
  <si>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</si>
  <si>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</si>
  <si>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</si>
  <si>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</si>
  <si>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</si>
  <si>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</si>
  <si>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</si>
  <si>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</si>
  <si>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</si>
  <si>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</si>
  <si>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</si>
  <si>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</si>
  <si>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</si>
  <si>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</si>
  <si>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</si>
  <si>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</si>
  <si>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</si>
  <si>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</si>
  <si>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</si>
  <si>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</si>
  <si>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</si>
  <si>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</si>
  <si>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</si>
  <si>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</si>
  <si>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</si>
  <si>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</si>
  <si>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</si>
  <si>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</si>
  <si>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</si>
  <si>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</si>
  <si>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</si>
  <si>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</si>
  <si>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</si>
  <si>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</si>
  <si>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</si>
  <si>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</si>
  <si>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</si>
  <si>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</si>
  <si>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</si>
  <si>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</si>
  <si>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</si>
  <si>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</si>
  <si>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</si>
  <si>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</si>
  <si>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</si>
  <si>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</si>
  <si>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</si>
  <si>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</si>
  <si>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</si>
  <si>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</si>
  <si>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</si>
  <si>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</si>
  <si>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</si>
  <si>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</si>
  <si>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</si>
  <si>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</si>
  <si>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</si>
  <si>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</si>
  <si>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</si>
  <si>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</si>
  <si>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</si>
  <si>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</si>
  <si>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</si>
  <si>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</si>
  <si>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</si>
  <si>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</si>
  <si>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</si>
  <si>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</si>
  <si>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</si>
  <si>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</si>
  <si>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</si>
  <si>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</si>
  <si>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</si>
  <si>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</si>
  <si>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</si>
  <si>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</si>
  <si>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</si>
  <si>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</si>
  <si>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</si>
  <si>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</si>
  <si>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</si>
  <si>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</si>
  <si>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</si>
  <si>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</si>
  <si>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</si>
  <si>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</si>
  <si>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</si>
  <si>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</si>
  <si>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</si>
  <si>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</si>
  <si>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</si>
  <si>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</si>
  <si>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</si>
  <si>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</si>
  <si>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</si>
  <si>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</si>
  <si>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</si>
  <si>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</si>
  <si>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</si>
  <si>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</si>
  <si>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</si>
  <si>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</si>
  <si>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</si>
  <si>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</si>
  <si>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</si>
  <si>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</si>
  <si>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</si>
  <si>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</si>
  <si>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</si>
  <si>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</si>
  <si>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</si>
  <si>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</si>
  <si>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</si>
  <si>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</si>
  <si>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</si>
  <si>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</si>
  <si>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</si>
  <si>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</si>
  <si>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</si>
  <si>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</si>
  <si>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</si>
  <si>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</si>
  <si>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</si>
  <si>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</si>
  <si>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</si>
  <si>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</si>
  <si>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</si>
  <si>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</si>
  <si>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</si>
  <si>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</si>
  <si>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</si>
  <si>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</si>
  <si>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</si>
  <si>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</si>
  <si>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</si>
  <si>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</si>
  <si>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</si>
  <si>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</si>
  <si>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</si>
  <si>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</si>
  <si>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</si>
  <si>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</si>
  <si>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</si>
  <si>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</si>
  <si>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</si>
  <si>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</si>
  <si>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</si>
  <si>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</si>
  <si>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</si>
  <si>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</si>
  <si>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</si>
  <si>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</si>
  <si>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</si>
  <si>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</si>
  <si>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</si>
  <si>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</si>
  <si>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</si>
  <si>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</si>
  <si>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</si>
  <si>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</si>
  <si>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</si>
  <si>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</si>
  <si>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</si>
  <si>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</si>
  <si>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</si>
  <si>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</si>
  <si>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</si>
  <si>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</si>
  <si>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</si>
  <si>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</si>
  <si>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</si>
  <si>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</si>
  <si>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</si>
  <si>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</si>
  <si>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</si>
  <si>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</si>
  <si>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</si>
  <si>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</si>
  <si>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</si>
  <si>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</si>
  <si>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</si>
  <si>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</si>
  <si>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</si>
  <si>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</si>
  <si>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</si>
  <si>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</si>
  <si>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</si>
  <si>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</si>
  <si>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</si>
  <si>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</si>
  <si>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</si>
  <si>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</si>
  <si>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</si>
  <si>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</si>
  <si>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</si>
  <si>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</si>
  <si>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</si>
  <si>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</si>
  <si>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</si>
  <si>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</si>
  <si>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</si>
  <si>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</si>
  <si>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</si>
  <si>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</si>
  <si>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</si>
  <si>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</si>
  <si>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</si>
  <si>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</si>
  <si>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</si>
  <si>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</si>
  <si>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</si>
  <si>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</si>
  <si>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</si>
  <si>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</si>
  <si>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</si>
  <si>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</si>
  <si>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</si>
  <si>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</si>
  <si>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</si>
  <si>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</si>
  <si>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</si>
  <si>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</si>
  <si>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</si>
  <si>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</si>
  <si>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</si>
  <si>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</si>
  <si>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</si>
  <si>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</si>
  <si>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</si>
  <si>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</si>
  <si>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</si>
  <si>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</si>
  <si>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</si>
  <si>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</si>
  <si>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</si>
  <si>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</si>
  <si>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</si>
  <si>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</si>
  <si>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</si>
  <si>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</si>
  <si>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</si>
  <si>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</si>
  <si>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</si>
  <si>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</si>
  <si>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</si>
  <si>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</si>
  <si>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</si>
  <si>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</si>
  <si>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</si>
  <si>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</si>
  <si>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</si>
  <si>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</si>
  <si>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</si>
  <si>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</si>
  <si>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</si>
  <si>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</si>
  <si>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</si>
  <si>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</si>
  <si>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</si>
  <si>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</si>
  <si>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</si>
  <si>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</si>
  <si>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</si>
  <si>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</si>
  <si>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</si>
  <si>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</si>
  <si>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</si>
  <si>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</si>
  <si>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</si>
  <si>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</si>
  <si>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</si>
  <si>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</si>
  <si>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</si>
  <si>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</si>
  <si>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</si>
  <si>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</si>
  <si>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</si>
  <si>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</si>
  <si>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</si>
  <si>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</si>
  <si>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</si>
  <si>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</si>
  <si>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</si>
  <si>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</si>
  <si>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</si>
  <si>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</si>
  <si>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</si>
  <si>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</si>
  <si>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</si>
  <si>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</si>
  <si>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</si>
  <si>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</si>
  <si>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</si>
  <si>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</si>
  <si>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</si>
  <si>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</si>
  <si>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</si>
  <si>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</si>
  <si>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</si>
  <si>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</si>
  <si>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</si>
  <si>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</si>
  <si>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</si>
  <si>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</si>
  <si>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</si>
  <si>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</si>
  <si>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</si>
  <si>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</si>
  <si>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</si>
  <si>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</si>
  <si>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</si>
  <si>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</si>
  <si>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</si>
  <si>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</si>
  <si>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</si>
  <si>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</si>
  <si>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</si>
  <si>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</si>
  <si>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</si>
  <si>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</si>
  <si>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</si>
  <si>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</si>
  <si>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</si>
  <si>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</si>
  <si>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</si>
  <si>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</si>
  <si>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</si>
  <si>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</si>
  <si>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</si>
  <si>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</si>
  <si>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</si>
  <si>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</si>
  <si>
    <t>20-26.04_17 нед</t>
  </si>
  <si>
    <t>Остаток на 27.04</t>
  </si>
  <si>
    <t>ridges brand 01</t>
  </si>
  <si>
    <t>12-19.04</t>
  </si>
  <si>
    <t>Апрель 3 очки</t>
  </si>
  <si>
    <t>13-19.04</t>
  </si>
  <si>
    <t>Апрель 4 очки</t>
  </si>
  <si>
    <t>Апрель 5 очки</t>
  </si>
  <si>
    <t>20-26.04</t>
  </si>
  <si>
    <t>27.04-03.05</t>
  </si>
  <si>
    <t>14 нед</t>
  </si>
  <si>
    <t>15 нед</t>
  </si>
  <si>
    <t>16 нед</t>
  </si>
  <si>
    <t>Остаток на 04.05</t>
  </si>
  <si>
    <t>27.07-03.05_18 нед</t>
  </si>
  <si>
    <t>Воронка продаж 20,39,30</t>
  </si>
  <si>
    <t>Реклама ПРОМОБОНУСЫ</t>
  </si>
  <si>
    <t>19-26.04</t>
  </si>
  <si>
    <t>22-26.04</t>
  </si>
  <si>
    <t>17 нед</t>
  </si>
  <si>
    <t>04-10.05_19 нед</t>
  </si>
  <si>
    <t>Остаток на 11.05</t>
  </si>
  <si>
    <t>АПРЕЛЬ_14-18 нед</t>
  </si>
  <si>
    <t>Заказы, шт
14-18 нед</t>
  </si>
  <si>
    <t>Средняя цена, руб.
01-30.04</t>
  </si>
  <si>
    <t>% выкупа
01-30.04</t>
  </si>
  <si>
    <t>Учет в прибыли с апреля (баннер)</t>
  </si>
  <si>
    <t>27-30.04</t>
  </si>
  <si>
    <t>01.05-03.05</t>
  </si>
  <si>
    <t>26-30.04</t>
  </si>
  <si>
    <t>АПРЕЛЬ очки</t>
  </si>
  <si>
    <t>18 нед</t>
  </si>
  <si>
    <t>апрель</t>
  </si>
  <si>
    <t>88118 C8-22 (2303 C3)</t>
  </si>
  <si>
    <t>2422 С1</t>
  </si>
  <si>
    <t>88118 C9-124 (2303 C1)</t>
  </si>
  <si>
    <t>А1248 С3</t>
  </si>
  <si>
    <t>11-17.05_20 нед</t>
  </si>
  <si>
    <t>Остаток на 18.05</t>
  </si>
  <si>
    <t>ё</t>
  </si>
  <si>
    <t>03.05-09.05</t>
  </si>
  <si>
    <t>03.05-10.05</t>
  </si>
  <si>
    <t>04.05-10.05</t>
  </si>
  <si>
    <t>Май 1 очки</t>
  </si>
  <si>
    <t>04-10.05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</si>
</sst>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0" fillId="0" borderId="0"/>
    <xf numFmtId="43" fontId="18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7" fillId="0" borderId="0" applyFont="0" applyFill="0" applyBorder="0" applyAlignment="0" applyProtection="0"/>
    <xf numFmtId="0" fontId="40" fillId="0" borderId="0"/>
    <xf numFmtId="43" fontId="18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596">
    <xf numFmtId="0" fontId="0" fillId="0" borderId="0" xfId="0"/>
    <xf numFmtId="0" fontId="17" fillId="0" borderId="0" xfId="0" applyFont="1" applyAlignment="1">
      <alignment wrapText="1"/>
    </xf>
    <xf numFmtId="0" fontId="19" fillId="0" borderId="0" xfId="0" applyFont="1"/>
    <xf numFmtId="49" fontId="19" fillId="0" borderId="0" xfId="0" applyNumberFormat="1" applyFont="1"/>
    <xf numFmtId="0" fontId="19" fillId="0" borderId="0" xfId="0" applyFont="1" applyAlignment="1">
      <alignment horizontal="center"/>
    </xf>
    <xf numFmtId="164" fontId="19" fillId="0" borderId="0" xfId="0" applyNumberFormat="1" applyFont="1"/>
    <xf numFmtId="9" fontId="19" fillId="0" borderId="0" xfId="2" applyFont="1" applyBorder="1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49" fontId="21" fillId="3" borderId="12" xfId="0" applyNumberFormat="1" applyFont="1" applyFill="1" applyBorder="1" applyAlignment="1">
      <alignment horizontal="center" vertical="center" wrapText="1"/>
    </xf>
    <xf numFmtId="49" fontId="21" fillId="3" borderId="13" xfId="0" applyNumberFormat="1" applyFont="1" applyFill="1" applyBorder="1" applyAlignment="1">
      <alignment horizontal="center" vertical="center" wrapText="1"/>
    </xf>
    <xf numFmtId="1" fontId="21" fillId="3" borderId="13" xfId="0" applyNumberFormat="1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165" fontId="19" fillId="0" borderId="0" xfId="1" applyNumberFormat="1" applyFont="1" applyBorder="1"/>
    <xf numFmtId="49" fontId="19" fillId="13" borderId="3" xfId="0" applyNumberFormat="1" applyFont="1" applyFill="1" applyBorder="1"/>
    <xf numFmtId="3" fontId="19" fillId="0" borderId="3" xfId="4" applyNumberFormat="1" applyFont="1" applyFill="1" applyBorder="1"/>
    <xf numFmtId="3" fontId="19" fillId="0" borderId="3" xfId="4" applyNumberFormat="1" applyFont="1" applyBorder="1"/>
    <xf numFmtId="167" fontId="19" fillId="0" borderId="4" xfId="4" applyNumberFormat="1" applyFont="1" applyBorder="1"/>
    <xf numFmtId="3" fontId="19" fillId="0" borderId="4" xfId="4" applyNumberFormat="1" applyFont="1" applyFill="1" applyBorder="1"/>
    <xf numFmtId="3" fontId="19" fillId="13" borderId="3" xfId="4" applyNumberFormat="1" applyFont="1" applyFill="1" applyBorder="1"/>
    <xf numFmtId="49" fontId="19" fillId="13" borderId="2" xfId="0" applyNumberFormat="1" applyFont="1" applyFill="1" applyBorder="1"/>
    <xf numFmtId="49" fontId="19" fillId="13" borderId="2" xfId="3" applyNumberFormat="1" applyFont="1" applyFill="1" applyBorder="1" applyAlignment="1">
      <alignment horizontal="center"/>
    </xf>
    <xf numFmtId="49" fontId="19" fillId="13" borderId="3" xfId="3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49" fontId="19" fillId="13" borderId="18" xfId="0" applyNumberFormat="1" applyFont="1" applyFill="1" applyBorder="1"/>
    <xf numFmtId="166" fontId="19" fillId="0" borderId="3" xfId="4" applyNumberFormat="1" applyFont="1" applyFill="1" applyBorder="1"/>
    <xf numFmtId="3" fontId="21" fillId="9" borderId="3" xfId="4" applyNumberFormat="1" applyFont="1" applyFill="1" applyBorder="1"/>
    <xf numFmtId="49" fontId="19" fillId="13" borderId="13" xfId="0" applyNumberFormat="1" applyFont="1" applyFill="1" applyBorder="1"/>
    <xf numFmtId="49" fontId="19" fillId="13" borderId="13" xfId="3" applyNumberFormat="1" applyFont="1" applyFill="1" applyBorder="1" applyAlignment="1">
      <alignment horizontal="center"/>
    </xf>
    <xf numFmtId="166" fontId="23" fillId="0" borderId="13" xfId="4" applyNumberFormat="1" applyFont="1" applyFill="1" applyBorder="1"/>
    <xf numFmtId="3" fontId="19" fillId="13" borderId="13" xfId="4" applyNumberFormat="1" applyFont="1" applyFill="1" applyBorder="1"/>
    <xf numFmtId="3" fontId="21" fillId="9" borderId="13" xfId="4" applyNumberFormat="1" applyFont="1" applyFill="1" applyBorder="1"/>
    <xf numFmtId="166" fontId="23" fillId="0" borderId="1" xfId="4" applyNumberFormat="1" applyFont="1" applyFill="1" applyBorder="1"/>
    <xf numFmtId="14" fontId="19" fillId="13" borderId="22" xfId="3" applyNumberFormat="1" applyFont="1" applyFill="1" applyBorder="1" applyAlignment="1">
      <alignment horizontal="center"/>
    </xf>
    <xf numFmtId="14" fontId="19" fillId="13" borderId="16" xfId="3" applyNumberFormat="1" applyFont="1" applyFill="1" applyBorder="1" applyAlignment="1">
      <alignment horizontal="center"/>
    </xf>
    <xf numFmtId="49" fontId="24" fillId="0" borderId="24" xfId="0" applyNumberFormat="1" applyFont="1" applyBorder="1"/>
    <xf numFmtId="49" fontId="24" fillId="0" borderId="14" xfId="0" applyNumberFormat="1" applyFont="1" applyBorder="1"/>
    <xf numFmtId="0" fontId="24" fillId="0" borderId="14" xfId="0" applyFont="1" applyBorder="1" applyAlignment="1">
      <alignment horizontal="center"/>
    </xf>
    <xf numFmtId="164" fontId="24" fillId="0" borderId="14" xfId="0" applyNumberFormat="1" applyFont="1" applyBorder="1"/>
    <xf numFmtId="165" fontId="21" fillId="0" borderId="14" xfId="0" applyNumberFormat="1" applyFont="1" applyBorder="1"/>
    <xf numFmtId="168" fontId="21" fillId="0" borderId="14" xfId="0" applyNumberFormat="1" applyFont="1" applyBorder="1"/>
    <xf numFmtId="9" fontId="21" fillId="0" borderId="0" xfId="2" applyFont="1" applyBorder="1"/>
    <xf numFmtId="49" fontId="24" fillId="0" borderId="0" xfId="0" applyNumberFormat="1" applyFont="1"/>
    <xf numFmtId="164" fontId="24" fillId="0" borderId="0" xfId="0" applyNumberFormat="1" applyFont="1"/>
    <xf numFmtId="165" fontId="21" fillId="0" borderId="0" xfId="0" applyNumberFormat="1" applyFont="1"/>
    <xf numFmtId="0" fontId="25" fillId="0" borderId="0" xfId="3" applyFont="1" applyAlignment="1">
      <alignment vertical="center"/>
    </xf>
    <xf numFmtId="49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9" fontId="21" fillId="0" borderId="0" xfId="2" applyFont="1" applyBorder="1" applyAlignment="1">
      <alignment horizontal="center" vertical="center"/>
    </xf>
    <xf numFmtId="167" fontId="19" fillId="0" borderId="0" xfId="2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0" borderId="0" xfId="2" applyFont="1" applyBorder="1" applyAlignment="1">
      <alignment horizontal="center"/>
    </xf>
    <xf numFmtId="49" fontId="19" fillId="0" borderId="21" xfId="0" applyNumberFormat="1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164" fontId="19" fillId="0" borderId="21" xfId="0" applyNumberFormat="1" applyFont="1" applyBorder="1" applyAlignment="1">
      <alignment horizontal="right" vertical="center"/>
    </xf>
    <xf numFmtId="0" fontId="19" fillId="0" borderId="21" xfId="0" applyFont="1" applyBorder="1" applyAlignment="1">
      <alignment horizontal="right" vertical="center"/>
    </xf>
    <xf numFmtId="0" fontId="25" fillId="0" borderId="21" xfId="3" applyFont="1" applyBorder="1" applyAlignment="1">
      <alignment vertical="center"/>
    </xf>
    <xf numFmtId="9" fontId="21" fillId="0" borderId="21" xfId="2" applyFont="1" applyBorder="1" applyAlignment="1">
      <alignment horizontal="center" vertical="center"/>
    </xf>
    <xf numFmtId="167" fontId="19" fillId="0" borderId="21" xfId="2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wrapText="1"/>
    </xf>
    <xf numFmtId="0" fontId="29" fillId="0" borderId="0" xfId="0" applyFont="1" applyAlignment="1">
      <alignment horizontal="right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wrapText="1"/>
    </xf>
    <xf numFmtId="0" fontId="33" fillId="0" borderId="25" xfId="5" applyFont="1" applyBorder="1" applyAlignment="1">
      <alignment horizontal="left" vertical="center"/>
    </xf>
    <xf numFmtId="169" fontId="33" fillId="0" borderId="25" xfId="5" applyNumberFormat="1" applyFont="1" applyBorder="1" applyAlignment="1">
      <alignment horizontal="left" vertical="center"/>
    </xf>
    <xf numFmtId="0" fontId="33" fillId="0" borderId="25" xfId="5" applyFont="1" applyBorder="1" applyAlignment="1">
      <alignment vertical="center"/>
    </xf>
    <xf numFmtId="0" fontId="33" fillId="3" borderId="25" xfId="5" applyFont="1" applyFill="1" applyBorder="1" applyAlignment="1">
      <alignment horizontal="center" vertical="center" wrapText="1"/>
    </xf>
    <xf numFmtId="169" fontId="33" fillId="3" borderId="25" xfId="5" applyNumberFormat="1" applyFont="1" applyFill="1" applyBorder="1" applyAlignment="1">
      <alignment horizontal="center" vertical="center" wrapText="1"/>
    </xf>
    <xf numFmtId="0" fontId="33" fillId="4" borderId="25" xfId="5" applyFont="1" applyFill="1" applyBorder="1" applyAlignment="1">
      <alignment horizontal="center" vertical="center" wrapText="1"/>
    </xf>
    <xf numFmtId="1" fontId="33" fillId="8" borderId="25" xfId="5" applyNumberFormat="1" applyFont="1" applyFill="1" applyBorder="1" applyAlignment="1">
      <alignment horizontal="center" vertical="center" wrapText="1"/>
    </xf>
    <xf numFmtId="1" fontId="33" fillId="3" borderId="25" xfId="5" applyNumberFormat="1" applyFont="1" applyFill="1" applyBorder="1" applyAlignment="1">
      <alignment horizontal="center" vertical="center" wrapText="1"/>
    </xf>
    <xf numFmtId="0" fontId="33" fillId="8" borderId="25" xfId="5" applyFont="1" applyFill="1" applyBorder="1" applyAlignment="1">
      <alignment horizontal="center" vertical="center" wrapText="1"/>
    </xf>
    <xf numFmtId="167" fontId="33" fillId="15" borderId="25" xfId="6" applyNumberFormat="1" applyFont="1" applyFill="1" applyBorder="1" applyAlignment="1">
      <alignment horizontal="center" vertical="center" wrapText="1"/>
    </xf>
    <xf numFmtId="167" fontId="33" fillId="3" borderId="25" xfId="6" applyNumberFormat="1" applyFont="1" applyFill="1" applyBorder="1" applyAlignment="1">
      <alignment horizontal="center" vertical="center" wrapText="1"/>
    </xf>
    <xf numFmtId="167" fontId="33" fillId="2" borderId="25" xfId="6" applyNumberFormat="1" applyFont="1" applyFill="1" applyBorder="1" applyAlignment="1">
      <alignment horizontal="center" vertical="center" wrapText="1"/>
    </xf>
    <xf numFmtId="167" fontId="33" fillId="8" borderId="25" xfId="6" applyNumberFormat="1" applyFont="1" applyFill="1" applyBorder="1" applyAlignment="1">
      <alignment horizontal="center" vertical="center" wrapText="1"/>
    </xf>
    <xf numFmtId="9" fontId="33" fillId="3" borderId="25" xfId="7" applyFont="1" applyFill="1" applyBorder="1" applyAlignment="1">
      <alignment horizontal="center" vertical="center" wrapText="1"/>
    </xf>
    <xf numFmtId="167" fontId="33" fillId="14" borderId="25" xfId="4" applyNumberFormat="1" applyFont="1" applyFill="1" applyBorder="1" applyAlignment="1">
      <alignment horizontal="center" vertical="center" wrapText="1"/>
    </xf>
    <xf numFmtId="0" fontId="36" fillId="14" borderId="25" xfId="5" applyFont="1" applyFill="1" applyBorder="1" applyAlignment="1">
      <alignment horizontal="center" vertical="center" wrapText="1"/>
    </xf>
    <xf numFmtId="0" fontId="33" fillId="0" borderId="25" xfId="5" applyFont="1" applyBorder="1" applyAlignment="1">
      <alignment horizontal="center" vertical="center" wrapText="1"/>
    </xf>
    <xf numFmtId="0" fontId="35" fillId="0" borderId="25" xfId="0" applyFont="1" applyBorder="1"/>
    <xf numFmtId="0" fontId="35" fillId="0" borderId="25" xfId="0" applyFont="1" applyBorder="1" applyAlignment="1">
      <alignment horizontal="left" vertical="top"/>
    </xf>
    <xf numFmtId="167" fontId="35" fillId="0" borderId="25" xfId="4" applyNumberFormat="1" applyFont="1" applyBorder="1" applyAlignment="1"/>
    <xf numFmtId="167" fontId="35" fillId="0" borderId="25" xfId="4" applyNumberFormat="1" applyFont="1" applyBorder="1"/>
    <xf numFmtId="167" fontId="35" fillId="0" borderId="25" xfId="4" applyNumberFormat="1" applyFont="1" applyFill="1" applyBorder="1"/>
    <xf numFmtId="167" fontId="35" fillId="0" borderId="25" xfId="8" applyNumberFormat="1" applyFont="1" applyBorder="1"/>
    <xf numFmtId="167" fontId="33" fillId="0" borderId="25" xfId="8" applyNumberFormat="1" applyFont="1" applyBorder="1"/>
    <xf numFmtId="167" fontId="35" fillId="14" borderId="25" xfId="8" applyNumberFormat="1" applyFont="1" applyFill="1" applyBorder="1"/>
    <xf numFmtId="171" fontId="35" fillId="0" borderId="25" xfId="9" applyNumberFormat="1" applyFont="1" applyBorder="1"/>
    <xf numFmtId="167" fontId="35" fillId="0" borderId="25" xfId="5" applyNumberFormat="1" applyFont="1" applyBorder="1"/>
    <xf numFmtId="0" fontId="16" fillId="14" borderId="25" xfId="5" applyFont="1" applyFill="1" applyBorder="1"/>
    <xf numFmtId="0" fontId="35" fillId="0" borderId="25" xfId="5" applyFont="1" applyBorder="1"/>
    <xf numFmtId="0" fontId="16" fillId="0" borderId="25" xfId="5" applyFont="1" applyBorder="1" applyAlignment="1">
      <alignment horizontal="left" indent="1"/>
    </xf>
    <xf numFmtId="0" fontId="16" fillId="0" borderId="25" xfId="0" applyFont="1" applyBorder="1" applyAlignment="1">
      <alignment horizontal="left" vertical="top"/>
    </xf>
    <xf numFmtId="0" fontId="16" fillId="0" borderId="25" xfId="0" applyFont="1" applyBorder="1"/>
    <xf numFmtId="167" fontId="16" fillId="0" borderId="25" xfId="4" applyNumberFormat="1" applyFont="1" applyBorder="1" applyAlignment="1"/>
    <xf numFmtId="167" fontId="16" fillId="0" borderId="25" xfId="4" applyNumberFormat="1" applyFont="1" applyBorder="1"/>
    <xf numFmtId="167" fontId="16" fillId="0" borderId="25" xfId="4" applyNumberFormat="1" applyFont="1" applyFill="1" applyBorder="1"/>
    <xf numFmtId="1" fontId="16" fillId="0" borderId="25" xfId="4" applyNumberFormat="1" applyFont="1" applyFill="1" applyBorder="1"/>
    <xf numFmtId="167" fontId="16" fillId="0" borderId="25" xfId="8" applyNumberFormat="1" applyFont="1" applyBorder="1"/>
    <xf numFmtId="167" fontId="36" fillId="0" borderId="25" xfId="8" applyNumberFormat="1" applyFont="1" applyBorder="1"/>
    <xf numFmtId="167" fontId="16" fillId="14" borderId="25" xfId="8" applyNumberFormat="1" applyFont="1" applyFill="1" applyBorder="1"/>
    <xf numFmtId="171" fontId="38" fillId="7" borderId="25" xfId="9" applyNumberFormat="1" applyFont="1" applyFill="1" applyBorder="1"/>
    <xf numFmtId="9" fontId="38" fillId="7" borderId="25" xfId="9" applyNumberFormat="1" applyFont="1" applyFill="1" applyBorder="1"/>
    <xf numFmtId="0" fontId="16" fillId="0" borderId="25" xfId="5" applyFont="1" applyBorder="1"/>
    <xf numFmtId="171" fontId="33" fillId="11" borderId="25" xfId="10" applyNumberFormat="1" applyFont="1" applyFill="1" applyBorder="1" applyAlignment="1">
      <alignment horizontal="left" vertical="center"/>
    </xf>
    <xf numFmtId="169" fontId="33" fillId="11" borderId="25" xfId="10" applyNumberFormat="1" applyFont="1" applyFill="1" applyBorder="1" applyAlignment="1">
      <alignment horizontal="center" vertical="center"/>
    </xf>
    <xf numFmtId="171" fontId="33" fillId="11" borderId="25" xfId="10" applyNumberFormat="1" applyFont="1" applyFill="1" applyBorder="1" applyAlignment="1">
      <alignment horizontal="center" vertical="center"/>
    </xf>
    <xf numFmtId="166" fontId="33" fillId="11" borderId="25" xfId="10" applyNumberFormat="1" applyFont="1" applyFill="1" applyBorder="1" applyAlignment="1">
      <alignment horizontal="center" vertical="center"/>
    </xf>
    <xf numFmtId="167" fontId="33" fillId="11" borderId="25" xfId="4" applyNumberFormat="1" applyFont="1" applyFill="1" applyBorder="1" applyAlignment="1">
      <alignment horizontal="center" vertical="center"/>
    </xf>
    <xf numFmtId="171" fontId="36" fillId="11" borderId="25" xfId="10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167" fontId="35" fillId="0" borderId="25" xfId="4" applyNumberFormat="1" applyFont="1" applyFill="1" applyBorder="1" applyAlignment="1"/>
    <xf numFmtId="1" fontId="35" fillId="0" borderId="25" xfId="4" applyNumberFormat="1" applyFont="1" applyFill="1" applyBorder="1"/>
    <xf numFmtId="167" fontId="35" fillId="0" borderId="25" xfId="8" applyNumberFormat="1" applyFont="1" applyFill="1" applyBorder="1"/>
    <xf numFmtId="167" fontId="33" fillId="0" borderId="25" xfId="8" applyNumberFormat="1" applyFont="1" applyFill="1" applyBorder="1"/>
    <xf numFmtId="171" fontId="35" fillId="14" borderId="25" xfId="9" applyNumberFormat="1" applyFont="1" applyFill="1" applyBorder="1"/>
    <xf numFmtId="167" fontId="35" fillId="14" borderId="25" xfId="5" applyNumberFormat="1" applyFont="1" applyFill="1" applyBorder="1"/>
    <xf numFmtId="167" fontId="35" fillId="0" borderId="25" xfId="4" applyNumberFormat="1" applyFont="1" applyBorder="1" applyAlignment="1">
      <alignment horizontal="left" indent="1"/>
    </xf>
    <xf numFmtId="0" fontId="35" fillId="0" borderId="25" xfId="4" applyNumberFormat="1" applyFont="1" applyBorder="1"/>
    <xf numFmtId="0" fontId="35" fillId="0" borderId="25" xfId="4" applyNumberFormat="1" applyFont="1" applyFill="1" applyBorder="1"/>
    <xf numFmtId="171" fontId="38" fillId="6" borderId="25" xfId="9" applyNumberFormat="1" applyFont="1" applyFill="1" applyBorder="1"/>
    <xf numFmtId="9" fontId="38" fillId="6" borderId="25" xfId="9" applyNumberFormat="1" applyFont="1" applyFill="1" applyBorder="1"/>
    <xf numFmtId="171" fontId="33" fillId="12" borderId="25" xfId="10" applyNumberFormat="1" applyFont="1" applyFill="1" applyBorder="1" applyAlignment="1">
      <alignment horizontal="left" vertical="center"/>
    </xf>
    <xf numFmtId="169" fontId="33" fillId="12" borderId="25" xfId="10" applyNumberFormat="1" applyFont="1" applyFill="1" applyBorder="1" applyAlignment="1">
      <alignment horizontal="center" vertical="center"/>
    </xf>
    <xf numFmtId="171" fontId="33" fillId="12" borderId="25" xfId="10" applyNumberFormat="1" applyFont="1" applyFill="1" applyBorder="1" applyAlignment="1">
      <alignment horizontal="center" vertical="center"/>
    </xf>
    <xf numFmtId="166" fontId="33" fillId="12" borderId="25" xfId="10" applyNumberFormat="1" applyFont="1" applyFill="1" applyBorder="1" applyAlignment="1">
      <alignment horizontal="center" vertical="center"/>
    </xf>
    <xf numFmtId="1" fontId="33" fillId="12" borderId="25" xfId="10" applyNumberFormat="1" applyFont="1" applyFill="1" applyBorder="1" applyAlignment="1">
      <alignment horizontal="center" vertical="center"/>
    </xf>
    <xf numFmtId="167" fontId="33" fillId="12" borderId="25" xfId="4" applyNumberFormat="1" applyFont="1" applyFill="1" applyBorder="1" applyAlignment="1">
      <alignment horizontal="center" vertical="center"/>
    </xf>
    <xf numFmtId="171" fontId="36" fillId="12" borderId="25" xfId="10" applyNumberFormat="1" applyFont="1" applyFill="1" applyBorder="1" applyAlignment="1">
      <alignment horizontal="center" vertical="center"/>
    </xf>
    <xf numFmtId="171" fontId="33" fillId="0" borderId="25" xfId="10" applyNumberFormat="1" applyFont="1" applyFill="1" applyBorder="1" applyAlignment="1">
      <alignment horizontal="center" vertical="center"/>
    </xf>
    <xf numFmtId="171" fontId="16" fillId="0" borderId="25" xfId="10" applyNumberFormat="1" applyFont="1" applyBorder="1" applyAlignment="1">
      <alignment horizontal="left" vertical="center" indent="1"/>
    </xf>
    <xf numFmtId="169" fontId="35" fillId="0" borderId="25" xfId="10" applyNumberFormat="1" applyFont="1" applyBorder="1" applyAlignment="1">
      <alignment horizontal="left" vertical="center" indent="1"/>
    </xf>
    <xf numFmtId="171" fontId="35" fillId="0" borderId="25" xfId="10" applyNumberFormat="1" applyFont="1" applyBorder="1" applyAlignment="1">
      <alignment horizontal="left" vertical="center" indent="1"/>
    </xf>
    <xf numFmtId="171" fontId="35" fillId="0" borderId="25" xfId="10" applyNumberFormat="1" applyFont="1" applyBorder="1" applyAlignment="1">
      <alignment horizontal="center" vertical="center"/>
    </xf>
    <xf numFmtId="171" fontId="35" fillId="0" borderId="25" xfId="10" applyNumberFormat="1" applyFont="1" applyFill="1" applyBorder="1" applyAlignment="1">
      <alignment horizontal="center" vertical="center"/>
    </xf>
    <xf numFmtId="171" fontId="16" fillId="0" borderId="25" xfId="10" applyNumberFormat="1" applyFont="1" applyBorder="1" applyAlignment="1">
      <alignment horizontal="center" vertical="center"/>
    </xf>
    <xf numFmtId="171" fontId="36" fillId="0" borderId="25" xfId="10" applyNumberFormat="1" applyFont="1" applyFill="1" applyBorder="1" applyAlignment="1">
      <alignment horizontal="center" vertical="center"/>
    </xf>
    <xf numFmtId="171" fontId="36" fillId="0" borderId="25" xfId="10" applyNumberFormat="1" applyFont="1" applyBorder="1" applyAlignment="1">
      <alignment horizontal="center" vertical="center"/>
    </xf>
    <xf numFmtId="170" fontId="36" fillId="0" borderId="25" xfId="10" applyFont="1" applyFill="1" applyBorder="1" applyAlignment="1">
      <alignment horizontal="center" vertical="center"/>
    </xf>
    <xf numFmtId="1" fontId="35" fillId="0" borderId="25" xfId="4" applyNumberFormat="1" applyFont="1" applyBorder="1" applyAlignment="1">
      <alignment horizontal="center" vertical="center"/>
    </xf>
    <xf numFmtId="167" fontId="16" fillId="0" borderId="25" xfId="4" applyNumberFormat="1" applyFont="1" applyFill="1" applyBorder="1" applyAlignment="1">
      <alignment horizontal="center" vertical="center"/>
    </xf>
    <xf numFmtId="171" fontId="35" fillId="14" borderId="25" xfId="10" applyNumberFormat="1" applyFont="1" applyFill="1" applyBorder="1" applyAlignment="1">
      <alignment horizontal="center" vertical="center"/>
    </xf>
    <xf numFmtId="171" fontId="16" fillId="14" borderId="25" xfId="10" applyNumberFormat="1" applyFont="1" applyFill="1" applyBorder="1" applyAlignment="1">
      <alignment horizontal="center" vertical="center"/>
    </xf>
    <xf numFmtId="171" fontId="33" fillId="10" borderId="25" xfId="10" applyNumberFormat="1" applyFont="1" applyFill="1" applyBorder="1" applyAlignment="1">
      <alignment horizontal="left" vertical="center"/>
    </xf>
    <xf numFmtId="169" fontId="33" fillId="10" borderId="25" xfId="10" applyNumberFormat="1" applyFont="1" applyFill="1" applyBorder="1" applyAlignment="1">
      <alignment horizontal="center" vertical="center"/>
    </xf>
    <xf numFmtId="171" fontId="33" fillId="10" borderId="25" xfId="10" applyNumberFormat="1" applyFont="1" applyFill="1" applyBorder="1" applyAlignment="1">
      <alignment horizontal="center" vertical="center"/>
    </xf>
    <xf numFmtId="1" fontId="39" fillId="16" borderId="25" xfId="10" applyNumberFormat="1" applyFont="1" applyFill="1" applyBorder="1" applyAlignment="1">
      <alignment horizontal="center"/>
    </xf>
    <xf numFmtId="171" fontId="36" fillId="10" borderId="25" xfId="10" applyNumberFormat="1" applyFont="1" applyFill="1" applyBorder="1" applyAlignment="1">
      <alignment horizontal="center" vertical="center"/>
    </xf>
    <xf numFmtId="171" fontId="33" fillId="0" borderId="25" xfId="10" applyNumberFormat="1" applyFont="1" applyBorder="1" applyAlignment="1">
      <alignment horizontal="center" vertical="center"/>
    </xf>
    <xf numFmtId="171" fontId="34" fillId="0" borderId="25" xfId="10" applyNumberFormat="1" applyFont="1" applyBorder="1" applyAlignment="1">
      <alignment horizontal="left" vertical="center" indent="1"/>
    </xf>
    <xf numFmtId="167" fontId="35" fillId="0" borderId="25" xfId="4" applyNumberFormat="1" applyFont="1" applyBorder="1" applyAlignment="1">
      <alignment horizontal="right" vertical="center"/>
    </xf>
    <xf numFmtId="0" fontId="35" fillId="0" borderId="25" xfId="5" applyFont="1" applyBorder="1" applyAlignment="1">
      <alignment horizontal="left" indent="1"/>
    </xf>
    <xf numFmtId="0" fontId="35" fillId="0" borderId="25" xfId="0" applyFont="1" applyBorder="1" applyAlignment="1">
      <alignment horizontal="left" indent="1"/>
    </xf>
    <xf numFmtId="167" fontId="35" fillId="0" borderId="25" xfId="6" applyNumberFormat="1" applyFont="1" applyBorder="1"/>
    <xf numFmtId="9" fontId="35" fillId="0" borderId="25" xfId="7" applyFont="1" applyBorder="1"/>
    <xf numFmtId="1" fontId="35" fillId="0" borderId="25" xfId="4" applyNumberFormat="1" applyFont="1" applyBorder="1"/>
    <xf numFmtId="169" fontId="35" fillId="0" borderId="25" xfId="5" applyNumberFormat="1" applyFont="1" applyBorder="1" applyAlignment="1">
      <alignment horizontal="left" indent="1"/>
    </xf>
    <xf numFmtId="0" fontId="42" fillId="0" borderId="32" xfId="0" applyFont="1" applyBorder="1" applyAlignment="1">
      <alignment horizontal="center" vertical="center" wrapText="1"/>
    </xf>
    <xf numFmtId="0" fontId="41" fillId="17" borderId="33" xfId="0" applyFont="1" applyFill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  <xf numFmtId="0" fontId="41" fillId="14" borderId="33" xfId="0" applyFont="1" applyFill="1" applyBorder="1" applyAlignment="1">
      <alignment horizontal="center" vertical="center" wrapText="1"/>
    </xf>
    <xf numFmtId="1" fontId="43" fillId="0" borderId="0" xfId="0" applyNumberFormat="1" applyFont="1" applyAlignment="1">
      <alignment horizontal="center" vertical="center" wrapText="1"/>
    </xf>
    <xf numFmtId="9" fontId="43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18" borderId="34" xfId="0" applyFont="1" applyFill="1" applyBorder="1" applyAlignment="1">
      <alignment horizontal="center" wrapText="1"/>
    </xf>
    <xf numFmtId="9" fontId="43" fillId="0" borderId="34" xfId="0" applyNumberFormat="1" applyFont="1" applyBorder="1" applyAlignment="1">
      <alignment horizontal="center" vertical="center" wrapText="1"/>
    </xf>
    <xf numFmtId="0" fontId="43" fillId="19" borderId="34" xfId="0" applyFont="1" applyFill="1" applyBorder="1" applyAlignment="1">
      <alignment horizontal="center" wrapText="1"/>
    </xf>
    <xf numFmtId="0" fontId="43" fillId="20" borderId="34" xfId="0" applyFont="1" applyFill="1" applyBorder="1" applyAlignment="1">
      <alignment horizontal="center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18" fillId="0" borderId="0" xfId="0" applyFont="1"/>
    <xf numFmtId="0" fontId="41" fillId="16" borderId="33" xfId="0" applyFont="1" applyFill="1" applyBorder="1" applyAlignment="1">
      <alignment horizontal="center" vertical="center" wrapText="1"/>
    </xf>
    <xf numFmtId="0" fontId="43" fillId="0" borderId="34" xfId="0" applyFont="1" applyBorder="1" applyAlignment="1">
      <alignment vertical="top" wrapText="1"/>
    </xf>
    <xf numFmtId="9" fontId="42" fillId="0" borderId="0" xfId="0" applyNumberFormat="1" applyFont="1" applyAlignment="1">
      <alignment horizontal="center" vertical="center"/>
    </xf>
    <xf numFmtId="4" fontId="19" fillId="0" borderId="3" xfId="4" applyNumberFormat="1" applyFont="1" applyBorder="1"/>
    <xf numFmtId="4" fontId="19" fillId="0" borderId="4" xfId="4" applyNumberFormat="1" applyFont="1" applyBorder="1"/>
    <xf numFmtId="10" fontId="21" fillId="0" borderId="0" xfId="2" applyNumberFormat="1" applyFont="1" applyBorder="1" applyAlignment="1">
      <alignment horizontal="center" vertical="center"/>
    </xf>
    <xf numFmtId="10" fontId="21" fillId="0" borderId="21" xfId="2" applyNumberFormat="1" applyFont="1" applyBorder="1" applyAlignment="1">
      <alignment horizontal="center" vertical="center"/>
    </xf>
    <xf numFmtId="10" fontId="19" fillId="0" borderId="21" xfId="0" applyNumberFormat="1" applyFont="1" applyBorder="1" applyAlignment="1">
      <alignment horizontal="center" vertical="center"/>
    </xf>
    <xf numFmtId="49" fontId="19" fillId="13" borderId="24" xfId="0" applyNumberFormat="1" applyFont="1" applyFill="1" applyBorder="1"/>
    <xf numFmtId="166" fontId="19" fillId="0" borderId="14" xfId="4" applyNumberFormat="1" applyFont="1" applyFill="1" applyBorder="1"/>
    <xf numFmtId="3" fontId="19" fillId="0" borderId="14" xfId="4" applyNumberFormat="1" applyFont="1" applyFill="1" applyBorder="1"/>
    <xf numFmtId="3" fontId="19" fillId="0" borderId="14" xfId="4" applyNumberFormat="1" applyFont="1" applyBorder="1"/>
    <xf numFmtId="167" fontId="19" fillId="0" borderId="35" xfId="4" applyNumberFormat="1" applyFont="1" applyBorder="1"/>
    <xf numFmtId="4" fontId="19" fillId="0" borderId="14" xfId="4" applyNumberFormat="1" applyFont="1" applyBorder="1"/>
    <xf numFmtId="3" fontId="19" fillId="0" borderId="35" xfId="4" applyNumberFormat="1" applyFont="1" applyFill="1" applyBorder="1"/>
    <xf numFmtId="3" fontId="19" fillId="13" borderId="14" xfId="4" applyNumberFormat="1" applyFont="1" applyFill="1" applyBorder="1"/>
    <xf numFmtId="165" fontId="21" fillId="9" borderId="23" xfId="1" applyNumberFormat="1" applyFont="1" applyFill="1" applyBorder="1" applyAlignment="1">
      <alignment vertical="center"/>
    </xf>
    <xf numFmtId="166" fontId="23" fillId="0" borderId="3" xfId="4" applyNumberFormat="1" applyFont="1" applyFill="1" applyBorder="1"/>
    <xf numFmtId="14" fontId="19" fillId="13" borderId="36" xfId="3" applyNumberFormat="1" applyFont="1" applyFill="1" applyBorder="1" applyAlignment="1">
      <alignment horizontal="center"/>
    </xf>
    <xf numFmtId="49" fontId="19" fillId="13" borderId="37" xfId="0" applyNumberFormat="1" applyFont="1" applyFill="1" applyBorder="1"/>
    <xf numFmtId="49" fontId="19" fillId="13" borderId="5" xfId="0" applyNumberFormat="1" applyFont="1" applyFill="1" applyBorder="1"/>
    <xf numFmtId="49" fontId="19" fillId="13" borderId="3" xfId="3" applyNumberFormat="1" applyFont="1" applyFill="1" applyBorder="1" applyAlignment="1">
      <alignment horizontal="left"/>
    </xf>
    <xf numFmtId="49" fontId="21" fillId="0" borderId="0" xfId="0" applyNumberFormat="1" applyFont="1" applyAlignment="1">
      <alignment horizontal="right"/>
    </xf>
    <xf numFmtId="168" fontId="19" fillId="0" borderId="21" xfId="0" applyNumberFormat="1" applyFont="1" applyBorder="1" applyAlignment="1">
      <alignment horizontal="right" vertical="center"/>
    </xf>
    <xf numFmtId="168" fontId="21" fillId="0" borderId="0" xfId="0" applyNumberFormat="1" applyFont="1" applyAlignment="1">
      <alignment wrapText="1"/>
    </xf>
    <xf numFmtId="44" fontId="21" fillId="0" borderId="0" xfId="0" applyNumberFormat="1" applyFont="1" applyAlignment="1">
      <alignment wrapText="1"/>
    </xf>
    <xf numFmtId="9" fontId="19" fillId="0" borderId="0" xfId="2" applyFont="1" applyBorder="1" applyAlignment="1">
      <alignment horizontal="center" vertical="center"/>
    </xf>
    <xf numFmtId="10" fontId="19" fillId="0" borderId="0" xfId="2" applyNumberFormat="1" applyFont="1" applyBorder="1" applyAlignment="1">
      <alignment horizontal="center" vertical="center"/>
    </xf>
    <xf numFmtId="4" fontId="19" fillId="0" borderId="3" xfId="4" applyNumberFormat="1" applyFont="1" applyFill="1" applyBorder="1"/>
    <xf numFmtId="4" fontId="19" fillId="2" borderId="3" xfId="4" applyNumberFormat="1" applyFont="1" applyFill="1" applyBorder="1"/>
    <xf numFmtId="4" fontId="21" fillId="0" borderId="14" xfId="0" applyNumberFormat="1" applyFont="1" applyBorder="1"/>
    <xf numFmtId="43" fontId="33" fillId="11" borderId="25" xfId="10" applyNumberFormat="1" applyFont="1" applyFill="1" applyBorder="1" applyAlignment="1">
      <alignment horizontal="center" vertical="center"/>
    </xf>
    <xf numFmtId="43" fontId="33" fillId="12" borderId="25" xfId="10" applyNumberFormat="1" applyFont="1" applyFill="1" applyBorder="1" applyAlignment="1">
      <alignment horizontal="center" vertical="center"/>
    </xf>
    <xf numFmtId="43" fontId="35" fillId="0" borderId="25" xfId="10" applyNumberFormat="1" applyFont="1" applyBorder="1" applyAlignment="1">
      <alignment horizontal="center" vertical="center"/>
    </xf>
    <xf numFmtId="43" fontId="33" fillId="10" borderId="25" xfId="10" applyNumberFormat="1" applyFont="1" applyFill="1" applyBorder="1" applyAlignment="1">
      <alignment horizontal="center" vertical="center"/>
    </xf>
    <xf numFmtId="168" fontId="34" fillId="0" borderId="25" xfId="4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49" fontId="35" fillId="0" borderId="25" xfId="4" applyNumberFormat="1" applyFont="1" applyFill="1" applyBorder="1" applyAlignment="1">
      <alignment horizontal="center" vertical="center"/>
    </xf>
    <xf numFmtId="168" fontId="34" fillId="0" borderId="25" xfId="4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49" fontId="35" fillId="0" borderId="25" xfId="4" applyNumberFormat="1" applyFont="1" applyFill="1" applyBorder="1" applyAlignment="1">
      <alignment horizontal="center" vertical="center"/>
    </xf>
    <xf numFmtId="2" fontId="16" fillId="0" borderId="25" xfId="5" applyNumberFormat="1" applyFont="1" applyBorder="1" applyAlignment="1">
      <alignment vertical="center"/>
    </xf>
    <xf numFmtId="0" fontId="34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vertical="center" wrapText="1"/>
    </xf>
    <xf numFmtId="0" fontId="34" fillId="0" borderId="25" xfId="5" applyFont="1" applyBorder="1" applyAlignment="1">
      <alignment vertical="center" wrapText="1"/>
    </xf>
    <xf numFmtId="0" fontId="34" fillId="0" borderId="25" xfId="5" applyFont="1" applyBorder="1" applyAlignment="1">
      <alignment horizontal="center" vertical="center" wrapText="1"/>
    </xf>
    <xf numFmtId="0" fontId="36" fillId="0" borderId="25" xfId="5" applyFont="1" applyBorder="1" applyAlignment="1">
      <alignment vertical="center"/>
    </xf>
    <xf numFmtId="2" fontId="33" fillId="3" borderId="25" xfId="5" applyNumberFormat="1" applyFont="1" applyFill="1" applyBorder="1" applyAlignment="1">
      <alignment horizontal="center" vertical="center" wrapText="1"/>
    </xf>
    <xf numFmtId="0" fontId="33" fillId="22" borderId="25" xfId="5" applyFont="1" applyFill="1" applyBorder="1" applyAlignment="1">
      <alignment horizontal="center" vertical="center" wrapText="1"/>
    </xf>
    <xf numFmtId="0" fontId="33" fillId="16" borderId="25" xfId="5" applyFont="1" applyFill="1" applyBorder="1" applyAlignment="1">
      <alignment horizontal="center" vertical="center" wrapText="1"/>
    </xf>
    <xf numFmtId="9" fontId="33" fillId="16" borderId="25" xfId="7" applyFont="1" applyFill="1" applyBorder="1" applyAlignment="1">
      <alignment horizontal="center" vertical="center" wrapText="1"/>
    </xf>
    <xf numFmtId="2" fontId="35" fillId="0" borderId="25" xfId="4" applyNumberFormat="1" applyFont="1" applyBorder="1"/>
    <xf numFmtId="43" fontId="35" fillId="0" borderId="25" xfId="4" applyFont="1" applyBorder="1"/>
    <xf numFmtId="9" fontId="35" fillId="0" borderId="25" xfId="13" applyFont="1" applyBorder="1"/>
    <xf numFmtId="2" fontId="16" fillId="0" borderId="25" xfId="4" applyNumberFormat="1" applyFont="1" applyBorder="1"/>
    <xf numFmtId="43" fontId="16" fillId="0" borderId="25" xfId="4" applyFont="1" applyBorder="1"/>
    <xf numFmtId="9" fontId="16" fillId="0" borderId="25" xfId="13" applyFont="1" applyBorder="1"/>
    <xf numFmtId="2" fontId="33" fillId="11" borderId="25" xfId="10" applyNumberFormat="1" applyFont="1" applyFill="1" applyBorder="1" applyAlignment="1">
      <alignment horizontal="center" vertical="center"/>
    </xf>
    <xf numFmtId="9" fontId="33" fillId="11" borderId="25" xfId="13" applyFont="1" applyFill="1" applyBorder="1" applyAlignment="1">
      <alignment horizontal="center" vertical="center"/>
    </xf>
    <xf numFmtId="0" fontId="33" fillId="11" borderId="25" xfId="10" applyNumberFormat="1" applyFont="1" applyFill="1" applyBorder="1" applyAlignment="1">
      <alignment horizontal="center" vertical="center"/>
    </xf>
    <xf numFmtId="2" fontId="35" fillId="0" borderId="25" xfId="4" applyNumberFormat="1" applyFont="1" applyFill="1" applyBorder="1"/>
    <xf numFmtId="43" fontId="35" fillId="0" borderId="25" xfId="4" applyFont="1" applyFill="1" applyBorder="1"/>
    <xf numFmtId="9" fontId="35" fillId="0" borderId="25" xfId="13" applyFont="1" applyFill="1" applyBorder="1"/>
    <xf numFmtId="9" fontId="35" fillId="14" borderId="25" xfId="13" applyFont="1" applyFill="1" applyBorder="1"/>
    <xf numFmtId="171" fontId="38" fillId="21" borderId="25" xfId="9" applyNumberFormat="1" applyFont="1" applyFill="1" applyBorder="1"/>
    <xf numFmtId="9" fontId="38" fillId="21" borderId="25" xfId="9" applyNumberFormat="1" applyFont="1" applyFill="1" applyBorder="1"/>
    <xf numFmtId="171" fontId="33" fillId="23" borderId="25" xfId="10" applyNumberFormat="1" applyFont="1" applyFill="1" applyBorder="1" applyAlignment="1">
      <alignment horizontal="left" vertical="center"/>
    </xf>
    <xf numFmtId="169" fontId="33" fillId="23" borderId="25" xfId="10" applyNumberFormat="1" applyFont="1" applyFill="1" applyBorder="1" applyAlignment="1">
      <alignment horizontal="center" vertical="center"/>
    </xf>
    <xf numFmtId="171" fontId="33" fillId="23" borderId="25" xfId="10" applyNumberFormat="1" applyFont="1" applyFill="1" applyBorder="1" applyAlignment="1">
      <alignment horizontal="center" vertical="center"/>
    </xf>
    <xf numFmtId="2" fontId="33" fillId="23" borderId="25" xfId="10" applyNumberFormat="1" applyFont="1" applyFill="1" applyBorder="1" applyAlignment="1">
      <alignment horizontal="center" vertical="center"/>
    </xf>
    <xf numFmtId="43" fontId="33" fillId="23" borderId="25" xfId="10" applyNumberFormat="1" applyFont="1" applyFill="1" applyBorder="1" applyAlignment="1">
      <alignment horizontal="center" vertical="center"/>
    </xf>
    <xf numFmtId="9" fontId="33" fillId="23" borderId="25" xfId="13" applyFont="1" applyFill="1" applyBorder="1" applyAlignment="1">
      <alignment horizontal="center" vertical="center"/>
    </xf>
    <xf numFmtId="166" fontId="33" fillId="23" borderId="25" xfId="10" applyNumberFormat="1" applyFont="1" applyFill="1" applyBorder="1" applyAlignment="1">
      <alignment horizontal="center" vertical="center"/>
    </xf>
    <xf numFmtId="167" fontId="33" fillId="23" borderId="25" xfId="4" applyNumberFormat="1" applyFont="1" applyFill="1" applyBorder="1" applyAlignment="1">
      <alignment horizontal="center" vertical="center"/>
    </xf>
    <xf numFmtId="0" fontId="33" fillId="23" borderId="25" xfId="10" applyNumberFormat="1" applyFont="1" applyFill="1" applyBorder="1" applyAlignment="1">
      <alignment horizontal="center" vertical="center"/>
    </xf>
    <xf numFmtId="171" fontId="36" fillId="23" borderId="25" xfId="10" applyNumberFormat="1" applyFont="1" applyFill="1" applyBorder="1" applyAlignment="1">
      <alignment horizontal="center" vertical="center"/>
    </xf>
    <xf numFmtId="171" fontId="33" fillId="0" borderId="25" xfId="10" applyNumberFormat="1" applyFont="1" applyFill="1" applyBorder="1" applyAlignment="1">
      <alignment horizontal="left" vertical="center"/>
    </xf>
    <xf numFmtId="169" fontId="33" fillId="0" borderId="25" xfId="10" applyNumberFormat="1" applyFont="1" applyFill="1" applyBorder="1" applyAlignment="1">
      <alignment horizontal="center" vertical="center"/>
    </xf>
    <xf numFmtId="2" fontId="33" fillId="0" borderId="25" xfId="10" applyNumberFormat="1" applyFont="1" applyFill="1" applyBorder="1" applyAlignment="1">
      <alignment horizontal="center" vertical="center"/>
    </xf>
    <xf numFmtId="43" fontId="33" fillId="0" borderId="25" xfId="10" applyNumberFormat="1" applyFont="1" applyFill="1" applyBorder="1" applyAlignment="1">
      <alignment horizontal="center" vertical="center"/>
    </xf>
    <xf numFmtId="9" fontId="33" fillId="0" borderId="25" xfId="13" applyFont="1" applyFill="1" applyBorder="1" applyAlignment="1">
      <alignment horizontal="center" vertical="center"/>
    </xf>
    <xf numFmtId="166" fontId="33" fillId="0" borderId="25" xfId="10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2" fontId="33" fillId="12" borderId="25" xfId="10" applyNumberFormat="1" applyFont="1" applyFill="1" applyBorder="1" applyAlignment="1">
      <alignment horizontal="center" vertical="center"/>
    </xf>
    <xf numFmtId="9" fontId="33" fillId="12" borderId="25" xfId="13" applyFont="1" applyFill="1" applyBorder="1" applyAlignment="1">
      <alignment horizontal="center" vertical="center"/>
    </xf>
    <xf numFmtId="2" fontId="35" fillId="0" borderId="25" xfId="10" applyNumberFormat="1" applyFont="1" applyBorder="1" applyAlignment="1">
      <alignment horizontal="center" vertical="center"/>
    </xf>
    <xf numFmtId="2" fontId="33" fillId="10" borderId="25" xfId="10" applyNumberFormat="1" applyFont="1" applyFill="1" applyBorder="1" applyAlignment="1">
      <alignment horizontal="center" vertical="center"/>
    </xf>
    <xf numFmtId="9" fontId="33" fillId="10" borderId="25" xfId="13" applyFont="1" applyFill="1" applyBorder="1" applyAlignment="1">
      <alignment horizontal="center" vertical="center"/>
    </xf>
    <xf numFmtId="2" fontId="35" fillId="0" borderId="25" xfId="5" applyNumberFormat="1" applyFont="1" applyBorder="1"/>
    <xf numFmtId="0" fontId="35" fillId="0" borderId="25" xfId="5" applyFont="1" applyFill="1" applyBorder="1"/>
    <xf numFmtId="0" fontId="0" fillId="0" borderId="39" xfId="0" applyBorder="1"/>
    <xf numFmtId="167" fontId="35" fillId="2" borderId="25" xfId="4" applyNumberFormat="1" applyFont="1" applyFill="1" applyBorder="1"/>
    <xf numFmtId="4" fontId="19" fillId="0" borderId="35" xfId="4" applyNumberFormat="1" applyFont="1" applyBorder="1"/>
    <xf numFmtId="4" fontId="21" fillId="0" borderId="0" xfId="0" applyNumberFormat="1" applyFont="1"/>
    <xf numFmtId="4" fontId="21" fillId="0" borderId="0" xfId="2" applyNumberFormat="1" applyFont="1" applyBorder="1" applyAlignment="1">
      <alignment horizontal="center" vertical="center"/>
    </xf>
    <xf numFmtId="4" fontId="21" fillId="0" borderId="21" xfId="2" applyNumberFormat="1" applyFont="1" applyBorder="1" applyAlignment="1">
      <alignment horizontal="center" vertical="center"/>
    </xf>
    <xf numFmtId="4" fontId="21" fillId="0" borderId="0" xfId="0" applyNumberFormat="1" applyFont="1" applyAlignment="1">
      <alignment wrapText="1"/>
    </xf>
    <xf numFmtId="4" fontId="19" fillId="0" borderId="0" xfId="2" applyNumberFormat="1" applyFont="1" applyBorder="1" applyAlignment="1">
      <alignment horizontal="center" vertical="center"/>
    </xf>
    <xf numFmtId="49" fontId="19" fillId="13" borderId="14" xfId="0" applyNumberFormat="1" applyFont="1" applyFill="1" applyBorder="1"/>
    <xf numFmtId="49" fontId="19" fillId="13" borderId="14" xfId="3" applyNumberFormat="1" applyFont="1" applyFill="1" applyBorder="1" applyAlignment="1">
      <alignment horizontal="center"/>
    </xf>
    <xf numFmtId="3" fontId="21" fillId="9" borderId="14" xfId="4" applyNumberFormat="1" applyFont="1" applyFill="1" applyBorder="1"/>
    <xf numFmtId="1" fontId="44" fillId="3" borderId="25" xfId="5" applyNumberFormat="1" applyFont="1" applyFill="1" applyBorder="1" applyAlignment="1">
      <alignment horizontal="center" vertical="center" wrapText="1"/>
    </xf>
    <xf numFmtId="49" fontId="34" fillId="0" borderId="25" xfId="4" applyNumberFormat="1" applyFont="1" applyFill="1" applyBorder="1" applyAlignment="1">
      <alignment horizontal="left" vertical="center"/>
    </xf>
    <xf numFmtId="166" fontId="23" fillId="0" borderId="14" xfId="4" applyNumberFormat="1" applyFont="1" applyFill="1" applyBorder="1"/>
    <xf numFmtId="14" fontId="19" fillId="13" borderId="19" xfId="3" applyNumberFormat="1" applyFont="1" applyFill="1" applyBorder="1" applyAlignment="1">
      <alignment horizontal="center"/>
    </xf>
    <xf numFmtId="4" fontId="19" fillId="0" borderId="4" xfId="4" applyNumberFormat="1" applyFont="1" applyFill="1" applyBorder="1"/>
    <xf numFmtId="4" fontId="19" fillId="0" borderId="35" xfId="4" applyNumberFormat="1" applyFont="1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6" fontId="13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0" fontId="33" fillId="11" borderId="25" xfId="10" applyNumberFormat="1" applyFont="1" applyFill="1" applyBorder="1" applyAlignment="1">
      <alignment horizontal="center" vertical="center"/>
    </xf>
    <xf numFmtId="49" fontId="35" fillId="0" borderId="25" xfId="4" applyNumberFormat="1" applyFont="1" applyFill="1" applyBorder="1" applyAlignment="1">
      <alignment horizontal="center" vertical="center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2" fontId="33" fillId="0" borderId="25" xfId="5" applyNumberFormat="1" applyFont="1" applyBorder="1" applyAlignment="1">
      <alignment vertical="center" wrapText="1"/>
    </xf>
    <xf numFmtId="2" fontId="33" fillId="3" borderId="25" xfId="6" applyNumberFormat="1" applyFont="1" applyFill="1" applyBorder="1" applyAlignment="1">
      <alignment horizontal="center" vertical="center" wrapText="1"/>
    </xf>
    <xf numFmtId="2" fontId="36" fillId="0" borderId="25" xfId="10" applyNumberFormat="1" applyFont="1" applyBorder="1" applyAlignment="1">
      <alignment horizontal="center" vertical="center"/>
    </xf>
    <xf numFmtId="2" fontId="35" fillId="0" borderId="25" xfId="6" applyNumberFormat="1" applyFont="1" applyBorder="1"/>
    <xf numFmtId="0" fontId="13" fillId="0" borderId="1" xfId="0" applyFont="1" applyBorder="1" applyAlignment="1">
      <alignment horizontal="center" vertical="center" wrapText="1"/>
    </xf>
    <xf numFmtId="168" fontId="34" fillId="0" borderId="25" xfId="10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center" vertical="center"/>
    </xf>
    <xf numFmtId="168" fontId="34" fillId="0" borderId="25" xfId="4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9" fillId="13" borderId="0" xfId="0" applyNumberFormat="1" applyFont="1" applyFill="1" applyBorder="1"/>
    <xf numFmtId="0" fontId="13" fillId="0" borderId="1" xfId="0" applyFont="1" applyFill="1" applyBorder="1" applyAlignment="1">
      <alignment horizontal="center" vertical="center" wrapText="1"/>
    </xf>
    <xf numFmtId="16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66" fontId="19" fillId="0" borderId="13" xfId="4" applyNumberFormat="1" applyFont="1" applyFill="1" applyBorder="1"/>
    <xf numFmtId="3" fontId="19" fillId="0" borderId="13" xfId="4" applyNumberFormat="1" applyFont="1" applyFill="1" applyBorder="1"/>
    <xf numFmtId="3" fontId="19" fillId="0" borderId="13" xfId="4" applyNumberFormat="1" applyFont="1" applyBorder="1"/>
    <xf numFmtId="167" fontId="19" fillId="0" borderId="40" xfId="4" applyNumberFormat="1" applyFont="1" applyBorder="1"/>
    <xf numFmtId="4" fontId="19" fillId="0" borderId="13" xfId="4" applyNumberFormat="1" applyFont="1" applyBorder="1"/>
    <xf numFmtId="4" fontId="19" fillId="0" borderId="40" xfId="4" applyNumberFormat="1" applyFont="1" applyFill="1" applyBorder="1"/>
    <xf numFmtId="4" fontId="19" fillId="0" borderId="40" xfId="4" applyNumberFormat="1" applyFont="1" applyBorder="1"/>
    <xf numFmtId="3" fontId="19" fillId="0" borderId="40" xfId="4" applyNumberFormat="1" applyFont="1" applyFill="1" applyBorder="1"/>
    <xf numFmtId="167" fontId="35" fillId="21" borderId="25" xfId="8" applyNumberFormat="1" applyFont="1" applyFill="1" applyBorder="1"/>
    <xf numFmtId="0" fontId="33" fillId="21" borderId="25" xfId="5" applyFont="1" applyFill="1" applyBorder="1" applyAlignment="1">
      <alignment horizontal="center" vertical="center" wrapText="1"/>
    </xf>
    <xf numFmtId="4" fontId="19" fillId="21" borderId="3" xfId="4" applyNumberFormat="1" applyFont="1" applyFill="1" applyBorder="1"/>
    <xf numFmtId="4" fontId="19" fillId="21" borderId="14" xfId="4" applyNumberFormat="1" applyFont="1" applyFill="1" applyBorder="1"/>
    <xf numFmtId="43" fontId="19" fillId="0" borderId="4" xfId="4" applyNumberFormat="1" applyFont="1" applyBorder="1"/>
    <xf numFmtId="43" fontId="19" fillId="0" borderId="35" xfId="4" applyNumberFormat="1" applyFont="1" applyBorder="1"/>
    <xf numFmtId="43" fontId="19" fillId="0" borderId="40" xfId="4" applyNumberFormat="1" applyFont="1" applyBorder="1"/>
    <xf numFmtId="43" fontId="21" fillId="0" borderId="14" xfId="0" applyNumberFormat="1" applyFont="1" applyBorder="1"/>
    <xf numFmtId="0" fontId="21" fillId="0" borderId="0" xfId="0" applyFont="1" applyBorder="1" applyAlignment="1">
      <alignment horizontal="left" vertical="center"/>
    </xf>
    <xf numFmtId="49" fontId="19" fillId="0" borderId="0" xfId="0" applyNumberFormat="1" applyFont="1" applyAlignment="1">
      <alignment horizontal="right"/>
    </xf>
    <xf numFmtId="4" fontId="19" fillId="13" borderId="3" xfId="4" applyNumberFormat="1" applyFont="1" applyFill="1" applyBorder="1"/>
    <xf numFmtId="4" fontId="19" fillId="13" borderId="14" xfId="4" applyNumberFormat="1" applyFont="1" applyFill="1" applyBorder="1"/>
    <xf numFmtId="4" fontId="19" fillId="13" borderId="13" xfId="4" applyNumberFormat="1" applyFont="1" applyFill="1" applyBorder="1"/>
    <xf numFmtId="168" fontId="34" fillId="0" borderId="25" xfId="10" applyNumberFormat="1" applyFont="1" applyFill="1" applyBorder="1" applyAlignment="1">
      <alignment vertical="center"/>
    </xf>
    <xf numFmtId="4" fontId="35" fillId="0" borderId="25" xfId="5" applyNumberFormat="1" applyFont="1" applyBorder="1"/>
    <xf numFmtId="0" fontId="11" fillId="0" borderId="1" xfId="0" applyFont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 vertical="center" wrapText="1"/>
    </xf>
    <xf numFmtId="10" fontId="19" fillId="0" borderId="0" xfId="2" applyNumberFormat="1" applyFont="1" applyBorder="1"/>
    <xf numFmtId="10" fontId="19" fillId="0" borderId="0" xfId="2" applyNumberFormat="1" applyFont="1"/>
    <xf numFmtId="10" fontId="19" fillId="0" borderId="0" xfId="2" applyNumberFormat="1" applyFont="1" applyAlignment="1">
      <alignment horizontal="right"/>
    </xf>
    <xf numFmtId="10" fontId="19" fillId="0" borderId="0" xfId="2" applyNumberFormat="1" applyFont="1" applyAlignment="1">
      <alignment horizontal="center"/>
    </xf>
    <xf numFmtId="10" fontId="26" fillId="0" borderId="0" xfId="2" applyNumberFormat="1" applyFont="1" applyAlignment="1">
      <alignment wrapText="1"/>
    </xf>
    <xf numFmtId="10" fontId="27" fillId="0" borderId="0" xfId="2" applyNumberFormat="1" applyFont="1" applyAlignment="1">
      <alignment vertical="center"/>
    </xf>
    <xf numFmtId="10" fontId="21" fillId="0" borderId="0" xfId="2" applyNumberFormat="1" applyFont="1" applyAlignment="1">
      <alignment horizontal="left" vertical="center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9" fillId="13" borderId="22" xfId="3" applyNumberFormat="1" applyFont="1" applyFill="1" applyBorder="1" applyAlignment="1">
      <alignment horizontal="center"/>
    </xf>
    <xf numFmtId="49" fontId="19" fillId="13" borderId="1" xfId="0" applyNumberFormat="1" applyFont="1" applyFill="1" applyBorder="1"/>
    <xf numFmtId="49" fontId="19" fillId="13" borderId="1" xfId="3" applyNumberFormat="1" applyFont="1" applyFill="1" applyBorder="1" applyAlignment="1">
      <alignment horizontal="center"/>
    </xf>
    <xf numFmtId="3" fontId="21" fillId="9" borderId="1" xfId="4" applyNumberFormat="1" applyFont="1" applyFill="1" applyBorder="1"/>
    <xf numFmtId="165" fontId="21" fillId="9" borderId="41" xfId="1" applyNumberFormat="1" applyFont="1" applyFill="1" applyBorder="1" applyAlignment="1">
      <alignment horizontal="center" vertical="center"/>
    </xf>
    <xf numFmtId="165" fontId="21" fillId="9" borderId="11" xfId="1" applyNumberFormat="1" applyFont="1" applyFill="1" applyBorder="1" applyAlignment="1">
      <alignment horizontal="center" vertical="center"/>
    </xf>
    <xf numFmtId="165" fontId="21" fillId="9" borderId="42" xfId="1" applyNumberFormat="1" applyFont="1" applyFill="1" applyBorder="1" applyAlignment="1">
      <alignment horizontal="center" vertical="center"/>
    </xf>
    <xf numFmtId="49" fontId="19" fillId="13" borderId="43" xfId="0" applyNumberFormat="1" applyFont="1" applyFill="1" applyBorder="1"/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" fontId="19" fillId="21" borderId="13" xfId="4" applyNumberFormat="1" applyFont="1" applyFill="1" applyBorder="1"/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9" fillId="13" borderId="44" xfId="3" applyNumberFormat="1" applyFont="1" applyFill="1" applyBorder="1" applyAlignment="1">
      <alignment horizontal="center"/>
    </xf>
    <xf numFmtId="3" fontId="19" fillId="0" borderId="40" xfId="4" applyNumberFormat="1" applyFont="1" applyBorder="1"/>
    <xf numFmtId="4" fontId="19" fillId="0" borderId="13" xfId="4" applyNumberFormat="1" applyFont="1" applyFill="1" applyBorder="1"/>
    <xf numFmtId="49" fontId="19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168" fontId="19" fillId="0" borderId="0" xfId="0" applyNumberFormat="1" applyFont="1" applyBorder="1" applyAlignment="1">
      <alignment horizontal="right" vertical="center"/>
    </xf>
    <xf numFmtId="0" fontId="25" fillId="0" borderId="0" xfId="3" applyFont="1" applyBorder="1" applyAlignment="1">
      <alignment vertical="center"/>
    </xf>
    <xf numFmtId="10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19" fillId="13" borderId="12" xfId="0" applyNumberFormat="1" applyFont="1" applyFill="1" applyBorder="1"/>
    <xf numFmtId="170" fontId="35" fillId="0" borderId="25" xfId="5" applyNumberFormat="1" applyFont="1" applyBorder="1"/>
    <xf numFmtId="14" fontId="9" fillId="0" borderId="1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16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4" fontId="19" fillId="2" borderId="13" xfId="4" applyNumberFormat="1" applyFont="1" applyFill="1" applyBorder="1"/>
    <xf numFmtId="4" fontId="21" fillId="9" borderId="3" xfId="4" applyNumberFormat="1" applyFont="1" applyFill="1" applyBorder="1"/>
    <xf numFmtId="4" fontId="21" fillId="9" borderId="13" xfId="4" applyNumberFormat="1" applyFont="1" applyFill="1" applyBorder="1"/>
    <xf numFmtId="10" fontId="35" fillId="0" borderId="25" xfId="0" applyNumberFormat="1" applyFont="1" applyBorder="1"/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9" fontId="35" fillId="16" borderId="25" xfId="2" applyFont="1" applyFill="1" applyBorder="1"/>
    <xf numFmtId="1" fontId="33" fillId="16" borderId="25" xfId="5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1" fontId="33" fillId="22" borderId="25" xfId="5" applyNumberFormat="1" applyFont="1" applyFill="1" applyBorder="1" applyAlignment="1">
      <alignment horizontal="center" vertical="center" wrapText="1"/>
    </xf>
    <xf numFmtId="1" fontId="33" fillId="11" borderId="25" xfId="10" applyNumberFormat="1" applyFont="1" applyFill="1" applyBorder="1" applyAlignment="1">
      <alignment horizontal="center" vertical="center"/>
    </xf>
    <xf numFmtId="1" fontId="35" fillId="0" borderId="25" xfId="5" applyNumberFormat="1" applyFont="1" applyBorder="1"/>
    <xf numFmtId="1" fontId="33" fillId="23" borderId="25" xfId="10" applyNumberFormat="1" applyFont="1" applyFill="1" applyBorder="1" applyAlignment="1">
      <alignment horizontal="center" vertical="center"/>
    </xf>
    <xf numFmtId="1" fontId="33" fillId="0" borderId="25" xfId="10" applyNumberFormat="1" applyFont="1" applyFill="1" applyBorder="1" applyAlignment="1">
      <alignment horizontal="center" vertical="center"/>
    </xf>
    <xf numFmtId="1" fontId="35" fillId="0" borderId="25" xfId="10" applyNumberFormat="1" applyFont="1" applyBorder="1" applyAlignment="1">
      <alignment horizontal="center" vertical="center"/>
    </xf>
    <xf numFmtId="1" fontId="33" fillId="10" borderId="25" xfId="1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71" fontId="33" fillId="16" borderId="25" xfId="10" applyNumberFormat="1" applyFont="1" applyFill="1" applyBorder="1" applyAlignment="1">
      <alignment horizontal="left" vertical="center"/>
    </xf>
    <xf numFmtId="169" fontId="33" fillId="16" borderId="25" xfId="10" applyNumberFormat="1" applyFont="1" applyFill="1" applyBorder="1" applyAlignment="1">
      <alignment horizontal="center" vertical="center"/>
    </xf>
    <xf numFmtId="171" fontId="33" fillId="16" borderId="25" xfId="10" applyNumberFormat="1" applyFont="1" applyFill="1" applyBorder="1" applyAlignment="1">
      <alignment horizontal="center" vertical="center"/>
    </xf>
    <xf numFmtId="2" fontId="33" fillId="16" borderId="25" xfId="10" applyNumberFormat="1" applyFont="1" applyFill="1" applyBorder="1" applyAlignment="1">
      <alignment horizontal="center" vertical="center"/>
    </xf>
    <xf numFmtId="43" fontId="33" fillId="16" borderId="25" xfId="10" applyNumberFormat="1" applyFont="1" applyFill="1" applyBorder="1" applyAlignment="1">
      <alignment horizontal="center" vertical="center"/>
    </xf>
    <xf numFmtId="9" fontId="33" fillId="16" borderId="25" xfId="13" applyFont="1" applyFill="1" applyBorder="1" applyAlignment="1">
      <alignment horizontal="center" vertical="center"/>
    </xf>
    <xf numFmtId="166" fontId="33" fillId="16" borderId="25" xfId="10" applyNumberFormat="1" applyFont="1" applyFill="1" applyBorder="1" applyAlignment="1">
      <alignment horizontal="center" vertical="center"/>
    </xf>
    <xf numFmtId="167" fontId="33" fillId="16" borderId="25" xfId="4" applyNumberFormat="1" applyFont="1" applyFill="1" applyBorder="1" applyAlignment="1">
      <alignment horizontal="center" vertical="center"/>
    </xf>
    <xf numFmtId="0" fontId="33" fillId="16" borderId="25" xfId="10" applyNumberFormat="1" applyFont="1" applyFill="1" applyBorder="1" applyAlignment="1">
      <alignment horizontal="center" vertical="center"/>
    </xf>
    <xf numFmtId="171" fontId="36" fillId="16" borderId="25" xfId="10" applyNumberFormat="1" applyFont="1" applyFill="1" applyBorder="1" applyAlignment="1">
      <alignment horizontal="center" vertical="center"/>
    </xf>
    <xf numFmtId="49" fontId="19" fillId="13" borderId="6" xfId="3" applyNumberFormat="1" applyFont="1" applyFill="1" applyBorder="1" applyAlignment="1">
      <alignment horizontal="left"/>
    </xf>
    <xf numFmtId="1" fontId="19" fillId="13" borderId="9" xfId="3" applyNumberFormat="1" applyFont="1" applyFill="1" applyBorder="1" applyAlignment="1">
      <alignment horizontal="center"/>
    </xf>
    <xf numFmtId="49" fontId="19" fillId="13" borderId="1" xfId="3" applyNumberFormat="1" applyFont="1" applyFill="1" applyBorder="1" applyAlignment="1">
      <alignment horizontal="left"/>
    </xf>
    <xf numFmtId="1" fontId="19" fillId="13" borderId="45" xfId="3" applyNumberFormat="1" applyFont="1" applyFill="1" applyBorder="1" applyAlignment="1">
      <alignment horizontal="center"/>
    </xf>
    <xf numFmtId="1" fontId="19" fillId="13" borderId="19" xfId="3" applyNumberFormat="1" applyFont="1" applyFill="1" applyBorder="1" applyAlignment="1">
      <alignment horizontal="center"/>
    </xf>
    <xf numFmtId="166" fontId="23" fillId="0" borderId="19" xfId="4" applyNumberFormat="1" applyFont="1" applyFill="1" applyBorder="1"/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0" fontId="35" fillId="16" borderId="25" xfId="0" applyFont="1" applyFill="1" applyBorder="1"/>
    <xf numFmtId="0" fontId="35" fillId="16" borderId="25" xfId="0" applyFont="1" applyFill="1" applyBorder="1" applyAlignment="1">
      <alignment horizontal="left" vertical="top"/>
    </xf>
    <xf numFmtId="167" fontId="35" fillId="16" borderId="25" xfId="4" applyNumberFormat="1" applyFont="1" applyFill="1" applyBorder="1" applyAlignment="1"/>
    <xf numFmtId="2" fontId="35" fillId="16" borderId="25" xfId="4" applyNumberFormat="1" applyFont="1" applyFill="1" applyBorder="1"/>
    <xf numFmtId="167" fontId="35" fillId="16" borderId="25" xfId="4" applyNumberFormat="1" applyFont="1" applyFill="1" applyBorder="1"/>
    <xf numFmtId="43" fontId="35" fillId="16" borderId="25" xfId="4" applyFont="1" applyFill="1" applyBorder="1"/>
    <xf numFmtId="9" fontId="35" fillId="16" borderId="25" xfId="13" applyFont="1" applyFill="1" applyBorder="1"/>
    <xf numFmtId="167" fontId="35" fillId="16" borderId="25" xfId="8" applyNumberFormat="1" applyFont="1" applyFill="1" applyBorder="1"/>
    <xf numFmtId="167" fontId="33" fillId="16" borderId="25" xfId="8" applyNumberFormat="1" applyFont="1" applyFill="1" applyBorder="1"/>
    <xf numFmtId="171" fontId="35" fillId="16" borderId="25" xfId="9" applyNumberFormat="1" applyFont="1" applyFill="1" applyBorder="1"/>
    <xf numFmtId="167" fontId="35" fillId="16" borderId="25" xfId="5" applyNumberFormat="1" applyFont="1" applyFill="1" applyBorder="1"/>
    <xf numFmtId="0" fontId="16" fillId="16" borderId="25" xfId="5" applyFont="1" applyFill="1" applyBorder="1"/>
    <xf numFmtId="0" fontId="35" fillId="16" borderId="25" xfId="5" applyFont="1" applyFill="1" applyBorder="1"/>
    <xf numFmtId="16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6" fontId="23" fillId="0" borderId="6" xfId="4" applyNumberFormat="1" applyFont="1" applyFill="1" applyBorder="1"/>
    <xf numFmtId="166" fontId="19" fillId="0" borderId="6" xfId="4" applyNumberFormat="1" applyFont="1" applyFill="1" applyBorder="1"/>
    <xf numFmtId="3" fontId="19" fillId="0" borderId="6" xfId="4" applyNumberFormat="1" applyFont="1" applyFill="1" applyBorder="1"/>
    <xf numFmtId="3" fontId="19" fillId="0" borderId="6" xfId="4" applyNumberFormat="1" applyFont="1" applyBorder="1"/>
    <xf numFmtId="167" fontId="19" fillId="0" borderId="8" xfId="4" applyNumberFormat="1" applyFont="1" applyBorder="1"/>
    <xf numFmtId="43" fontId="19" fillId="0" borderId="8" xfId="4" applyNumberFormat="1" applyFont="1" applyBorder="1"/>
    <xf numFmtId="4" fontId="19" fillId="0" borderId="6" xfId="4" applyNumberFormat="1" applyFont="1" applyBorder="1"/>
    <xf numFmtId="4" fontId="19" fillId="0" borderId="8" xfId="4" applyNumberFormat="1" applyFont="1" applyFill="1" applyBorder="1"/>
    <xf numFmtId="4" fontId="19" fillId="0" borderId="8" xfId="4" applyNumberFormat="1" applyFont="1" applyBorder="1"/>
    <xf numFmtId="3" fontId="19" fillId="0" borderId="8" xfId="4" applyNumberFormat="1" applyFont="1" applyFill="1" applyBorder="1"/>
    <xf numFmtId="3" fontId="19" fillId="13" borderId="6" xfId="4" applyNumberFormat="1" applyFont="1" applyFill="1" applyBorder="1"/>
    <xf numFmtId="4" fontId="19" fillId="13" borderId="6" xfId="4" applyNumberFormat="1" applyFont="1" applyFill="1" applyBorder="1"/>
    <xf numFmtId="4" fontId="19" fillId="2" borderId="6" xfId="4" applyNumberFormat="1" applyFont="1" applyFill="1" applyBorder="1"/>
    <xf numFmtId="4" fontId="21" fillId="9" borderId="6" xfId="4" applyNumberFormat="1" applyFont="1" applyFill="1" applyBorder="1"/>
    <xf numFmtId="49" fontId="19" fillId="13" borderId="13" xfId="3" applyNumberFormat="1" applyFont="1" applyFill="1" applyBorder="1" applyAlignment="1">
      <alignment horizontal="left"/>
    </xf>
    <xf numFmtId="1" fontId="19" fillId="13" borderId="44" xfId="3" applyNumberFormat="1" applyFont="1" applyFill="1" applyBorder="1" applyAlignment="1">
      <alignment horizontal="center"/>
    </xf>
    <xf numFmtId="166" fontId="23" fillId="0" borderId="36" xfId="4" applyNumberFormat="1" applyFont="1" applyFill="1" applyBorder="1"/>
    <xf numFmtId="170" fontId="33" fillId="16" borderId="25" xfId="10" applyNumberFormat="1" applyFont="1" applyFill="1" applyBorder="1" applyAlignment="1">
      <alignment horizontal="center" vertical="center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21" fillId="2" borderId="14" xfId="0" applyFont="1" applyFill="1" applyBorder="1" applyAlignment="1">
      <alignment vertical="center" wrapText="1"/>
    </xf>
    <xf numFmtId="0" fontId="35" fillId="0" borderId="25" xfId="0" applyFont="1" applyFill="1" applyBorder="1"/>
    <xf numFmtId="0" fontId="35" fillId="0" borderId="25" xfId="0" applyFont="1" applyFill="1" applyBorder="1" applyAlignment="1">
      <alignment horizontal="left" vertical="top"/>
    </xf>
    <xf numFmtId="171" fontId="35" fillId="0" borderId="25" xfId="9" applyNumberFormat="1" applyFont="1" applyFill="1" applyBorder="1"/>
    <xf numFmtId="167" fontId="35" fillId="0" borderId="25" xfId="5" applyNumberFormat="1" applyFont="1" applyFill="1" applyBorder="1"/>
    <xf numFmtId="0" fontId="16" fillId="0" borderId="25" xfId="5" applyFont="1" applyFill="1" applyBorder="1"/>
    <xf numFmtId="167" fontId="35" fillId="24" borderId="25" xfId="4" applyNumberFormat="1" applyFont="1" applyFill="1" applyBorder="1"/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44" fontId="19" fillId="0" borderId="0" xfId="2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49" fontId="21" fillId="0" borderId="0" xfId="0" applyNumberFormat="1" applyFont="1"/>
    <xf numFmtId="10" fontId="21" fillId="0" borderId="0" xfId="2" applyNumberFormat="1" applyFont="1"/>
    <xf numFmtId="3" fontId="19" fillId="0" borderId="35" xfId="4" applyNumberFormat="1" applyFont="1" applyBorder="1"/>
    <xf numFmtId="4" fontId="19" fillId="0" borderId="14" xfId="4" applyNumberFormat="1" applyFont="1" applyFill="1" applyBorder="1"/>
    <xf numFmtId="166" fontId="23" fillId="0" borderId="44" xfId="4" applyNumberFormat="1" applyFont="1" applyFill="1" applyBorder="1"/>
    <xf numFmtId="166" fontId="19" fillId="0" borderId="1" xfId="4" applyNumberFormat="1" applyFont="1" applyFill="1" applyBorder="1"/>
    <xf numFmtId="3" fontId="19" fillId="0" borderId="1" xfId="4" applyNumberFormat="1" applyFont="1" applyFill="1" applyBorder="1"/>
    <xf numFmtId="3" fontId="19" fillId="0" borderId="1" xfId="4" applyNumberFormat="1" applyFont="1" applyBorder="1"/>
    <xf numFmtId="167" fontId="19" fillId="0" borderId="46" xfId="4" applyNumberFormat="1" applyFont="1" applyBorder="1"/>
    <xf numFmtId="43" fontId="19" fillId="0" borderId="46" xfId="4" applyNumberFormat="1" applyFont="1" applyBorder="1"/>
    <xf numFmtId="4" fontId="19" fillId="0" borderId="1" xfId="4" applyNumberFormat="1" applyFont="1" applyBorder="1"/>
    <xf numFmtId="4" fontId="19" fillId="0" borderId="46" xfId="4" applyNumberFormat="1" applyFont="1" applyFill="1" applyBorder="1"/>
    <xf numFmtId="4" fontId="19" fillId="0" borderId="46" xfId="4" applyNumberFormat="1" applyFont="1" applyBorder="1"/>
    <xf numFmtId="3" fontId="19" fillId="0" borderId="46" xfId="4" applyNumberFormat="1" applyFont="1" applyFill="1" applyBorder="1"/>
    <xf numFmtId="3" fontId="19" fillId="13" borderId="1" xfId="4" applyNumberFormat="1" applyFont="1" applyFill="1" applyBorder="1"/>
    <xf numFmtId="4" fontId="19" fillId="13" borderId="1" xfId="4" applyNumberFormat="1" applyFont="1" applyFill="1" applyBorder="1"/>
    <xf numFmtId="4" fontId="19" fillId="2" borderId="1" xfId="4" applyNumberFormat="1" applyFont="1" applyFill="1" applyBorder="1"/>
    <xf numFmtId="4" fontId="21" fillId="9" borderId="1" xfId="4" applyNumberFormat="1" applyFont="1" applyFill="1" applyBorder="1"/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5" fontId="21" fillId="9" borderId="17" xfId="1" applyNumberFormat="1" applyFont="1" applyFill="1" applyBorder="1" applyAlignment="1">
      <alignment horizontal="center" vertical="center"/>
    </xf>
    <xf numFmtId="165" fontId="21" fillId="9" borderId="20" xfId="1" applyNumberFormat="1" applyFont="1" applyFill="1" applyBorder="1" applyAlignment="1">
      <alignment horizontal="center" vertical="center"/>
    </xf>
    <xf numFmtId="165" fontId="21" fillId="9" borderId="23" xfId="1" applyNumberFormat="1" applyFont="1" applyFill="1" applyBorder="1" applyAlignment="1">
      <alignment horizontal="center" vertical="center"/>
    </xf>
    <xf numFmtId="9" fontId="21" fillId="0" borderId="0" xfId="2" applyFont="1" applyBorder="1" applyAlignment="1">
      <alignment horizontal="center" vertical="center" wrapText="1"/>
    </xf>
    <xf numFmtId="3" fontId="21" fillId="9" borderId="17" xfId="0" applyNumberFormat="1" applyFont="1" applyFill="1" applyBorder="1" applyAlignment="1">
      <alignment horizontal="center" vertical="center" wrapText="1"/>
    </xf>
    <xf numFmtId="0" fontId="21" fillId="9" borderId="2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38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3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164" fontId="22" fillId="3" borderId="6" xfId="0" applyNumberFormat="1" applyFont="1" applyFill="1" applyBorder="1" applyAlignment="1">
      <alignment horizontal="center" vertical="center" wrapText="1"/>
    </xf>
    <xf numFmtId="164" fontId="22" fillId="3" borderId="13" xfId="0" applyNumberFormat="1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41" fillId="11" borderId="29" xfId="0" applyFont="1" applyFill="1" applyBorder="1" applyAlignment="1">
      <alignment horizontal="center" vertical="center" wrapText="1"/>
    </xf>
    <xf numFmtId="0" fontId="41" fillId="11" borderId="30" xfId="0" applyFont="1" applyFill="1" applyBorder="1" applyAlignment="1">
      <alignment horizontal="center" vertical="center" wrapText="1"/>
    </xf>
    <xf numFmtId="0" fontId="41" fillId="11" borderId="31" xfId="0" applyFont="1" applyFill="1" applyBorder="1" applyAlignment="1">
      <alignment horizontal="center" vertical="center" wrapText="1"/>
    </xf>
    <xf numFmtId="0" fontId="41" fillId="23" borderId="29" xfId="0" applyFont="1" applyFill="1" applyBorder="1" applyAlignment="1">
      <alignment horizontal="center" vertical="center" wrapText="1"/>
    </xf>
    <xf numFmtId="0" fontId="41" fillId="23" borderId="30" xfId="0" applyFont="1" applyFill="1" applyBorder="1" applyAlignment="1">
      <alignment horizontal="center" vertical="center" wrapText="1"/>
    </xf>
    <xf numFmtId="0" fontId="41" fillId="23" borderId="31" xfId="0" applyFont="1" applyFill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center" vertical="center"/>
    </xf>
    <xf numFmtId="0" fontId="15" fillId="0" borderId="26" xfId="5" applyFont="1" applyBorder="1" applyAlignment="1">
      <alignment horizontal="center" vertical="center"/>
    </xf>
    <xf numFmtId="0" fontId="15" fillId="0" borderId="28" xfId="5" applyFont="1" applyBorder="1" applyAlignment="1">
      <alignment horizontal="center" vertical="center"/>
    </xf>
    <xf numFmtId="0" fontId="15" fillId="0" borderId="27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0" fontId="34" fillId="0" borderId="26" xfId="5" applyFont="1" applyBorder="1" applyAlignment="1">
      <alignment horizontal="center" vertical="center"/>
    </xf>
    <xf numFmtId="0" fontId="34" fillId="0" borderId="27" xfId="5" applyFont="1" applyBorder="1" applyAlignment="1">
      <alignment horizontal="center" vertical="center"/>
    </xf>
    <xf numFmtId="0" fontId="34" fillId="0" borderId="25" xfId="5" applyFont="1" applyBorder="1" applyAlignment="1">
      <alignment horizontal="center" vertical="center" wrapText="1"/>
    </xf>
    <xf numFmtId="0" fontId="34" fillId="0" borderId="26" xfId="5" applyFont="1" applyBorder="1" applyAlignment="1">
      <alignment horizontal="center" vertical="center" wrapText="1"/>
    </xf>
    <xf numFmtId="0" fontId="33" fillId="0" borderId="27" xfId="5" applyFont="1" applyBorder="1" applyAlignment="1">
      <alignment horizontal="center" vertical="center" wrapText="1"/>
    </xf>
    <xf numFmtId="168" fontId="34" fillId="0" borderId="25" xfId="4" applyNumberFormat="1" applyFont="1" applyFill="1" applyBorder="1" applyAlignment="1">
      <alignment horizontal="center" vertical="center"/>
    </xf>
    <xf numFmtId="166" fontId="34" fillId="0" borderId="26" xfId="10" applyNumberFormat="1" applyFont="1" applyFill="1" applyBorder="1" applyAlignment="1">
      <alignment horizontal="center" vertical="center"/>
    </xf>
    <xf numFmtId="166" fontId="34" fillId="0" borderId="27" xfId="10" applyNumberFormat="1" applyFont="1" applyFill="1" applyBorder="1" applyAlignment="1">
      <alignment horizontal="center" vertical="center"/>
    </xf>
    <xf numFmtId="168" fontId="34" fillId="0" borderId="25" xfId="10" applyNumberFormat="1" applyFont="1" applyFill="1" applyBorder="1" applyAlignment="1">
      <alignment horizontal="center" vertical="center"/>
    </xf>
    <xf numFmtId="0" fontId="46" fillId="0" borderId="25" xfId="0" applyFont="1" applyFill="1" applyBorder="1" applyAlignment="1">
      <alignment horizontal="left" vertical="top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2:O39"/>
  <sheetViews>
    <sheetView zoomScale="60" zoomScaleNormal="60" workbookViewId="0">
      <selection activeCell="M19" sqref="M19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1.6328125" customWidth="1"/>
    <col min="11" max="11" width="19.36328125" customWidth="1"/>
    <col min="13" max="13" width="13.7265625" bestFit="1" customWidth="1"/>
  </cols>
  <sheetData>
    <row r="2" spans="2:15" ht="15.5" customHeight="1">
      <c r="B2" s="541" t="s">
        <v>0</v>
      </c>
      <c r="C2" s="541"/>
      <c r="D2" s="541"/>
      <c r="E2" s="541" t="s">
        <v>1</v>
      </c>
      <c r="F2" s="541"/>
      <c r="G2" s="541"/>
      <c r="H2" s="541" t="s">
        <v>251</v>
      </c>
      <c r="I2" s="541"/>
      <c r="J2" s="541"/>
      <c r="K2" s="541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541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542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542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539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540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539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540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539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540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>
        <v>293929962</v>
      </c>
      <c r="C23" s="413">
        <v>43580</v>
      </c>
      <c r="D23" s="464" t="s">
        <v>339</v>
      </c>
      <c r="E23" s="413">
        <v>293877308</v>
      </c>
      <c r="F23" s="413">
        <v>287584</v>
      </c>
      <c r="G23" s="465" t="s">
        <v>339</v>
      </c>
      <c r="H23" s="413"/>
      <c r="I23" s="413"/>
      <c r="J23" s="291"/>
      <c r="K23" s="412">
        <v>16</v>
      </c>
    </row>
    <row r="24" spans="2:11">
      <c r="B24" s="413">
        <v>294860190</v>
      </c>
      <c r="C24" s="413">
        <v>6217</v>
      </c>
      <c r="D24" s="496" t="s">
        <v>353</v>
      </c>
      <c r="E24" s="413">
        <v>294949927</v>
      </c>
      <c r="F24" s="413">
        <v>172288</v>
      </c>
      <c r="G24" s="497" t="s">
        <v>353</v>
      </c>
      <c r="H24" s="413">
        <v>0</v>
      </c>
      <c r="I24" s="413">
        <v>215420</v>
      </c>
      <c r="J24" s="498" t="s">
        <v>354</v>
      </c>
      <c r="K24" s="412">
        <v>17</v>
      </c>
    </row>
    <row r="25" spans="2:11">
      <c r="B25" s="413">
        <v>295827714</v>
      </c>
      <c r="C25" s="413">
        <v>820</v>
      </c>
      <c r="D25" s="506" t="s">
        <v>363</v>
      </c>
      <c r="E25" s="413">
        <v>295827712</v>
      </c>
      <c r="F25" s="413">
        <v>21338</v>
      </c>
      <c r="G25" s="507" t="s">
        <v>365</v>
      </c>
      <c r="H25" s="413">
        <v>0</v>
      </c>
      <c r="I25" s="413">
        <v>100588</v>
      </c>
      <c r="J25" s="508" t="s">
        <v>363</v>
      </c>
      <c r="K25" s="539">
        <v>18</v>
      </c>
    </row>
    <row r="26" spans="2:11">
      <c r="B26" s="413">
        <v>296028599</v>
      </c>
      <c r="C26" s="413">
        <v>157</v>
      </c>
      <c r="D26" s="314">
        <v>46143</v>
      </c>
      <c r="E26" s="413">
        <v>296042023</v>
      </c>
      <c r="F26" s="413">
        <v>5286</v>
      </c>
      <c r="G26" s="507" t="s">
        <v>364</v>
      </c>
      <c r="H26" s="413">
        <v>0</v>
      </c>
      <c r="I26" s="413">
        <v>93678</v>
      </c>
      <c r="J26" s="508" t="s">
        <v>364</v>
      </c>
      <c r="K26" s="540"/>
    </row>
    <row r="27" spans="2:11">
      <c r="B27" s="413">
        <v>296942084</v>
      </c>
      <c r="C27" s="413">
        <v>320</v>
      </c>
      <c r="D27" s="536" t="s">
        <v>376</v>
      </c>
      <c r="E27" s="413">
        <v>296986662</v>
      </c>
      <c r="F27" s="413">
        <v>17442</v>
      </c>
      <c r="G27" s="537" t="s">
        <v>377</v>
      </c>
      <c r="H27" s="413">
        <v>0</v>
      </c>
      <c r="I27" s="413">
        <v>329393</v>
      </c>
      <c r="J27" s="538" t="s">
        <v>378</v>
      </c>
      <c r="K27" s="412">
        <v>19</v>
      </c>
    </row>
    <row r="28" spans="2:11">
      <c r="B28" s="511"/>
      <c r="C28" s="511"/>
      <c r="D28" s="314"/>
      <c r="E28" s="511"/>
      <c r="F28" s="511"/>
      <c r="G28" s="364"/>
      <c r="H28" s="511"/>
      <c r="I28" s="511"/>
      <c r="J28" s="291"/>
      <c r="K28" s="510"/>
    </row>
    <row r="29" spans="2:11">
      <c r="B29" s="511"/>
      <c r="C29" s="511"/>
      <c r="D29" s="314"/>
      <c r="E29" s="511"/>
      <c r="F29" s="511"/>
      <c r="G29" s="364"/>
      <c r="H29" s="511"/>
      <c r="I29" s="511"/>
      <c r="J29" s="291"/>
      <c r="K29" s="510"/>
    </row>
    <row r="30" spans="2:11">
      <c r="B30" s="511"/>
      <c r="C30" s="511"/>
      <c r="D30" s="314"/>
      <c r="E30" s="511"/>
      <c r="F30" s="511"/>
      <c r="G30" s="364"/>
      <c r="H30" s="511"/>
      <c r="I30" s="511"/>
      <c r="J30" s="291"/>
      <c r="K30" s="510"/>
    </row>
    <row r="31" spans="2:11">
      <c r="B31" s="511"/>
      <c r="C31" s="511"/>
      <c r="D31" s="314"/>
      <c r="E31" s="511"/>
      <c r="F31" s="511"/>
      <c r="G31" s="364"/>
      <c r="H31" s="511"/>
      <c r="I31" s="511"/>
      <c r="J31" s="291"/>
      <c r="K31" s="510"/>
    </row>
    <row r="39" spans="8:8">
      <c r="H39" t="s">
        <v>101</v>
      </c>
    </row>
  </sheetData>
  <mergeCells count="9">
    <mergeCell ref="K25:K26"/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 codeName="Лист2">
    <tabColor rgb="FFFFFF00"/>
  </sheetPr>
  <dimension ref="A1:AK40"/>
  <sheetViews>
    <sheetView zoomScale="50" zoomScaleNormal="50" workbookViewId="0">
      <pane xSplit="5" ySplit="3" topLeftCell="M18" activePane="bottomRight" state="frozen"/>
      <selection pane="topRight" activeCell="F1" sqref="F1"/>
      <selection pane="bottomLeft" activeCell="A4" sqref="A4"/>
      <selection pane="bottomRight" activeCell="C38" sqref="C38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427" customFormat="1" ht="26" customHeight="1">
      <c r="B2" s="565" t="s">
        <v>11</v>
      </c>
      <c r="C2" s="566"/>
      <c r="D2" s="566"/>
      <c r="E2" s="567" t="s">
        <v>12</v>
      </c>
      <c r="F2" s="569" t="s">
        <v>13</v>
      </c>
      <c r="G2" s="571" t="s">
        <v>14</v>
      </c>
      <c r="H2" s="572"/>
      <c r="I2" s="573"/>
      <c r="J2" s="574" t="s">
        <v>15</v>
      </c>
      <c r="K2" s="574"/>
      <c r="L2" s="574"/>
      <c r="M2" s="564" t="s">
        <v>16</v>
      </c>
      <c r="N2" s="564"/>
      <c r="O2" s="564"/>
      <c r="P2" s="560" t="s">
        <v>17</v>
      </c>
      <c r="Q2" s="550" t="s">
        <v>18</v>
      </c>
      <c r="R2" s="550" t="s">
        <v>19</v>
      </c>
      <c r="S2" s="550" t="s">
        <v>20</v>
      </c>
      <c r="T2" s="550" t="s">
        <v>21</v>
      </c>
      <c r="U2" s="550" t="s">
        <v>22</v>
      </c>
      <c r="V2" s="550" t="s">
        <v>23</v>
      </c>
      <c r="W2" s="550" t="s">
        <v>24</v>
      </c>
      <c r="X2" s="560" t="s">
        <v>25</v>
      </c>
      <c r="Y2" s="558" t="s">
        <v>352</v>
      </c>
      <c r="Z2" s="562" t="s">
        <v>26</v>
      </c>
      <c r="AA2" s="558" t="s">
        <v>319</v>
      </c>
      <c r="AB2" s="558" t="s">
        <v>320</v>
      </c>
      <c r="AC2" s="550" t="s">
        <v>27</v>
      </c>
      <c r="AD2" s="550" t="s">
        <v>28</v>
      </c>
      <c r="AE2" s="552" t="s">
        <v>111</v>
      </c>
      <c r="AF2" s="554" t="s">
        <v>112</v>
      </c>
      <c r="AG2" s="556" t="s">
        <v>30</v>
      </c>
      <c r="AH2" s="549" t="s">
        <v>31</v>
      </c>
      <c r="AI2" s="546" t="s">
        <v>32</v>
      </c>
      <c r="AJ2" s="546" t="s">
        <v>33</v>
      </c>
      <c r="AK2" s="546" t="s">
        <v>34</v>
      </c>
    </row>
    <row r="3" spans="1:37" s="427" customFormat="1" ht="24" customHeight="1" thickBot="1">
      <c r="B3" s="9" t="s">
        <v>35</v>
      </c>
      <c r="C3" s="10" t="s">
        <v>5</v>
      </c>
      <c r="D3" s="11" t="s">
        <v>36</v>
      </c>
      <c r="E3" s="568"/>
      <c r="F3" s="570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61"/>
      <c r="Q3" s="551"/>
      <c r="R3" s="551"/>
      <c r="S3" s="551"/>
      <c r="T3" s="551"/>
      <c r="U3" s="551"/>
      <c r="V3" s="551"/>
      <c r="W3" s="551"/>
      <c r="X3" s="561"/>
      <c r="Y3" s="559"/>
      <c r="Z3" s="563"/>
      <c r="AA3" s="559"/>
      <c r="AB3" s="559"/>
      <c r="AC3" s="551"/>
      <c r="AD3" s="551"/>
      <c r="AE3" s="553"/>
      <c r="AF3" s="555"/>
      <c r="AG3" s="557"/>
      <c r="AH3" s="549"/>
      <c r="AI3" s="546"/>
      <c r="AJ3" s="546"/>
      <c r="AK3" s="546"/>
    </row>
    <row r="4" spans="1:37" s="15" customFormat="1" ht="25.75" customHeight="1" thickBo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499"/>
      <c r="Z4" s="21"/>
      <c r="AA4" s="21"/>
      <c r="AB4" s="21"/>
      <c r="AC4" s="327"/>
      <c r="AD4" s="21"/>
      <c r="AE4" s="335"/>
      <c r="AF4" s="28"/>
      <c r="AG4" s="547">
        <f>SUM(AF4:AF5)</f>
        <v>0</v>
      </c>
      <c r="AH4" s="342" t="e">
        <f t="shared" ref="AH4:AH20" si="1">P4/O4</f>
        <v>#DIV/0!</v>
      </c>
      <c r="AI4" s="342" t="e">
        <f t="shared" ref="AI4:AI20" si="2">AF4/P4</f>
        <v>#DIV/0!</v>
      </c>
      <c r="AJ4" s="342" t="e">
        <f t="shared" ref="AJ4:AJ20" si="3">AF4/O4</f>
        <v>#DIV/0!</v>
      </c>
      <c r="AK4" s="342" t="e">
        <f t="shared" ref="AK4:AK20" si="4">(W4+X4+Z4)/O4</f>
        <v>#DIV/0!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IFERROR(O5-SUM(Q5:W5)+AD5,0)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196"/>
      <c r="AC5" s="328"/>
      <c r="AD5" s="196"/>
      <c r="AE5" s="336"/>
      <c r="AF5" s="281"/>
      <c r="AG5" s="548"/>
      <c r="AH5" s="342" t="e">
        <f t="shared" si="1"/>
        <v>#DIV/0!</v>
      </c>
      <c r="AI5" s="342" t="e">
        <f t="shared" si="2"/>
        <v>#DIV/0!</v>
      </c>
      <c r="AJ5" s="342" t="e">
        <f t="shared" si="3"/>
        <v>#DIV/0!</v>
      </c>
      <c r="AK5" s="342" t="e">
        <f t="shared" si="4"/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17"/>
      <c r="Z6" s="21"/>
      <c r="AA6" s="21"/>
      <c r="AB6" s="21"/>
      <c r="AC6" s="327"/>
      <c r="AD6" s="21"/>
      <c r="AE6" s="335"/>
      <c r="AF6" s="28"/>
      <c r="AG6" s="543">
        <f>SUM(AF6:AF8)</f>
        <v>0</v>
      </c>
      <c r="AH6" s="342" t="e">
        <f t="shared" si="1"/>
        <v>#DIV/0!</v>
      </c>
      <c r="AI6" s="342" t="e">
        <f t="shared" si="2"/>
        <v>#DIV/0!</v>
      </c>
      <c r="AJ6" s="342" t="e">
        <f t="shared" si="3"/>
        <v>#DIV/0!</v>
      </c>
      <c r="AK6" s="342" t="e">
        <f t="shared" si="4"/>
        <v>#DIV/0!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21"/>
      <c r="AC7" s="327"/>
      <c r="AD7" s="21"/>
      <c r="AE7" s="335"/>
      <c r="AF7" s="28"/>
      <c r="AG7" s="544"/>
      <c r="AH7" s="342" t="e">
        <f t="shared" si="1"/>
        <v>#DIV/0!</v>
      </c>
      <c r="AI7" s="342" t="e">
        <f t="shared" si="2"/>
        <v>#DIV/0!</v>
      </c>
      <c r="AJ7" s="342" t="e">
        <f t="shared" si="3"/>
        <v>#DIV/0!</v>
      </c>
      <c r="AK7" s="342" t="e">
        <f t="shared" si="4"/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196"/>
      <c r="AC8" s="328"/>
      <c r="AD8" s="196"/>
      <c r="AE8" s="336"/>
      <c r="AF8" s="281"/>
      <c r="AG8" s="545"/>
      <c r="AH8" s="342" t="e">
        <f t="shared" si="1"/>
        <v>#DIV/0!</v>
      </c>
      <c r="AI8" s="342" t="e">
        <f t="shared" si="2"/>
        <v>#DIV/0!</v>
      </c>
      <c r="AJ8" s="342" t="e">
        <f t="shared" si="3"/>
        <v>#DIV/0!</v>
      </c>
      <c r="AK8" s="342" t="e">
        <f t="shared" si="4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IFERROR(O9-SUM(Q9:W9)+AD9,0)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17"/>
      <c r="Z9" s="21"/>
      <c r="AA9" s="21"/>
      <c r="AB9" s="21"/>
      <c r="AC9" s="327"/>
      <c r="AD9" s="21"/>
      <c r="AE9" s="335"/>
      <c r="AF9" s="28"/>
      <c r="AG9" s="543">
        <f>SUM(AF9:AF16)</f>
        <v>0</v>
      </c>
      <c r="AH9" s="342" t="e">
        <f t="shared" si="1"/>
        <v>#DIV/0!</v>
      </c>
      <c r="AI9" s="342" t="e">
        <f t="shared" si="2"/>
        <v>#DIV/0!</v>
      </c>
      <c r="AJ9" s="342" t="e">
        <f t="shared" si="3"/>
        <v>#DIV/0!</v>
      </c>
      <c r="AK9" s="342" t="e">
        <f t="shared" si="4"/>
        <v>#DIV/0!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IFERROR(O10-SUM(Q10:W10)+AD10,0)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17"/>
      <c r="Z10" s="21"/>
      <c r="AA10" s="21"/>
      <c r="AB10" s="21"/>
      <c r="AC10" s="327"/>
      <c r="AD10" s="21"/>
      <c r="AE10" s="335"/>
      <c r="AF10" s="28"/>
      <c r="AG10" s="544"/>
      <c r="AH10" s="342" t="e">
        <f t="shared" si="1"/>
        <v>#DIV/0!</v>
      </c>
      <c r="AI10" s="342" t="e">
        <f t="shared" si="2"/>
        <v>#DIV/0!</v>
      </c>
      <c r="AJ10" s="342" t="e">
        <f t="shared" si="3"/>
        <v>#DIV/0!</v>
      </c>
      <c r="AK10" s="342" t="e">
        <f t="shared" si="4"/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IFERROR(O11-SUM(Q11:W11)+AD11,0)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17"/>
      <c r="Z11" s="21"/>
      <c r="AA11" s="21"/>
      <c r="AB11" s="21"/>
      <c r="AC11" s="327"/>
      <c r="AD11" s="21"/>
      <c r="AE11" s="335"/>
      <c r="AF11" s="28"/>
      <c r="AG11" s="544"/>
      <c r="AH11" s="342" t="e">
        <f t="shared" si="1"/>
        <v>#DIV/0!</v>
      </c>
      <c r="AI11" s="342" t="e">
        <f t="shared" si="2"/>
        <v>#DIV/0!</v>
      </c>
      <c r="AJ11" s="342" t="e">
        <f t="shared" si="3"/>
        <v>#DIV/0!</v>
      </c>
      <c r="AK11" s="342" t="e">
        <f t="shared" si="4"/>
        <v>#DIV/0!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IFERROR(O12-SUM(Q12:W12)+AD12,0)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17"/>
      <c r="Z12" s="21"/>
      <c r="AA12" s="21"/>
      <c r="AB12" s="21"/>
      <c r="AC12" s="327"/>
      <c r="AD12" s="21"/>
      <c r="AE12" s="335"/>
      <c r="AF12" s="28"/>
      <c r="AG12" s="544"/>
      <c r="AH12" s="342" t="e">
        <f t="shared" si="1"/>
        <v>#DIV/0!</v>
      </c>
      <c r="AI12" s="342" t="e">
        <f t="shared" si="2"/>
        <v>#DIV/0!</v>
      </c>
      <c r="AJ12" s="342" t="e">
        <f t="shared" si="3"/>
        <v>#DIV/0!</v>
      </c>
      <c r="AK12" s="342" t="e">
        <f t="shared" si="4"/>
        <v>#DIV/0!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IFERROR(O13-SUM(Q13:W13)+AD13,0)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17"/>
      <c r="Z13" s="21"/>
      <c r="AA13" s="21"/>
      <c r="AB13" s="21"/>
      <c r="AC13" s="327"/>
      <c r="AD13" s="21"/>
      <c r="AE13" s="335"/>
      <c r="AF13" s="28"/>
      <c r="AG13" s="544"/>
      <c r="AH13" s="342" t="e">
        <f t="shared" si="1"/>
        <v>#DIV/0!</v>
      </c>
      <c r="AI13" s="342" t="e">
        <f t="shared" si="2"/>
        <v>#DIV/0!</v>
      </c>
      <c r="AJ13" s="342" t="e">
        <f t="shared" si="3"/>
        <v>#DIV/0!</v>
      </c>
      <c r="AK13" s="342" t="e">
        <f t="shared" si="4"/>
        <v>#DIV/0!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IFERROR(O14-SUM(Q14:W14)+AD14,0)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17"/>
      <c r="Z14" s="21"/>
      <c r="AA14" s="21"/>
      <c r="AB14" s="21"/>
      <c r="AC14" s="327"/>
      <c r="AD14" s="21"/>
      <c r="AE14" s="335"/>
      <c r="AF14" s="28"/>
      <c r="AG14" s="544"/>
      <c r="AH14" s="342" t="e">
        <f t="shared" si="1"/>
        <v>#DIV/0!</v>
      </c>
      <c r="AI14" s="342" t="e">
        <f t="shared" si="2"/>
        <v>#DIV/0!</v>
      </c>
      <c r="AJ14" s="342" t="e">
        <f t="shared" si="3"/>
        <v>#DIV/0!</v>
      </c>
      <c r="AK14" s="342" t="e">
        <f t="shared" si="4"/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IFERROR(O15-SUM(Q15:W15)+AD15,0)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17"/>
      <c r="Z15" s="21"/>
      <c r="AA15" s="21"/>
      <c r="AB15" s="21"/>
      <c r="AC15" s="327"/>
      <c r="AD15" s="21"/>
      <c r="AE15" s="335"/>
      <c r="AF15" s="28"/>
      <c r="AG15" s="544"/>
      <c r="AH15" s="342" t="e">
        <f t="shared" si="1"/>
        <v>#DIV/0!</v>
      </c>
      <c r="AI15" s="342" t="e">
        <f t="shared" si="2"/>
        <v>#DIV/0!</v>
      </c>
      <c r="AJ15" s="342" t="e">
        <f t="shared" si="3"/>
        <v>#DIV/0!</v>
      </c>
      <c r="AK15" s="342" t="e">
        <f t="shared" si="4"/>
        <v>#DIV/0!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/>
      <c r="AD16" s="32"/>
      <c r="AE16" s="337"/>
      <c r="AF16" s="33"/>
      <c r="AG16" s="545"/>
      <c r="AH16" s="342" t="e">
        <f t="shared" si="1"/>
        <v>#DIV/0!</v>
      </c>
      <c r="AI16" s="342" t="e">
        <f t="shared" si="2"/>
        <v>#DIV/0!</v>
      </c>
      <c r="AJ16" s="342" t="e">
        <f t="shared" si="3"/>
        <v>#DIV/0!</v>
      </c>
      <c r="AK16" s="342" t="e">
        <f t="shared" si="4"/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17"/>
      <c r="Z17" s="21"/>
      <c r="AA17" s="21"/>
      <c r="AB17" s="21"/>
      <c r="AC17" s="210"/>
      <c r="AD17" s="21"/>
      <c r="AE17" s="335"/>
      <c r="AF17" s="397"/>
      <c r="AG17" s="543">
        <f>SUM(AF17:AF20)</f>
        <v>0</v>
      </c>
      <c r="AH17" s="342" t="e">
        <f t="shared" si="1"/>
        <v>#DIV/0!</v>
      </c>
      <c r="AI17" s="342" t="e">
        <f t="shared" si="2"/>
        <v>#DIV/0!</v>
      </c>
      <c r="AJ17" s="342" t="e">
        <f t="shared" si="3"/>
        <v>#DIV/0!</v>
      </c>
      <c r="AK17" s="342" t="e">
        <f t="shared" si="4"/>
        <v>#DIV/0!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IFERROR(O18-SUM(Q18:W18)+AD18,0)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17"/>
      <c r="Z18" s="21"/>
      <c r="AA18" s="21"/>
      <c r="AB18" s="21"/>
      <c r="AC18" s="210"/>
      <c r="AD18" s="21"/>
      <c r="AE18" s="335"/>
      <c r="AF18" s="397"/>
      <c r="AG18" s="544"/>
      <c r="AH18" s="342" t="e">
        <f t="shared" si="1"/>
        <v>#DIV/0!</v>
      </c>
      <c r="AI18" s="342" t="e">
        <f t="shared" si="2"/>
        <v>#DIV/0!</v>
      </c>
      <c r="AJ18" s="342" t="e">
        <f t="shared" si="3"/>
        <v>#DIV/0!</v>
      </c>
      <c r="AK18" s="342" t="e">
        <f t="shared" si="4"/>
        <v>#DIV/0!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IFERROR(O19-SUM(Q19:W19)+AD19,0)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17"/>
      <c r="Z19" s="21"/>
      <c r="AA19" s="21"/>
      <c r="AB19" s="21"/>
      <c r="AC19" s="210"/>
      <c r="AD19" s="21"/>
      <c r="AE19" s="335"/>
      <c r="AF19" s="397"/>
      <c r="AG19" s="544"/>
      <c r="AH19" s="342" t="e">
        <f t="shared" si="1"/>
        <v>#DIV/0!</v>
      </c>
      <c r="AI19" s="342" t="e">
        <f t="shared" si="2"/>
        <v>#DIV/0!</v>
      </c>
      <c r="AJ19" s="342" t="e">
        <f t="shared" si="3"/>
        <v>#DIV/0!</v>
      </c>
      <c r="AK19" s="342" t="e">
        <f t="shared" si="4"/>
        <v>#DIV/0!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IFERROR(O20-SUM(Q20:W20)+AD20,0)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18"/>
      <c r="Z20" s="32"/>
      <c r="AA20" s="32"/>
      <c r="AB20" s="32"/>
      <c r="AC20" s="396"/>
      <c r="AD20" s="32"/>
      <c r="AE20" s="337"/>
      <c r="AF20" s="398"/>
      <c r="AG20" s="545"/>
      <c r="AH20" s="342" t="e">
        <f t="shared" si="1"/>
        <v>#DIV/0!</v>
      </c>
      <c r="AI20" s="342" t="e">
        <f t="shared" si="2"/>
        <v>#DIV/0!</v>
      </c>
      <c r="AJ20" s="342" t="e">
        <f t="shared" si="3"/>
        <v>#DIV/0!</v>
      </c>
      <c r="AK20" s="342" t="e">
        <f t="shared" si="4"/>
        <v>#DIV/0!</v>
      </c>
    </row>
    <row r="21" spans="2:37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IFERROR(O21-SUM(Q21:W21)-AA21-AB21+AD21,0)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5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5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17"/>
      <c r="Z21" s="21">
        <f>'Юнит 14'!AK$125</f>
        <v>0</v>
      </c>
      <c r="AA21" s="335">
        <v>128.9</v>
      </c>
      <c r="AB21" s="335">
        <v>1289</v>
      </c>
      <c r="AC21" s="210">
        <f>'Юнит 14'!AN$125</f>
        <v>158610.19706700003</v>
      </c>
      <c r="AD21" s="21"/>
      <c r="AE21" s="335">
        <f>O21-SUM(P21:AB21)+AD21</f>
        <v>1453529.215444257</v>
      </c>
      <c r="AF21" s="397">
        <f t="shared" ref="AF21:AF25" si="18">O21-SUM(P21:AC21)+AD21</f>
        <v>1294919.018377257</v>
      </c>
      <c r="AG21" s="361"/>
      <c r="AH21" s="342">
        <f t="shared" ref="AH21:AH25" si="19">P21/O21</f>
        <v>8.0607833059897091E-2</v>
      </c>
      <c r="AI21" s="342">
        <f t="shared" ref="AI21:AI25" si="20">AF21/P21</f>
        <v>3.8140511077617729</v>
      </c>
      <c r="AJ21" s="342">
        <f t="shared" ref="AJ21:AJ25" si="21">AF21/O21</f>
        <v>0.30744239497637654</v>
      </c>
      <c r="AK21" s="342">
        <f t="shared" ref="AK21:AK25" si="22">(W21+X21+Z21)/O21</f>
        <v>0.10917807865874483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17"/>
      <c r="Z22" s="21">
        <f>'Юнит 15'!AK$125</f>
        <v>0</v>
      </c>
      <c r="AA22" s="335">
        <v>878</v>
      </c>
      <c r="AB22" s="335">
        <v>8780</v>
      </c>
      <c r="AC22" s="210">
        <f>'Юнит 15'!AN$125</f>
        <v>117504.47464100002</v>
      </c>
      <c r="AD22" s="21"/>
      <c r="AE22" s="335">
        <f>O22-SUM(P22:AB22)+AD22</f>
        <v>1062872.8536054862</v>
      </c>
      <c r="AF22" s="397">
        <f t="shared" si="18"/>
        <v>945368.37896448607</v>
      </c>
      <c r="AG22" s="360"/>
      <c r="AH22" s="342">
        <f t="shared" si="19"/>
        <v>8.0476598758417811E-2</v>
      </c>
      <c r="AI22" s="342">
        <f t="shared" si="20"/>
        <v>3.7989234910216028</v>
      </c>
      <c r="AJ22" s="342">
        <f t="shared" si="21"/>
        <v>0.30572444150087336</v>
      </c>
      <c r="AK22" s="342">
        <f t="shared" si="22"/>
        <v>9.4305918192368859E-2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1437468.9734344375</v>
      </c>
      <c r="G23" s="27">
        <f>'Юнит 16'!N$126</f>
        <v>3224</v>
      </c>
      <c r="H23" s="27">
        <f>'Юнит 16'!S$126</f>
        <v>1892</v>
      </c>
      <c r="I23" s="27">
        <f>'Юнит 16'!T$126</f>
        <v>-41</v>
      </c>
      <c r="J23" s="17">
        <f>'Юнит 16'!V$126</f>
        <v>1903067.2599999995</v>
      </c>
      <c r="K23" s="18">
        <f>'Юнит 16'!W$126</f>
        <v>-40767.589999999997</v>
      </c>
      <c r="L23" s="19">
        <f t="shared" si="16"/>
        <v>1862299.6699999995</v>
      </c>
      <c r="M23" s="17">
        <f>'Юнит 16'!Y$126</f>
        <v>2844861.52</v>
      </c>
      <c r="N23" s="18">
        <f>'Юнит 16'!Z$126</f>
        <v>-60944.33</v>
      </c>
      <c r="O23" s="329">
        <f t="shared" si="17"/>
        <v>2783917.19</v>
      </c>
      <c r="P23" s="184">
        <f>'Юнит 16'!AD$126</f>
        <v>228955.77000000002</v>
      </c>
      <c r="Q23" s="286">
        <f>'Юнит 16'!AG$126</f>
        <v>234083.09000000011</v>
      </c>
      <c r="R23" s="18">
        <f>'Юнит 16'!AE$126</f>
        <v>1050005.7799999996</v>
      </c>
      <c r="S23" s="185">
        <f>'Юнит 16'!AL$126</f>
        <v>9009.0465655626886</v>
      </c>
      <c r="T23" s="184"/>
      <c r="U23" s="18">
        <f>'Юнит 16'!AM$126</f>
        <v>2269</v>
      </c>
      <c r="V23" s="184"/>
      <c r="W23" s="20">
        <f>'Юнит 16'!AH$126</f>
        <v>41816</v>
      </c>
      <c r="X23" s="17">
        <f>'Юнит 16'!AI$126</f>
        <v>275395</v>
      </c>
      <c r="Y23" s="17"/>
      <c r="Z23" s="21">
        <f>'Юнит 16'!AK$126</f>
        <v>0</v>
      </c>
      <c r="AA23" s="335">
        <v>842.3</v>
      </c>
      <c r="AB23" s="335">
        <v>8423</v>
      </c>
      <c r="AC23" s="210">
        <f>'Юнит 16'!AN$126</f>
        <v>106337.31115699999</v>
      </c>
      <c r="AD23" s="21"/>
      <c r="AE23" s="335">
        <f>O23-SUM(P23:AB23)+AD23</f>
        <v>933118.20343443751</v>
      </c>
      <c r="AF23" s="397">
        <f t="shared" si="18"/>
        <v>826780.8922774375</v>
      </c>
      <c r="AG23" s="360"/>
      <c r="AH23" s="342">
        <f t="shared" si="19"/>
        <v>8.2242306208828012E-2</v>
      </c>
      <c r="AI23" s="342">
        <f t="shared" si="20"/>
        <v>3.6110943710981269</v>
      </c>
      <c r="AJ23" s="342">
        <f t="shared" si="21"/>
        <v>0.29698472901682738</v>
      </c>
      <c r="AK23" s="342">
        <f t="shared" si="22"/>
        <v>0.11394412202325602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1205095.8017753749</v>
      </c>
      <c r="G24" s="27">
        <f>'Юнит 17'!N$126</f>
        <v>2848</v>
      </c>
      <c r="H24" s="27">
        <f>'Юнит 17'!S$126</f>
        <v>1645</v>
      </c>
      <c r="I24" s="27">
        <f>'Юнит 17'!T$126</f>
        <v>-32</v>
      </c>
      <c r="J24" s="17">
        <f>'Юнит 17'!V$126</f>
        <v>1612009.31</v>
      </c>
      <c r="K24" s="18">
        <f>'Юнит 17'!W$126</f>
        <v>-33188</v>
      </c>
      <c r="L24" s="19">
        <f t="shared" si="16"/>
        <v>1578821.31</v>
      </c>
      <c r="M24" s="17">
        <f>'Юнит 17'!Y$126</f>
        <v>2353906.9299999992</v>
      </c>
      <c r="N24" s="18">
        <f>'Юнит 17'!Z$126</f>
        <v>-49562.13</v>
      </c>
      <c r="O24" s="329">
        <f t="shared" si="17"/>
        <v>2304344.7999999993</v>
      </c>
      <c r="P24" s="184">
        <f>'Юнит 17'!AD$126</f>
        <v>199750.43999999997</v>
      </c>
      <c r="Q24" s="286">
        <f>'Юнит 17'!AG$126</f>
        <v>210197.65999999974</v>
      </c>
      <c r="R24" s="18">
        <f>'Юнит 17'!AE$126</f>
        <v>872396.0900000009</v>
      </c>
      <c r="S24" s="185">
        <f>'Юнит 17'!AL$126</f>
        <v>8583.5482246236988</v>
      </c>
      <c r="T24" s="184"/>
      <c r="U24" s="18">
        <f>'Юнит 17'!AM$126</f>
        <v>1310</v>
      </c>
      <c r="V24" s="184"/>
      <c r="W24" s="20">
        <f>'Юнит 17'!AH$126</f>
        <v>5159</v>
      </c>
      <c r="X24" s="17">
        <f>'Юнит 17'!AI$126</f>
        <v>163766</v>
      </c>
      <c r="Y24" s="17">
        <f>'Юнит 17'!AJ126</f>
        <v>212040</v>
      </c>
      <c r="Z24" s="21">
        <f>'Юнит 17'!AK$126</f>
        <v>0</v>
      </c>
      <c r="AA24" s="335">
        <v>145.69999999999999</v>
      </c>
      <c r="AB24" s="335">
        <v>1457</v>
      </c>
      <c r="AC24" s="210">
        <f>'Юнит 17'!AN$126</f>
        <v>90150.696801000013</v>
      </c>
      <c r="AD24" s="21"/>
      <c r="AE24" s="335">
        <f>O24-SUM(P24:AB24)+AD24</f>
        <v>629539.36177537497</v>
      </c>
      <c r="AF24" s="397">
        <f t="shared" si="18"/>
        <v>539388.66497437493</v>
      </c>
      <c r="AG24" s="360"/>
      <c r="AH24" s="342">
        <f t="shared" si="19"/>
        <v>8.6684267041980886E-2</v>
      </c>
      <c r="AI24" s="342">
        <f t="shared" si="20"/>
        <v>2.7003127751527107</v>
      </c>
      <c r="AJ24" s="342">
        <f t="shared" si="21"/>
        <v>0.23407463369821005</v>
      </c>
      <c r="AK24" s="342">
        <f t="shared" si="22"/>
        <v>7.3307171739229321E-2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482"/>
      <c r="F25" s="31">
        <f>IFERROR(O25-SUM(Q25:W25)-AA25-AB25+AD25,0)</f>
        <v>1085604.2141026782</v>
      </c>
      <c r="G25" s="317">
        <f>'Юнит 18'!N$126</f>
        <v>2619</v>
      </c>
      <c r="H25" s="317">
        <f>'Юнит 18'!S$126</f>
        <v>1536</v>
      </c>
      <c r="I25" s="317">
        <f>'Юнит 18'!T$126</f>
        <v>-19</v>
      </c>
      <c r="J25" s="318">
        <f>'Юнит 18'!V$126</f>
        <v>1484555.9699999995</v>
      </c>
      <c r="K25" s="319">
        <f>'Юнит 18'!W$126</f>
        <v>-19493.18</v>
      </c>
      <c r="L25" s="320">
        <f t="shared" si="16"/>
        <v>1465062.7899999996</v>
      </c>
      <c r="M25" s="318">
        <f>'Юнит 18'!Y$126</f>
        <v>2086963.8199999998</v>
      </c>
      <c r="N25" s="319">
        <f>'Юнит 18'!Z$126</f>
        <v>-27710.54</v>
      </c>
      <c r="O25" s="331">
        <f t="shared" si="17"/>
        <v>2059253.2799999998</v>
      </c>
      <c r="P25" s="321">
        <f>'Юнит 18'!AD$126</f>
        <v>187888.16999999998</v>
      </c>
      <c r="Q25" s="322">
        <f>'Юнит 18'!AG$126</f>
        <v>184328.48000000004</v>
      </c>
      <c r="R25" s="319">
        <f>'Юнит 18'!AE$126</f>
        <v>779957.46000000008</v>
      </c>
      <c r="S25" s="323">
        <f>'Юнит 18'!AL$126</f>
        <v>7221.3258973214261</v>
      </c>
      <c r="T25" s="321"/>
      <c r="U25" s="319">
        <f>'Юнит 18'!AM$126</f>
        <v>1495</v>
      </c>
      <c r="V25" s="321"/>
      <c r="W25" s="324">
        <f>'Юнит 18'!AH$126</f>
        <v>440</v>
      </c>
      <c r="X25" s="318">
        <f>'Юнит 18'!AI$126</f>
        <v>22859</v>
      </c>
      <c r="Y25" s="318">
        <f>'Юнит 18'!AJ$126</f>
        <v>179991</v>
      </c>
      <c r="Z25" s="32">
        <f>'Юнит 18'!AK$126</f>
        <v>0</v>
      </c>
      <c r="AA25" s="337">
        <v>18.8</v>
      </c>
      <c r="AB25" s="337">
        <v>188</v>
      </c>
      <c r="AC25" s="396">
        <f>'Юнит 18'!AN$126</f>
        <v>83655.085309000002</v>
      </c>
      <c r="AD25" s="32"/>
      <c r="AE25" s="337">
        <f>O25-SUM(P25:AB25)+AD25</f>
        <v>694866.04410267831</v>
      </c>
      <c r="AF25" s="398">
        <f t="shared" si="18"/>
        <v>611210.95879367832</v>
      </c>
      <c r="AG25" s="360"/>
      <c r="AH25" s="342">
        <f t="shared" si="19"/>
        <v>9.1240923020406706E-2</v>
      </c>
      <c r="AI25" s="342">
        <f t="shared" si="20"/>
        <v>3.2530571711549396</v>
      </c>
      <c r="AJ25" s="342">
        <f t="shared" si="21"/>
        <v>0.29681193893432983</v>
      </c>
      <c r="AK25" s="342">
        <f t="shared" si="22"/>
        <v>1.1314295442083745E-2</v>
      </c>
    </row>
    <row r="26" spans="2:37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335"/>
      <c r="AB26" s="335"/>
      <c r="AC26" s="210"/>
      <c r="AD26" s="21"/>
      <c r="AE26" s="335"/>
      <c r="AF26" s="397"/>
      <c r="AG26" s="360"/>
      <c r="AH26" s="6"/>
      <c r="AI26" s="6"/>
      <c r="AJ26" s="6"/>
      <c r="AK26" s="6"/>
    </row>
    <row r="27" spans="2:37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17"/>
      <c r="Z27" s="21"/>
      <c r="AA27" s="21"/>
      <c r="AB27" s="21"/>
      <c r="AC27" s="209"/>
      <c r="AD27" s="17"/>
      <c r="AE27" s="209"/>
      <c r="AF27" s="359"/>
      <c r="AG27" s="362"/>
      <c r="AH27" s="6"/>
      <c r="AI27" s="6"/>
      <c r="AJ27" s="6"/>
      <c r="AK27" s="6"/>
    </row>
    <row r="28" spans="2:37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2"/>
      <c r="AC28" s="371"/>
      <c r="AD28" s="32"/>
      <c r="AE28" s="337"/>
      <c r="AF28" s="33"/>
      <c r="AG28" s="197"/>
      <c r="AH28" s="6"/>
      <c r="AI28" s="6"/>
      <c r="AJ28" s="6"/>
      <c r="AK28" s="6"/>
    </row>
    <row r="29" spans="2:37" ht="22" customHeight="1" thickBot="1">
      <c r="B29" s="37" t="s">
        <v>29</v>
      </c>
      <c r="C29" s="38"/>
      <c r="D29" s="39"/>
      <c r="E29" s="40"/>
      <c r="F29" s="41">
        <f t="shared" ref="F29:Z29" si="23">SUM(F4:F28)</f>
        <v>7577499.4683622345</v>
      </c>
      <c r="G29" s="42">
        <f t="shared" si="23"/>
        <v>16959</v>
      </c>
      <c r="H29" s="42">
        <f t="shared" si="23"/>
        <v>9942</v>
      </c>
      <c r="I29" s="42">
        <f t="shared" si="23"/>
        <v>-210</v>
      </c>
      <c r="J29" s="41">
        <f t="shared" si="23"/>
        <v>9956021.4199999981</v>
      </c>
      <c r="K29" s="41">
        <f t="shared" si="23"/>
        <v>-214204.16999999998</v>
      </c>
      <c r="L29" s="41">
        <f t="shared" si="23"/>
        <v>9741817.25</v>
      </c>
      <c r="M29" s="41">
        <f t="shared" si="23"/>
        <v>14772420.779999997</v>
      </c>
      <c r="N29" s="41">
        <f t="shared" si="23"/>
        <v>-320773.96999999997</v>
      </c>
      <c r="O29" s="332">
        <f t="shared" si="23"/>
        <v>14451646.809999997</v>
      </c>
      <c r="P29" s="41">
        <f t="shared" si="23"/>
        <v>1204958.79</v>
      </c>
      <c r="Q29" s="41">
        <f t="shared" si="23"/>
        <v>1266968.0999999994</v>
      </c>
      <c r="R29" s="41">
        <f t="shared" si="23"/>
        <v>5457130.1999999974</v>
      </c>
      <c r="S29" s="211">
        <f t="shared" si="23"/>
        <v>38993.641637766006</v>
      </c>
      <c r="T29" s="211">
        <f t="shared" si="23"/>
        <v>0</v>
      </c>
      <c r="U29" s="41">
        <f t="shared" si="23"/>
        <v>10897.98</v>
      </c>
      <c r="V29" s="41">
        <f t="shared" si="23"/>
        <v>23692.720000000001</v>
      </c>
      <c r="W29" s="41">
        <f t="shared" si="23"/>
        <v>54314</v>
      </c>
      <c r="X29" s="41">
        <f t="shared" si="23"/>
        <v>1206584</v>
      </c>
      <c r="Y29" s="41"/>
      <c r="Z29" s="41">
        <f t="shared" si="23"/>
        <v>0</v>
      </c>
      <c r="AA29" s="41"/>
      <c r="AB29" s="41"/>
      <c r="AC29" s="211">
        <f>SUM(AC4:AC28)</f>
        <v>556257.76497500006</v>
      </c>
      <c r="AD29" s="41">
        <f>SUM(AD4:AD28)</f>
        <v>0</v>
      </c>
      <c r="AE29" s="211">
        <f>SUM(AE4:AE28)</f>
        <v>4773925.6783622336</v>
      </c>
      <c r="AF29" s="41">
        <f>SUM(AF4:AF28)</f>
        <v>4217667.9133872334</v>
      </c>
      <c r="AG29" s="41">
        <f>SUM(AG4:AG28)</f>
        <v>0</v>
      </c>
      <c r="AH29" s="43">
        <f>P29/O29</f>
        <v>8.337864921845542E-2</v>
      </c>
      <c r="AI29" s="43">
        <f t="shared" ref="AI29" si="24">AF29/P29</f>
        <v>3.5002590531641613</v>
      </c>
      <c r="AJ29" s="43">
        <f t="shared" ref="AJ29" si="25">AF29/O29</f>
        <v>0.29184687176749752</v>
      </c>
      <c r="AK29" s="43">
        <f>(W29+X29+Z29)/O29</f>
        <v>8.7249433685820915E-2</v>
      </c>
    </row>
    <row r="30" spans="2:37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3"/>
      <c r="AI30" s="43"/>
      <c r="AJ30" s="43"/>
      <c r="AK30" s="43"/>
    </row>
    <row r="31" spans="2:37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2.1714380789524194E-2</v>
      </c>
      <c r="O31" s="53"/>
      <c r="P31" s="186">
        <f t="shared" ref="P31:AC31" si="26">P29/$O$29</f>
        <v>8.337864921845542E-2</v>
      </c>
      <c r="Q31" s="186">
        <f t="shared" si="26"/>
        <v>8.766946194141037E-2</v>
      </c>
      <c r="R31" s="186">
        <f t="shared" si="26"/>
        <v>0.37761303412313318</v>
      </c>
      <c r="S31" s="275">
        <f t="shared" si="26"/>
        <v>2.6982144077022331E-3</v>
      </c>
      <c r="T31" s="275">
        <f t="shared" si="26"/>
        <v>0</v>
      </c>
      <c r="U31" s="186">
        <f t="shared" si="26"/>
        <v>7.5409952535367847E-4</v>
      </c>
      <c r="V31" s="186">
        <f t="shared" si="26"/>
        <v>1.6394477606251441E-3</v>
      </c>
      <c r="W31" s="186">
        <f t="shared" si="26"/>
        <v>3.7583260035400777E-3</v>
      </c>
      <c r="X31" s="186">
        <f t="shared" si="26"/>
        <v>8.3491107682280838E-2</v>
      </c>
      <c r="Y31" s="186"/>
      <c r="Z31" s="186">
        <f t="shared" si="26"/>
        <v>0</v>
      </c>
      <c r="AA31" s="186"/>
      <c r="AB31" s="186"/>
      <c r="AC31" s="186">
        <f t="shared" si="26"/>
        <v>3.8490960392838454E-2</v>
      </c>
      <c r="AD31" s="54"/>
      <c r="AE31" s="54"/>
      <c r="AG31" s="52">
        <f>AF29/P29</f>
        <v>3.5002590531641613</v>
      </c>
      <c r="AH31" s="8" t="s">
        <v>32</v>
      </c>
      <c r="AI31" s="55"/>
      <c r="AJ31" s="55"/>
      <c r="AK31" s="55"/>
    </row>
    <row r="32" spans="2:37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8.7249433685820915E-2</v>
      </c>
      <c r="X32" s="187"/>
      <c r="Y32" s="187"/>
      <c r="Z32" s="188"/>
      <c r="AA32" s="188"/>
      <c r="AB32" s="188"/>
      <c r="AC32" s="187"/>
      <c r="AD32" s="63"/>
      <c r="AE32" s="63"/>
      <c r="AF32" s="63"/>
      <c r="AG32" s="61">
        <f>AF29/O29</f>
        <v>0.29184687176749752</v>
      </c>
      <c r="AH32" s="64" t="s">
        <v>33</v>
      </c>
      <c r="AI32" s="55"/>
      <c r="AJ32" s="55"/>
      <c r="AK32" s="55"/>
    </row>
    <row r="33" spans="2:37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186"/>
      <c r="Z33" s="378"/>
      <c r="AA33" s="378"/>
      <c r="AB33" s="378"/>
      <c r="AC33" s="186"/>
      <c r="AD33" s="379"/>
      <c r="AE33" s="379"/>
      <c r="AF33" s="52"/>
      <c r="AG33" s="54"/>
      <c r="AH33" s="54"/>
      <c r="AI33" s="55"/>
      <c r="AJ33" s="55"/>
      <c r="AK33" s="55"/>
    </row>
    <row r="35" spans="2:37">
      <c r="B35" s="3" t="s">
        <v>346</v>
      </c>
      <c r="W35" s="343">
        <f>W21/O21</f>
        <v>1.0669749253936066E-3</v>
      </c>
      <c r="X35" s="343">
        <f>X21/O21</f>
        <v>0.10811110373335123</v>
      </c>
      <c r="Y35" s="343"/>
    </row>
    <row r="36" spans="2:37">
      <c r="B36" s="3" t="s">
        <v>347</v>
      </c>
      <c r="W36" s="343">
        <f t="shared" ref="W36:W37" si="27">W22/O22</f>
        <v>7.7775743103971706E-4</v>
      </c>
      <c r="X36" s="343">
        <f t="shared" ref="X36:X37" si="28">X22/O22</f>
        <v>9.3528160761329138E-2</v>
      </c>
      <c r="Y36" s="343"/>
    </row>
    <row r="37" spans="2:37">
      <c r="B37" s="3" t="s">
        <v>348</v>
      </c>
      <c r="W37" s="343">
        <f t="shared" si="27"/>
        <v>1.5020561728705731E-2</v>
      </c>
      <c r="X37" s="343">
        <f t="shared" si="28"/>
        <v>9.8923560294550281E-2</v>
      </c>
      <c r="Y37" s="343"/>
    </row>
    <row r="38" spans="2:37">
      <c r="B38" s="3" t="s">
        <v>355</v>
      </c>
      <c r="W38" s="343">
        <f>W24/O24</f>
        <v>2.2388142607825015E-3</v>
      </c>
      <c r="X38" s="343">
        <f t="shared" ref="X38" si="29">X24/O24</f>
        <v>7.1068357478446822E-2</v>
      </c>
      <c r="Y38" s="343">
        <f>Y24/O24</f>
        <v>9.2017479328614385E-2</v>
      </c>
    </row>
    <row r="39" spans="2:37">
      <c r="B39" s="3" t="s">
        <v>367</v>
      </c>
      <c r="W39" s="343">
        <f>W25/O25</f>
        <v>2.136696851588844E-4</v>
      </c>
      <c r="X39" s="343">
        <f>X25/O25</f>
        <v>1.1100625756924861E-2</v>
      </c>
      <c r="Y39" s="343">
        <f>Y25/O25</f>
        <v>8.7405955230529006E-2</v>
      </c>
    </row>
    <row r="40" spans="2:37">
      <c r="B40" s="518" t="s">
        <v>368</v>
      </c>
      <c r="W40" s="519">
        <f>SUM(W21:W25)/SUM(O21:O25)</f>
        <v>3.7583260035400777E-3</v>
      </c>
      <c r="X40" s="519">
        <f>SUM(X21:X25)/SUM(O21:O25)</f>
        <v>8.3491107682280838E-2</v>
      </c>
      <c r="Y40" s="519">
        <f>SUM(Y21:Y25)/SUM(O21:O25)</f>
        <v>2.7127081442976399E-2</v>
      </c>
    </row>
  </sheetData>
  <mergeCells count="32">
    <mergeCell ref="M2:O2"/>
    <mergeCell ref="B2:D2"/>
    <mergeCell ref="E2:E3"/>
    <mergeCell ref="F2:F3"/>
    <mergeCell ref="G2:I2"/>
    <mergeCell ref="J2:L2"/>
    <mergeCell ref="AB2:AB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Z2:Z3"/>
    <mergeCell ref="AA2:AA3"/>
    <mergeCell ref="Y2:Y3"/>
    <mergeCell ref="AC2:AC3"/>
    <mergeCell ref="AD2:AD3"/>
    <mergeCell ref="AE2:AE3"/>
    <mergeCell ref="AF2:AF3"/>
    <mergeCell ref="AG2:AG3"/>
    <mergeCell ref="AG17:AG20"/>
    <mergeCell ref="AI2:AI3"/>
    <mergeCell ref="AJ2:AJ3"/>
    <mergeCell ref="AK2:AK3"/>
    <mergeCell ref="AG4:AG5"/>
    <mergeCell ref="AG6:AG8"/>
    <mergeCell ref="AG9:AG16"/>
    <mergeCell ref="AH2:AH3"/>
  </mergeCells>
  <conditionalFormatting sqref="O3">
    <cfRule type="dataBar" priority="1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I4:AI6 AI8:AI22 AI26:AI28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J4:AJ6 AJ8:AJ22 AJ26:AJ28"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K4:AK6 AK8:AK22 AK26:AK28">
    <cfRule type="dataBar" priority="1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1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1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1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1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1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1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1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1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1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1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1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1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1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1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1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12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1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1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I29:AI30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J29:AJ30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K29:AK30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12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1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1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1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1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1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1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1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1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1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1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1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12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1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1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1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11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1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1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1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1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1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1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1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1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1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1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1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1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11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1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1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1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11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1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1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1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1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1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1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1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1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11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1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1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I7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J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K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1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1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11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1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10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10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10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10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10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10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10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10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10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10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1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1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10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10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10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10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10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10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1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1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10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9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9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9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9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9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9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9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9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9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9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9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9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9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9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9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9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8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8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8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8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8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8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8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8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8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8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8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8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8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7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7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7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7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7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7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7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7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7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7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7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6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5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5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5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5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5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5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5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5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5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5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4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4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4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4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4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4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4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4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4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3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3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3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3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3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2 Q26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2 Q26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6 R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3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2 Q26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2 R26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2 Q26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2 R26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2 Q26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2 R26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2 R26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6 O22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2 O26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2 O2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6 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2 L26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2 L26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2 O2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2 Q26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2 R26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2 L26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2 L26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2 O26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2 Q26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2 R26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2 L26"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2 O26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2 Q26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2 R26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2 L26"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2 O26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2 Q26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2 R2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2 Q26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2 Q26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6 R22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3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2 Q26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2 R26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2 Q26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2 R26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2 Q26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2 R26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2 R26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6 O22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2 O26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2 O26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6 L22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2 L26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2 L26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2 O26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2 Q26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2 R26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2 L26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2 L26">
    <cfRule type="dataBar" priority="3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2 O26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2 Q26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2 R2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2 L26">
    <cfRule type="dataBar" priority="2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2 O26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2 Q26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2 R2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2 L26">
    <cfRule type="dataBar" priority="2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2 O26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2 Q26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2 R26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conditionalFormatting sqref="AI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{0BFB5212-62BA-4798-AD1E-605A4750A3C0}</x14:id>
        </ext>
      </extLst>
    </cfRule>
  </conditionalFormatting>
  <conditionalFormatting sqref="AJ23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{64C68B99-61AA-475A-9764-6F2D737BD39A}</x14:id>
        </ext>
      </extLst>
    </cfRule>
  </conditionalFormatting>
  <conditionalFormatting sqref="AK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{5147D9E6-4A40-48E7-AB77-4EDAA1507BD5}</x14:id>
        </ext>
      </extLst>
    </cfRule>
  </conditionalFormatting>
  <conditionalFormatting sqref="Q23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{7D8BBA9E-F171-4DD5-AF3B-8101E3E1DE02}</x14:id>
        </ext>
      </extLst>
    </cfRule>
  </conditionalFormatting>
  <conditionalFormatting sqref="Q23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{89D0EFC5-13B7-4AF6-ABA7-5554B79DA8BC}</x14:id>
        </ext>
      </extLst>
    </cfRule>
  </conditionalFormatting>
  <conditionalFormatting sqref="R23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{2E221520-5B6B-4E5C-92DA-FACFFDF627F9}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{ADBF5252-9091-4589-B193-8446B16E4C30}</x14:id>
        </ext>
      </extLst>
    </cfRule>
  </conditionalFormatting>
  <conditionalFormatting sqref="Q23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{986FB26F-788A-4A0F-AB13-BA969439B279}</x14:id>
        </ext>
      </extLst>
    </cfRule>
  </conditionalFormatting>
  <conditionalFormatting sqref="R23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{07660CB9-8E5B-4CA8-97EF-E6164854E7C1}</x14:id>
        </ext>
      </extLst>
    </cfRule>
  </conditionalFormatting>
  <conditionalFormatting sqref="Q23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{8FF387F6-D2EE-4B8C-9311-B6D4ED138506}</x14:id>
        </ext>
      </extLst>
    </cfRule>
  </conditionalFormatting>
  <conditionalFormatting sqref="R23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{66520BF7-758E-4C21-8FC2-A055C845CF6E}</x14:id>
        </ext>
      </extLst>
    </cfRule>
  </conditionalFormatting>
  <conditionalFormatting sqref="Q2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{99F42703-7336-4B7B-9155-695FB0965835}</x14:id>
        </ext>
      </extLst>
    </cfRule>
  </conditionalFormatting>
  <conditionalFormatting sqref="R2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{96ED27FB-4CAC-477B-9FF0-9E471D017BE1}</x14:id>
        </ext>
      </extLst>
    </cfRule>
  </conditionalFormatting>
  <conditionalFormatting sqref="R23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{65AA132B-388A-4EA9-94C9-42CBAC619DDB}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{008E1A8C-B8E6-403A-A98A-99A82C52E399}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{6896A6DA-251B-4A00-92DE-BA97BCA6CCF3}</x14:id>
        </ext>
      </extLst>
    </cfRule>
  </conditionalFormatting>
  <conditionalFormatting sqref="O23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{7A72B192-E4AF-4184-A95E-43DBE87313B4}</x14:id>
        </ext>
      </extLst>
    </cfRule>
  </conditionalFormatting>
  <conditionalFormatting sqref="O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{46843159-F33B-45E5-8443-C1ADEB4D8E3B}</x14:id>
        </ext>
      </extLst>
    </cfRule>
  </conditionalFormatting>
  <conditionalFormatting sqref="L23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{4EA53987-8726-432B-9EB3-5F49F5D20EEF}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{C378A47B-0A1A-4DD5-91A9-17B098DF6423}</x14:id>
        </ext>
      </extLst>
    </cfRule>
  </conditionalFormatting>
  <conditionalFormatting sqref="L23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{FA50B1A3-D288-4152-80E9-A33ACE03C3AC}</x14:id>
        </ext>
      </extLst>
    </cfRule>
  </conditionalFormatting>
  <conditionalFormatting sqref="L23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{A4C3601C-463E-447F-9F23-A83B8E3B0E54}</x14:id>
        </ext>
      </extLst>
    </cfRule>
  </conditionalFormatting>
  <conditionalFormatting sqref="O2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{9CC1AE9D-058E-4908-9298-0554B8378A80}</x14:id>
        </ext>
      </extLst>
    </cfRule>
  </conditionalFormatting>
  <conditionalFormatting sqref="Q23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{844C350D-600D-4B82-AD92-66C9138DD895}</x14:id>
        </ext>
      </extLst>
    </cfRule>
  </conditionalFormatting>
  <conditionalFormatting sqref="R23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{3547FA6A-D261-44A7-A65C-6EE2FE8BB7DE}</x14:id>
        </ext>
      </extLst>
    </cfRule>
  </conditionalFormatting>
  <conditionalFormatting sqref="L2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{D4E6E0CE-5DBB-442E-BB03-0A66E6471F7B}</x14:id>
        </ext>
      </extLst>
    </cfRule>
  </conditionalFormatting>
  <conditionalFormatting sqref="L23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{0139F5C8-D528-4F07-8B1A-1B4BCEF48D5F}</x14:id>
        </ext>
      </extLst>
    </cfRule>
  </conditionalFormatting>
  <conditionalFormatting sqref="O23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{911CB73E-2563-4A73-B115-708A159A40AA}</x14:id>
        </ext>
      </extLst>
    </cfRule>
  </conditionalFormatting>
  <conditionalFormatting sqref="Q23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{A1181E68-4302-4441-9B1A-BF7C233B0D61}</x14:id>
        </ext>
      </extLst>
    </cfRule>
  </conditionalFormatting>
  <conditionalFormatting sqref="R23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{A2F618D2-76E0-4A3C-80E9-A2AD8E8D2F20}</x14:id>
        </ext>
      </extLst>
    </cfRule>
  </conditionalFormatting>
  <conditionalFormatting sqref="L23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{596119F1-BAEB-47D8-8990-BD0224C76817}</x14:id>
        </ext>
      </extLst>
    </cfRule>
  </conditionalFormatting>
  <conditionalFormatting sqref="O23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{8B66B336-2EB4-4707-BEA4-04B4CB434B40}</x14:id>
        </ext>
      </extLst>
    </cfRule>
  </conditionalFormatting>
  <conditionalFormatting sqref="Q23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{2D28A23D-8DD5-411C-8612-25D93AFFFEC4}</x14:id>
        </ext>
      </extLst>
    </cfRule>
  </conditionalFormatting>
  <conditionalFormatting sqref="R2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{4EBDD8EB-E676-46A1-9028-1A58B72D2262}</x14:id>
        </ext>
      </extLst>
    </cfRule>
  </conditionalFormatting>
  <conditionalFormatting sqref="L23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{47B5134C-CAEE-4703-A5D5-818CE6C3A7C5}</x14:id>
        </ext>
      </extLst>
    </cfRule>
  </conditionalFormatting>
  <conditionalFormatting sqref="O23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{1671B56B-1E64-43CE-9D16-1B22D8486D32}</x14:id>
        </ext>
      </extLst>
    </cfRule>
  </conditionalFormatting>
  <conditionalFormatting sqref="Q23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{1FC6065A-CC77-489D-A478-04A2DAD3EA87}</x14:id>
        </ext>
      </extLst>
    </cfRule>
  </conditionalFormatting>
  <conditionalFormatting sqref="R23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{D5045251-8E6F-4D1B-B80F-E2ED2EA048B1}</x14:id>
        </ext>
      </extLst>
    </cfRule>
  </conditionalFormatting>
  <conditionalFormatting sqref="Q2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{3EE19B58-E81D-4F1B-8D81-2082DB4FC8BF}</x14:id>
        </ext>
      </extLst>
    </cfRule>
  </conditionalFormatting>
  <conditionalFormatting sqref="Q23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{A3081972-5F17-4D4F-9090-B12DB7943FFA}</x14:id>
        </ext>
      </extLst>
    </cfRule>
  </conditionalFormatting>
  <conditionalFormatting sqref="R23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{B57EDAE7-2577-458E-AF78-6C6DABFBE420}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{4EB369BE-6C81-4FB4-B947-BDA6D9801757}</x14:id>
        </ext>
      </extLst>
    </cfRule>
  </conditionalFormatting>
  <conditionalFormatting sqref="Q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{8160E28F-9313-4F3F-BA4C-5E3538219AF7}</x14:id>
        </ext>
      </extLst>
    </cfRule>
  </conditionalFormatting>
  <conditionalFormatting sqref="R2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{91466655-E7E2-4D45-958A-DE7B0E966774}</x14:id>
        </ext>
      </extLst>
    </cfRule>
  </conditionalFormatting>
  <conditionalFormatting sqref="Q2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{BF0ACDDF-F4BD-4C20-B96F-43102BCE57B1}</x14:id>
        </ext>
      </extLst>
    </cfRule>
  </conditionalFormatting>
  <conditionalFormatting sqref="R2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{CA2A8517-C34D-42FA-BBC4-971B3CB597BA}</x14:id>
        </ext>
      </extLst>
    </cfRule>
  </conditionalFormatting>
  <conditionalFormatting sqref="Q23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{22EA2CE2-04BA-40F1-9EA8-5C889D09BFB6}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{DBAE03CC-91D3-4705-BD7B-3C9C24C46F06}</x14:id>
        </ext>
      </extLst>
    </cfRule>
  </conditionalFormatting>
  <conditionalFormatting sqref="R23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{13707026-DEBB-40DD-9801-F8A2DADB3D00}</x14:id>
        </ext>
      </extLst>
    </cfRule>
  </conditionalFormatting>
  <conditionalFormatting sqref="O23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{72562AB0-6595-4EF2-AE8B-B8F23C6B7F2B}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{424EED4A-9355-4879-8002-039A53FE9FA0}</x14:id>
        </ext>
      </extLst>
    </cfRule>
  </conditionalFormatting>
  <conditionalFormatting sqref="O2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{8D616874-3D00-441C-9BAA-A191BBDA44ED}</x14:id>
        </ext>
      </extLst>
    </cfRule>
  </conditionalFormatting>
  <conditionalFormatting sqref="O2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{DC21AB18-8E91-4836-B31F-4951889D421E}</x14:id>
        </ext>
      </extLst>
    </cfRule>
  </conditionalFormatting>
  <conditionalFormatting sqref="L23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{88FFF2B0-13BF-4327-9881-35FA6CEE6CD3}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{69A327CE-8627-461B-B469-2FBA40055FBD}</x14:id>
        </ext>
      </extLst>
    </cfRule>
  </conditionalFormatting>
  <conditionalFormatting sqref="L2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{AB9227EF-3CFB-4204-AF8A-50CFCA36BBB3}</x14:id>
        </ext>
      </extLst>
    </cfRule>
  </conditionalFormatting>
  <conditionalFormatting sqref="L23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{D04DDEAA-94B7-4E3D-B476-22F702A172D5}</x14:id>
        </ext>
      </extLst>
    </cfRule>
  </conditionalFormatting>
  <conditionalFormatting sqref="O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{E13F619C-0FDB-452D-BF50-DC414FF47A34}</x14:id>
        </ext>
      </extLst>
    </cfRule>
  </conditionalFormatting>
  <conditionalFormatting sqref="Q23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{88A25FD7-B9B7-4ECC-9179-4B1B58590F66}</x14:id>
        </ext>
      </extLst>
    </cfRule>
  </conditionalFormatting>
  <conditionalFormatting sqref="R23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{FCA43ADA-9535-47D4-B348-4872A20EAC89}</x14:id>
        </ext>
      </extLst>
    </cfRule>
  </conditionalFormatting>
  <conditionalFormatting sqref="L23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{DE1353BF-C5E2-4DCA-8616-6D94524D9587}</x14:id>
        </ext>
      </extLst>
    </cfRule>
  </conditionalFormatting>
  <conditionalFormatting sqref="L23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{36EA5025-BD41-499B-AF12-3B1E476A3137}</x14:id>
        </ext>
      </extLst>
    </cfRule>
  </conditionalFormatting>
  <conditionalFormatting sqref="O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{79F7D2BB-A1FC-4A80-9D6A-9CE14F6D6C6C}</x14:id>
        </ext>
      </extLst>
    </cfRule>
  </conditionalFormatting>
  <conditionalFormatting sqref="Q2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{38345E6A-244B-4FC2-832D-B9B941FCBA8A}</x14:id>
        </ext>
      </extLst>
    </cfRule>
  </conditionalFormatting>
  <conditionalFormatting sqref="R23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{DB671C52-A071-4160-9635-2C9CFA7D6CCA}</x14:id>
        </ext>
      </extLst>
    </cfRule>
  </conditionalFormatting>
  <conditionalFormatting sqref="L23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{1A128A8B-3D6E-42FA-B927-1175027450D2}</x14:id>
        </ext>
      </extLst>
    </cfRule>
  </conditionalFormatting>
  <conditionalFormatting sqref="O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{993AE7DA-8D1D-4DD5-884F-4B9E2C6EE2CD}</x14:id>
        </ext>
      </extLst>
    </cfRule>
  </conditionalFormatting>
  <conditionalFormatting sqref="Q23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{F9D4D4C0-1B5E-4660-86A9-235594E44C8A}</x14:id>
        </ext>
      </extLst>
    </cfRule>
  </conditionalFormatting>
  <conditionalFormatting sqref="R23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{A105108A-AFC7-45E9-A2C8-2BF0A4FA0E82}</x14:id>
        </ext>
      </extLst>
    </cfRule>
  </conditionalFormatting>
  <conditionalFormatting sqref="L23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{619B2F92-9CCE-49FD-8379-34800D6E2A48}</x14:id>
        </ext>
      </extLst>
    </cfRule>
  </conditionalFormatting>
  <conditionalFormatting sqref="O23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{4C51EE0D-8297-4ED4-83EE-3529EF9ACAD1}</x14:id>
        </ext>
      </extLst>
    </cfRule>
  </conditionalFormatting>
  <conditionalFormatting sqref="Q23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{94AF2731-CE37-4779-A234-2DB2F9A71F15}</x14:id>
        </ext>
      </extLst>
    </cfRule>
  </conditionalFormatting>
  <conditionalFormatting sqref="R23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{4A906E3D-181B-447C-A688-5DC89257A5C4}</x14:id>
        </ext>
      </extLst>
    </cfRule>
  </conditionalFormatting>
  <conditionalFormatting sqref="AI24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{06E96AFA-2D58-4E58-B704-3AE1365EA0EE}</x14:id>
        </ext>
      </extLst>
    </cfRule>
  </conditionalFormatting>
  <conditionalFormatting sqref="AJ24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{61F4B2A5-BB19-44D4-AC51-046F82E2CA8E}</x14:id>
        </ext>
      </extLst>
    </cfRule>
  </conditionalFormatting>
  <conditionalFormatting sqref="AK2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{5645AD68-D066-4A65-A495-74D8CD264450}</x14:id>
        </ext>
      </extLst>
    </cfRule>
  </conditionalFormatting>
  <conditionalFormatting sqref="Q24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{804D8F15-AF85-4855-BD48-5A11A0DF81E7}</x14:id>
        </ext>
      </extLst>
    </cfRule>
  </conditionalFormatting>
  <conditionalFormatting sqref="Q24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{46162B53-D1B1-4E9C-B873-A5B69B159460}</x14:id>
        </ext>
      </extLst>
    </cfRule>
  </conditionalFormatting>
  <conditionalFormatting sqref="R24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{70659AFE-8EE9-4FD6-A934-EFA34FA22408}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{B52CA243-46C7-4680-A0BC-1AC6D5AD8300}</x14:id>
        </ext>
      </extLst>
    </cfRule>
  </conditionalFormatting>
  <conditionalFormatting sqref="Q24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{687B441B-1D9B-4A54-AC7F-E538A02DCD0F}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{BB820BF0-066C-4290-8896-4ACFE1E5286D}</x14:id>
        </ext>
      </extLst>
    </cfRule>
  </conditionalFormatting>
  <conditionalFormatting sqref="Q24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{86D87322-9860-4EBD-B693-A6F23F06A242}</x14:id>
        </ext>
      </extLst>
    </cfRule>
  </conditionalFormatting>
  <conditionalFormatting sqref="R24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{E6EAECF2-2DCD-46CC-A710-EB4AE3A33222}</x14:id>
        </ext>
      </extLst>
    </cfRule>
  </conditionalFormatting>
  <conditionalFormatting sqref="Q24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{AFE0FAE1-0B76-46C4-B2AA-C785EB8D0F94}</x14:id>
        </ext>
      </extLst>
    </cfRule>
  </conditionalFormatting>
  <conditionalFormatting sqref="R24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{7880BC59-61AB-4BE5-8A35-D48EB41468D3}</x14:id>
        </ext>
      </extLst>
    </cfRule>
  </conditionalFormatting>
  <conditionalFormatting sqref="R2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{061A58DB-E2F7-4C5A-865B-3F548F9E8224}</x14:id>
        </ext>
      </extLst>
    </cfRule>
  </conditionalFormatting>
  <conditionalFormatting sqref="O2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{16D1BACA-0573-4EFB-9E0D-98A99F6C46FC}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{AC8E9FDB-CBE1-4D53-A321-9A13BE2F7317}</x14:id>
        </ext>
      </extLst>
    </cfRule>
  </conditionalFormatting>
  <conditionalFormatting sqref="O24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{D0473F9A-ABBE-4542-BA33-2ECAE317CA56}</x14:id>
        </ext>
      </extLst>
    </cfRule>
  </conditionalFormatting>
  <conditionalFormatting sqref="O24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{6AD93CA0-9FBE-452C-B5CA-B81DF5FE2AF9}</x14:id>
        </ext>
      </extLst>
    </cfRule>
  </conditionalFormatting>
  <conditionalFormatting sqref="L24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{C4B73E7F-E73A-490C-B8F3-C0B700676B4D}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{D50798D1-DAB4-4BA2-B07D-35EFA2640C5F}</x14:id>
        </ext>
      </extLst>
    </cfRule>
  </conditionalFormatting>
  <conditionalFormatting sqref="L2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{DABF148F-A1AE-4028-9964-BFC6DB3EFF19}</x14:id>
        </ext>
      </extLst>
    </cfRule>
  </conditionalFormatting>
  <conditionalFormatting sqref="L24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{E500F135-A7DB-43EA-83CE-36F1F8594BB3}</x14:id>
        </ext>
      </extLst>
    </cfRule>
  </conditionalFormatting>
  <conditionalFormatting sqref="O24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{82042645-8D33-4ADF-B04D-385D22FB5EFB}</x14:id>
        </ext>
      </extLst>
    </cfRule>
  </conditionalFormatting>
  <conditionalFormatting sqref="Q24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{F88E7E36-19BB-4757-B23C-606FC6655FAB}</x14:id>
        </ext>
      </extLst>
    </cfRule>
  </conditionalFormatting>
  <conditionalFormatting sqref="R24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{3102192F-B3E2-41C5-B764-81593C45EDA0}</x14:id>
        </ext>
      </extLst>
    </cfRule>
  </conditionalFormatting>
  <conditionalFormatting sqref="L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{B558E390-6A48-4132-9073-65831B45A2D6}</x14:id>
        </ext>
      </extLst>
    </cfRule>
  </conditionalFormatting>
  <conditionalFormatting sqref="L24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{FFF8ACFD-729B-4BE2-9D78-05AB0771D455}</x14:id>
        </ext>
      </extLst>
    </cfRule>
  </conditionalFormatting>
  <conditionalFormatting sqref="O24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{F1117D56-9175-44C0-9C78-BEAFF51D4879}</x14:id>
        </ext>
      </extLst>
    </cfRule>
  </conditionalFormatting>
  <conditionalFormatting sqref="Q24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{2EE963FC-822F-4166-8C07-910F23FF2A00}</x14:id>
        </ext>
      </extLst>
    </cfRule>
  </conditionalFormatting>
  <conditionalFormatting sqref="R24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{557444C2-5F38-47FD-A4B8-9A9F3BD66B1D}</x14:id>
        </ext>
      </extLst>
    </cfRule>
  </conditionalFormatting>
  <conditionalFormatting sqref="L24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{0406ECF7-38B8-40EF-8929-3849B0D20C57}</x14:id>
        </ext>
      </extLst>
    </cfRule>
  </conditionalFormatting>
  <conditionalFormatting sqref="O24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{80C48AF8-D601-4CC0-BC90-BF939622420B}</x14:id>
        </ext>
      </extLst>
    </cfRule>
  </conditionalFormatting>
  <conditionalFormatting sqref="Q24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{EE259126-3133-4061-B886-583FC474F4A6}</x14:id>
        </ext>
      </extLst>
    </cfRule>
  </conditionalFormatting>
  <conditionalFormatting sqref="R24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{FC5C636A-B721-41D8-836F-B3AC72982E60}</x14:id>
        </ext>
      </extLst>
    </cfRule>
  </conditionalFormatting>
  <conditionalFormatting sqref="L24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{EAC7DA02-E43B-4935-BE95-93883FDECA1C}</x14:id>
        </ext>
      </extLst>
    </cfRule>
  </conditionalFormatting>
  <conditionalFormatting sqref="O24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{D29E297B-765F-451A-AB1E-BC6DC677BF86}</x14:id>
        </ext>
      </extLst>
    </cfRule>
  </conditionalFormatting>
  <conditionalFormatting sqref="Q24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{44590933-1F5B-4572-A7DF-8537D77919A5}</x14:id>
        </ext>
      </extLst>
    </cfRule>
  </conditionalFormatting>
  <conditionalFormatting sqref="R24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{B7DC25C2-45AB-4932-A804-8F5839A0C3AC}</x14:id>
        </ext>
      </extLst>
    </cfRule>
  </conditionalFormatting>
  <conditionalFormatting sqref="Q24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{A3615FCB-E95E-4806-A03E-A1A142855C45}</x14:id>
        </ext>
      </extLst>
    </cfRule>
  </conditionalFormatting>
  <conditionalFormatting sqref="Q24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{70F079B8-7DBC-4D64-870D-12CF715BDDEB}</x14:id>
        </ext>
      </extLst>
    </cfRule>
  </conditionalFormatting>
  <conditionalFormatting sqref="R24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{38E3EB62-1E75-4841-983F-3EB204EDD8F4}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{CC54EBBD-EA90-40D7-8F62-B29BE77417A0}</x14:id>
        </ext>
      </extLst>
    </cfRule>
  </conditionalFormatting>
  <conditionalFormatting sqref="Q24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{67FD754D-4350-4805-8A7C-7F3EA1F5DA1A}</x14:id>
        </ext>
      </extLst>
    </cfRule>
  </conditionalFormatting>
  <conditionalFormatting sqref="R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{428A9854-AC9F-4DEC-8181-FFDEEB2A061A}</x14:id>
        </ext>
      </extLst>
    </cfRule>
  </conditionalFormatting>
  <conditionalFormatting sqref="Q24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{A059A0B4-B645-49CA-A15A-AE16D6641596}</x14:id>
        </ext>
      </extLst>
    </cfRule>
  </conditionalFormatting>
  <conditionalFormatting sqref="R2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{404A6B2C-5121-4ABE-B494-BC94394B4AEF}</x14:id>
        </ext>
      </extLst>
    </cfRule>
  </conditionalFormatting>
  <conditionalFormatting sqref="Q24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{8B1E998A-1323-453F-9C9A-7BC5D70146B9}</x14:id>
        </ext>
      </extLst>
    </cfRule>
  </conditionalFormatting>
  <conditionalFormatting sqref="R24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{706989B5-B790-4FA8-8D8D-50EF1502A6EC}</x14:id>
        </ext>
      </extLst>
    </cfRule>
  </conditionalFormatting>
  <conditionalFormatting sqref="R2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{589E550A-4E6D-4D11-AC53-555C8016337A}</x14:id>
        </ext>
      </extLst>
    </cfRule>
  </conditionalFormatting>
  <conditionalFormatting sqref="O2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{CE414640-EF2E-4AB1-B280-0A4339939553}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{370F308A-4602-4985-B9C6-87631D394952}</x14:id>
        </ext>
      </extLst>
    </cfRule>
  </conditionalFormatting>
  <conditionalFormatting sqref="O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{2C77DB8C-E3BD-4D77-B694-70024D6C96ED}</x14:id>
        </ext>
      </extLst>
    </cfRule>
  </conditionalFormatting>
  <conditionalFormatting sqref="O2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{7E497435-E544-4B35-9A16-9AD27823B723}</x14:id>
        </ext>
      </extLst>
    </cfRule>
  </conditionalFormatting>
  <conditionalFormatting sqref="L24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{70A61623-1809-4BC8-93D7-9B001F217BE4}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{7E6CFB50-4516-4D86-BE9C-EFB04BFFFA19}</x14:id>
        </ext>
      </extLst>
    </cfRule>
  </conditionalFormatting>
  <conditionalFormatting sqref="L24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{B71614F6-CC91-4F93-983D-B3871CFB183B}</x14:id>
        </ext>
      </extLst>
    </cfRule>
  </conditionalFormatting>
  <conditionalFormatting sqref="L24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{4BBB9CC1-8F83-41FE-92B3-EDD409A9D68D}</x14:id>
        </ext>
      </extLst>
    </cfRule>
  </conditionalFormatting>
  <conditionalFormatting sqref="O2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{A6B7F09B-F84B-490C-80E1-4CC73779557B}</x14:id>
        </ext>
      </extLst>
    </cfRule>
  </conditionalFormatting>
  <conditionalFormatting sqref="Q24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{63054880-24CD-4B36-B857-4635F7999B5F}</x14:id>
        </ext>
      </extLst>
    </cfRule>
  </conditionalFormatting>
  <conditionalFormatting sqref="R24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{A67E2EAE-EEC6-4574-B5B8-3D281EED9876}</x14:id>
        </ext>
      </extLst>
    </cfRule>
  </conditionalFormatting>
  <conditionalFormatting sqref="L2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{E7794CEB-08EE-46F6-B9BA-F8F8B4930A36}</x14:id>
        </ext>
      </extLst>
    </cfRule>
  </conditionalFormatting>
  <conditionalFormatting sqref="L24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{7C3852EA-14F1-48C1-83C1-2CE5DE5E1A07}</x14:id>
        </ext>
      </extLst>
    </cfRule>
  </conditionalFormatting>
  <conditionalFormatting sqref="O2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{3EB56CC6-567B-412F-980A-B7BE84810FAB}</x14:id>
        </ext>
      </extLst>
    </cfRule>
  </conditionalFormatting>
  <conditionalFormatting sqref="Q24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{1CBB31E6-8051-4664-8A08-B4822F61718B}</x14:id>
        </ext>
      </extLst>
    </cfRule>
  </conditionalFormatting>
  <conditionalFormatting sqref="R24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{2A22A2C5-70EE-45C2-87BD-98666B7C0114}</x14:id>
        </ext>
      </extLst>
    </cfRule>
  </conditionalFormatting>
  <conditionalFormatting sqref="L24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{C33D4B81-AEE8-4E42-909E-ED08701D8945}</x14:id>
        </ext>
      </extLst>
    </cfRule>
  </conditionalFormatting>
  <conditionalFormatting sqref="O2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{8EE66ABB-C5DC-484D-BA02-3A3CF5ADF522}</x14:id>
        </ext>
      </extLst>
    </cfRule>
  </conditionalFormatting>
  <conditionalFormatting sqref="Q24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{3AA450B3-7B3D-471E-B304-4599882D277D}</x14:id>
        </ext>
      </extLst>
    </cfRule>
  </conditionalFormatting>
  <conditionalFormatting sqref="R24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{0BC45D29-4C77-481E-8122-E28E023FCE99}</x14:id>
        </ext>
      </extLst>
    </cfRule>
  </conditionalFormatting>
  <conditionalFormatting sqref="L24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{42F0995C-4143-4813-962D-8A4888E6D0FD}</x14:id>
        </ext>
      </extLst>
    </cfRule>
  </conditionalFormatting>
  <conditionalFormatting sqref="O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{5D6652FF-1940-4D5C-82AE-6047F0B57979}</x14:id>
        </ext>
      </extLst>
    </cfRule>
  </conditionalFormatting>
  <conditionalFormatting sqref="Q2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{14DCAD1C-08A3-4538-BE4E-3E8A7A7F6171}</x14:id>
        </ext>
      </extLst>
    </cfRule>
  </conditionalFormatting>
  <conditionalFormatting sqref="R2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{BBF9B004-2457-4DD8-A6CD-F34A15372513}</x14:id>
        </ext>
      </extLst>
    </cfRule>
  </conditionalFormatting>
  <conditionalFormatting sqref="AI2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{BCDE6474-C7B9-42D2-B476-F33A8E77E836}</x14:id>
        </ext>
      </extLst>
    </cfRule>
  </conditionalFormatting>
  <conditionalFormatting sqref="AJ2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{F48E3F6C-4BA3-4B41-8F45-58DB040D70EF}</x14:id>
        </ext>
      </extLst>
    </cfRule>
  </conditionalFormatting>
  <conditionalFormatting sqref="AK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{57181471-0515-4F7B-A1CE-2E0A468F04BB}</x14:id>
        </ext>
      </extLst>
    </cfRule>
  </conditionalFormatting>
  <conditionalFormatting sqref="Q2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{1492E533-A82F-4D22-949C-7B0FAC83D7D0}</x14:id>
        </ext>
      </extLst>
    </cfRule>
  </conditionalFormatting>
  <conditionalFormatting sqref="Q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{C4A1D51F-0C9D-4714-BEB9-992096FE4F11}</x14:id>
        </ext>
      </extLst>
    </cfRule>
  </conditionalFormatting>
  <conditionalFormatting sqref="R2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{3A9E2F7B-2FB6-4B7B-8A97-DB4493AAC278}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{CC79335E-5B59-4D7E-B2C1-CEF597EC2945}</x14:id>
        </ext>
      </extLst>
    </cfRule>
  </conditionalFormatting>
  <conditionalFormatting sqref="Q2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{083886E9-AA5A-4AC9-89BD-216DE53EC3C7}</x14:id>
        </ext>
      </extLst>
    </cfRule>
  </conditionalFormatting>
  <conditionalFormatting sqref="R2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{FF7B6EC6-64E8-4F4E-A207-9941D836B38A}</x14:id>
        </ext>
      </extLst>
    </cfRule>
  </conditionalFormatting>
  <conditionalFormatting sqref="Q2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{331AD4EC-A1B3-4F68-93B1-27291FAC6F6B}</x14:id>
        </ext>
      </extLst>
    </cfRule>
  </conditionalFormatting>
  <conditionalFormatting sqref="R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{D0251869-8A7B-4867-B8D4-2A38D89BED62}</x14:id>
        </ext>
      </extLst>
    </cfRule>
  </conditionalFormatting>
  <conditionalFormatting sqref="Q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{4ED25E9B-0408-42D8-8A36-250D31415922}</x14:id>
        </ext>
      </extLst>
    </cfRule>
  </conditionalFormatting>
  <conditionalFormatting sqref="R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{46FD8160-2DE6-4EA8-B939-C6501F00D5E7}</x14:id>
        </ext>
      </extLst>
    </cfRule>
  </conditionalFormatting>
  <conditionalFormatting sqref="R2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{8AD86AC7-8D22-4A8E-A3B2-0BBB1DBE1964}</x14:id>
        </ext>
      </extLst>
    </cfRule>
  </conditionalFormatting>
  <conditionalFormatting sqref="O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{F8453C8D-0352-4BB8-9DA7-BA6CC1FD88F7}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{BB693EDA-15BE-45CF-A289-471A04A17570}</x14:id>
        </ext>
      </extLst>
    </cfRule>
  </conditionalFormatting>
  <conditionalFormatting sqref="O2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{A1434354-081C-4319-BFA8-49A311DED216}</x14:id>
        </ext>
      </extLst>
    </cfRule>
  </conditionalFormatting>
  <conditionalFormatting sqref="O2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{41A12042-27A2-41E2-BB35-6FD5E5182607}</x14:id>
        </ext>
      </extLst>
    </cfRule>
  </conditionalFormatting>
  <conditionalFormatting sqref="L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{8F29564F-4C48-4BCE-9C6D-54946A914A19}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{A4EE7A9B-053F-4D09-91BA-D961BD41460B}</x14:id>
        </ext>
      </extLst>
    </cfRule>
  </conditionalFormatting>
  <conditionalFormatting sqref="L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{479AFD27-C4DA-4429-B619-A71D9C6F33BD}</x14:id>
        </ext>
      </extLst>
    </cfRule>
  </conditionalFormatting>
  <conditionalFormatting sqref="L2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{2B7FE3C1-2481-49CE-99C6-25BD5D0B630E}</x14:id>
        </ext>
      </extLst>
    </cfRule>
  </conditionalFormatting>
  <conditionalFormatting sqref="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{E8BDC96A-820A-4424-BE4A-0D300AE4FCF3}</x14:id>
        </ext>
      </extLst>
    </cfRule>
  </conditionalFormatting>
  <conditionalFormatting sqref="Q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{3CD0F5F0-6F6D-4220-9EAA-88D19F2AF2A4}</x14:id>
        </ext>
      </extLst>
    </cfRule>
  </conditionalFormatting>
  <conditionalFormatting sqref="R2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{4BF14B2E-D4CD-4480-B7D5-C37D6C35BFCC}</x14:id>
        </ext>
      </extLst>
    </cfRule>
  </conditionalFormatting>
  <conditionalFormatting sqref="L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{FB9712F2-2A26-4D8F-88D0-5C4379CA9265}</x14:id>
        </ext>
      </extLst>
    </cfRule>
  </conditionalFormatting>
  <conditionalFormatting sqref="L2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{673C7CBA-B0BB-4E08-97E9-E16EAB9F69F3}</x14:id>
        </ext>
      </extLst>
    </cfRule>
  </conditionalFormatting>
  <conditionalFormatting sqref="O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{10886B14-885C-4392-B024-3C1338A7CBB4}</x14:id>
        </ext>
      </extLst>
    </cfRule>
  </conditionalFormatting>
  <conditionalFormatting sqref="Q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{1958AC10-EFF7-4981-8CB2-620C980EEDBD}</x14:id>
        </ext>
      </extLst>
    </cfRule>
  </conditionalFormatting>
  <conditionalFormatting sqref="R2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{B22C9F09-C8ED-49B2-99A1-477C69E6225E}</x14:id>
        </ext>
      </extLst>
    </cfRule>
  </conditionalFormatting>
  <conditionalFormatting sqref="L2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{DFD23C18-3345-4487-A4BF-72794796B48E}</x14:id>
        </ext>
      </extLst>
    </cfRule>
  </conditionalFormatting>
  <conditionalFormatting sqref="O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{DE9D5704-77B7-4449-BDAC-ED1954401D9B}</x14:id>
        </ext>
      </extLst>
    </cfRule>
  </conditionalFormatting>
  <conditionalFormatting sqref="Q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{CD1072C5-57FD-4C5E-89C3-136AFF5B355B}</x14:id>
        </ext>
      </extLst>
    </cfRule>
  </conditionalFormatting>
  <conditionalFormatting sqref="R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{11895EE0-D1C4-48CB-8F90-8040F125C337}</x14:id>
        </ext>
      </extLst>
    </cfRule>
  </conditionalFormatting>
  <conditionalFormatting sqref="L2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{396E8FD9-5711-464E-97E4-7487093E6EB9}</x14:id>
        </ext>
      </extLst>
    </cfRule>
  </conditionalFormatting>
  <conditionalFormatting sqref="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{6C4C123C-A74C-4E4E-BDF8-D32C219C6835}</x14:id>
        </ext>
      </extLst>
    </cfRule>
  </conditionalFormatting>
  <conditionalFormatting sqref="Q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{20AC0FEC-C811-4BAC-BE5A-35725CB946A1}</x14:id>
        </ext>
      </extLst>
    </cfRule>
  </conditionalFormatting>
  <conditionalFormatting sqref="R2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{F565F4C8-87C6-4675-AF18-F33817DC41BD}</x14:id>
        </ext>
      </extLst>
    </cfRule>
  </conditionalFormatting>
  <conditionalFormatting sqref="Q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{B2238A04-F75C-4EB2-9F87-48407E5AD3D8}</x14:id>
        </ext>
      </extLst>
    </cfRule>
  </conditionalFormatting>
  <conditionalFormatting sqref="Q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{03893961-F7A4-4ABC-BDA5-B6129038ED2D}</x14:id>
        </ext>
      </extLst>
    </cfRule>
  </conditionalFormatting>
  <conditionalFormatting sqref="R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{0705100D-877F-4B4D-A655-94BB98A7B353}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{4A8D5750-1059-4473-BE11-7199DAD30FCA}</x14:id>
        </ext>
      </extLst>
    </cfRule>
  </conditionalFormatting>
  <conditionalFormatting sqref="Q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{1751931A-FD5D-456E-BDA0-D20DBA98B074}</x14:id>
        </ext>
      </extLst>
    </cfRule>
  </conditionalFormatting>
  <conditionalFormatting sqref="R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{A4F25CB1-FABE-401A-8F98-3DFFC28D37A4}</x14:id>
        </ext>
      </extLst>
    </cfRule>
  </conditionalFormatting>
  <conditionalFormatting sqref="Q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{2C4A6970-DD66-4E35-B17F-9A599019248D}</x14:id>
        </ext>
      </extLst>
    </cfRule>
  </conditionalFormatting>
  <conditionalFormatting sqref="R2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{ECBA56F1-99B9-480E-AADF-C0A6DFB4B93B}</x14:id>
        </ext>
      </extLst>
    </cfRule>
  </conditionalFormatting>
  <conditionalFormatting sqref="Q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{9C7453D3-246E-4AD6-BE8B-F8246C6F6A13}</x14:id>
        </ext>
      </extLst>
    </cfRule>
  </conditionalFormatting>
  <conditionalFormatting sqref="R2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{D2E812ED-7957-4848-A062-2891F8C90EFB}</x14:id>
        </ext>
      </extLst>
    </cfRule>
  </conditionalFormatting>
  <conditionalFormatting sqref="R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{BCE894E1-DBDE-4B54-B05E-0C43CBC9D4F3}</x14:id>
        </ext>
      </extLst>
    </cfRule>
  </conditionalFormatting>
  <conditionalFormatting sqref="O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{FC5F03A4-5CF4-457E-89A4-5E33403762A5}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{BC09A4A4-9502-46E9-9917-C87C5C0F149A}</x14:id>
        </ext>
      </extLst>
    </cfRule>
  </conditionalFormatting>
  <conditionalFormatting sqref="O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{D4921016-E0D0-49B3-9197-D806F745ED2A}</x14:id>
        </ext>
      </extLst>
    </cfRule>
  </conditionalFormatting>
  <conditionalFormatting sqref="O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{2D3F197F-F331-41F8-8161-1A7E7981F54E}</x14:id>
        </ext>
      </extLst>
    </cfRule>
  </conditionalFormatting>
  <conditionalFormatting sqref="L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{34079168-B33C-4B9D-8405-CA101DA1B10D}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{B4E2F5C0-EF56-4051-83B7-BFD5F20EDA6A}</x14:id>
        </ext>
      </extLst>
    </cfRule>
  </conditionalFormatting>
  <conditionalFormatting sqref="L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{078B7F84-50B7-42F3-81DC-8F50AEB85BA7}</x14:id>
        </ext>
      </extLst>
    </cfRule>
  </conditionalFormatting>
  <conditionalFormatting sqref="L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{4510BD96-6164-49DF-A193-899F1735CA3C}</x14:id>
        </ext>
      </extLst>
    </cfRule>
  </conditionalFormatting>
  <conditionalFormatting sqref="O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{1F0DD622-9E15-4362-9998-E9CDE3224E7F}</x14:id>
        </ext>
      </extLst>
    </cfRule>
  </conditionalFormatting>
  <conditionalFormatting sqref="Q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{C8887EE1-F842-4918-B259-96CCC32637C3}</x14:id>
        </ext>
      </extLst>
    </cfRule>
  </conditionalFormatting>
  <conditionalFormatting sqref="R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{E80ABFF3-DCF5-488C-9990-4EF5E17829FA}</x14:id>
        </ext>
      </extLst>
    </cfRule>
  </conditionalFormatting>
  <conditionalFormatting sqref="L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{9A2F79F0-57FD-41F0-BA87-BB736C41577C}</x14:id>
        </ext>
      </extLst>
    </cfRule>
  </conditionalFormatting>
  <conditionalFormatting sqref="L2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{6C1F401A-7487-4166-87B2-D1BC71BDC07C}</x14:id>
        </ext>
      </extLst>
    </cfRule>
  </conditionalFormatting>
  <conditionalFormatting sqref="O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{45BA432C-119E-4698-B9BC-EA68FBEECD76}</x14:id>
        </ext>
      </extLst>
    </cfRule>
  </conditionalFormatting>
  <conditionalFormatting sqref="Q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{4A5768A9-0EA3-4387-A61D-E0159417DF15}</x14:id>
        </ext>
      </extLst>
    </cfRule>
  </conditionalFormatting>
  <conditionalFormatting sqref="R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{F4F2B881-179F-46B9-BB3A-20D0737FB6AE}</x14:id>
        </ext>
      </extLst>
    </cfRule>
  </conditionalFormatting>
  <conditionalFormatting sqref="L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{ABA8EB5A-E4C0-408A-9D3F-6A74107C13F0}</x14:id>
        </ext>
      </extLst>
    </cfRule>
  </conditionalFormatting>
  <conditionalFormatting sqref="O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{830E5FD1-C281-4B0B-9372-A52AE8F0D48B}</x14:id>
        </ext>
      </extLst>
    </cfRule>
  </conditionalFormatting>
  <conditionalFormatting sqref="Q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{1944D2A9-98EB-4DFB-B6B8-E834BF5BA17F}</x14:id>
        </ext>
      </extLst>
    </cfRule>
  </conditionalFormatting>
  <conditionalFormatting sqref="R2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{ED31CE48-38C4-4F8B-B20E-4C1A1B3E6B00}</x14:id>
        </ext>
      </extLst>
    </cfRule>
  </conditionalFormatting>
  <conditionalFormatting sqref="L2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{1C30D9C5-A204-4E89-82F3-145DE75F47C3}</x14:id>
        </ext>
      </extLst>
    </cfRule>
  </conditionalFormatting>
  <conditionalFormatting sqref="O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{17229395-44A3-44D0-BA30-D5C8FF7A74F2}</x14:id>
        </ext>
      </extLst>
    </cfRule>
  </conditionalFormatting>
  <conditionalFormatting sqref="Q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{4D7CEEAA-8AD3-4135-9584-F5F7175CE688}</x14:id>
        </ext>
      </extLst>
    </cfRule>
  </conditionalFormatting>
  <conditionalFormatting sqref="R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{E463EB4E-3CFB-4E54-BC8C-6B23DE785090}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AI8:AI22 AI26:AI28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AJ8:AJ22 AJ26:AJ28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AK8:AK22 AK26:AK28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AK29:AK30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0BFB5212-62BA-4798-AD1E-605A4750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64C68B99-61AA-475A-9764-6F2D737B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AJ23</xm:sqref>
        </x14:conditionalFormatting>
        <x14:conditionalFormatting xmlns:xm="http://schemas.microsoft.com/office/excel/2006/main">
          <x14:cfRule type="dataBar" id="{5147D9E6-4A40-48E7-AB77-4EDAA1507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AK23</xm:sqref>
        </x14:conditionalFormatting>
        <x14:conditionalFormatting xmlns:xm="http://schemas.microsoft.com/office/excel/2006/main">
          <x14:cfRule type="dataBar" id="{7D8BBA9E-F171-4DD5-AF3B-8101E3E1D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9D0EFC5-13B7-4AF6-ABA7-5554B79D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221520-5B6B-4E5C-92DA-FACFFDF62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BF5252-9091-4589-B193-8446B16E4C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86FB26F-788A-4A0F-AB13-BA969439B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7660CB9-8E5B-4CA8-97EF-E6164854E7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FF387F6-D2EE-4B8C-9311-B6D4ED138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520BF7-758E-4C21-8FC2-A055C845CF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9F42703-7336-4B7B-9155-695FB0965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ED27FB-4CAC-477B-9FF0-9E471D017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5AA132B-388A-4EA9-94C9-42CBAC619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08E1A8C-B8E6-403A-A98A-99A82C52E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6A6DA-251B-4A00-92DE-BA97BCA6C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A72B192-E4AF-4184-A95E-43DBE8731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6843159-F33B-45E5-8443-C1ADEB4D8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EA53987-8726-432B-9EB3-5F49F5D20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78A47B-0A1A-4DD5-91A9-17B098DF6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A50B1A3-D288-4152-80E9-A33ACE03C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4C3601C-463E-447F-9F23-A83B8E3B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CC1AE9D-058E-4908-9298-0554B8378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44C350D-600D-4B82-AD92-66C9138DD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547FA6A-D261-44A7-A65C-6EE2FE8BB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E6E0CE-5DBB-442E-BB03-0A66E6471F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139F5C8-D528-4F07-8B1A-1B4BCEF4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11CB73E-2563-4A73-B115-708A159A4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1181E68-4302-4441-9B1A-BF7C233B0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2F618D2-76E0-4A3C-80E9-A2AD8E8D2F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96119F1-BAEB-47D8-8990-BD0224C76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B66B336-2EB4-4707-BEA4-04B4CB434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D28A23D-8DD5-411C-8612-25D93AFFFE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BDD8EB-E676-46A1-9028-1A58B72D22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47B5134C-CAEE-4703-A5D5-818CE6C3A7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671B56B-1E64-43CE-9D16-1B22D8486D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FC6065A-CC77-489D-A478-04A2DAD3E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5045251-8E6F-4D1B-B80F-E2ED2EA04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EE19B58-E81D-4F1B-8D81-2082DB4F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3081972-5F17-4D4F-9090-B12DB7943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57EDAE7-2577-458E-AF78-6C6DABFBE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B369BE-6C81-4FB4-B947-BDA6D98017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160E28F-9313-4F3F-BA4C-5E353821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1466655-E7E2-4D45-958A-DE7B0E966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F0ACDDF-F4BD-4C20-B96F-43102BCE5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A2A8517-C34D-42FA-BBC4-971B3CB59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EA2CE2-04BA-40F1-9EA8-5C889D09BF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AE03CC-91D3-4705-BD7B-3C9C24C46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3707026-DEBB-40DD-9801-F8A2DADB3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2562AB0-6595-4EF2-AE8B-B8F23C6B7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4EED4A-9355-4879-8002-039A53FE9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D616874-3D00-441C-9BAA-A191BBDA4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C21AB18-8E91-4836-B31F-4951889D4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FFF2B0-13BF-4327-9881-35FA6CEE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A327CE-8627-461B-B469-2FBA40055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B9227EF-3CFB-4204-AF8A-50CFCA36B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04DDEAA-94B7-4E3D-B476-22F702A17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13F619C-0FDB-452D-BF50-DC414FF47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A25FD7-B9B7-4ECC-9179-4B1B58590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CA43ADA-9535-47D4-B348-4872A20EAC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E1353BF-C5E2-4DCA-8616-6D94524D9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6EA5025-BD41-499B-AF12-3B1E476A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9F7D2BB-A1FC-4A80-9D6A-9CE14F6D6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8345E6A-244B-4FC2-832D-B9B941FCB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671C52-A071-4160-9635-2C9CFA7D6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A128A8B-3D6E-42FA-B927-1175027450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93AE7DA-8D1D-4DD5-884F-4B9E2C6EE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9D4D4C0-1B5E-4660-86A9-235594E44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105108A-AFC7-45E9-A2C8-2BF0A4FA0E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19B2F92-9CCE-49FD-8379-34800D6E2A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C51EE0D-8297-4ED4-83EE-3529EF9AC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4AF2731-CE37-4779-A234-2DB2F9A71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A906E3D-181B-447C-A688-5DC89257A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6E96AFA-2D58-4E58-B704-3AE1365EA0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61F4B2A5-BB19-44D4-AC51-046F82E2C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AJ24</xm:sqref>
        </x14:conditionalFormatting>
        <x14:conditionalFormatting xmlns:xm="http://schemas.microsoft.com/office/excel/2006/main">
          <x14:cfRule type="dataBar" id="{5645AD68-D066-4A65-A495-74D8CD264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AK24</xm:sqref>
        </x14:conditionalFormatting>
        <x14:conditionalFormatting xmlns:xm="http://schemas.microsoft.com/office/excel/2006/main">
          <x14:cfRule type="dataBar" id="{804D8F15-AF85-4855-BD48-5A11A0DF8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6162B53-D1B1-4E9C-B873-A5B69B159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59AFE-8EE9-4FD6-A934-EFA34FA22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2CA243-46C7-4680-A0BC-1AC6D5AD83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87B441B-1D9B-4A54-AC7F-E538A02DC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820BF0-066C-4290-8896-4ACFE1E528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6D87322-9860-4EBD-B693-A6F23F06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6EAECF2-2DCD-46CC-A710-EB4AE3A332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E0FAE1-0B76-46C4-B2AA-C785EB8D0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880BC59-61AB-4BE5-8A35-D48EB41468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1A58DB-E2F7-4C5A-865B-3F548F9E82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16D1BACA-0573-4EFB-9E0D-98A99F6C4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E9FDB-CBE1-4D53-A321-9A13BE2F7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0473F9A-ABBE-4542-BA33-2ECAE317C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AD93CA0-9FBE-452C-B5CA-B81DF5FE2A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4B73E7F-E73A-490C-B8F3-C0B700676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0798D1-DAB4-4BA2-B07D-35EFA2640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ABF148F-A1AE-4028-9964-BFC6DB3EF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500F135-A7DB-43EA-83CE-36F1F8594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2042645-8D33-4ADF-B04D-385D22FB5E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88E7E36-19BB-4757-B23C-606FC6655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102192F-B3E2-41C5-B764-81593C45E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558E390-6A48-4132-9073-65831B45A2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FF8ACFD-729B-4BE2-9D78-05AB0771D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1117D56-9175-44C0-9C78-BEAFF51D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EE963FC-822F-4166-8C07-910F23FF2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57444C2-5F38-47FD-A4B8-9A9F3BD66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406ECF7-38B8-40EF-8929-3849B0D20C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0C48AF8-D601-4CC0-BC90-BF9396224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259126-3133-4061-B886-583FC474F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C5C636A-B721-41D8-836F-B3AC72982E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AC7DA02-E43B-4935-BE95-93883FDECA1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29E297B-765F-451A-AB1E-BC6DC677B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590933-1F5B-4572-A7DF-8537D7791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7DC25C2-45AB-4932-A804-8F5839A0C3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3615FCB-E95E-4806-A03E-A1A142855C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F079B8-7DBC-4D64-870D-12CF715BDD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8E3EB62-1E75-4841-983F-3EB204EDD8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54EBBD-EA90-40D7-8F62-B29BE77417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7FD754D-4350-4805-8A7C-7F3EA1F5DA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28A9854-AC9F-4DEC-8181-FFDEEB2A06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059A0B4-B645-49CA-A15A-AE16D66415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04A6B2C-5121-4ABE-B494-BC94394B4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B1E998A-1323-453F-9C9A-7BC5D7014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989B5-B790-4FA8-8D8D-50EF1502A6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89E550A-4E6D-4D11-AC53-555C801633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E414640-EF2E-4AB1-B280-0A4339939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0F308A-4602-4985-B9C6-87631D394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C77DB8C-E3BD-4D77-B694-70024D6C9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E497435-E544-4B35-9A16-9AD27823B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0A61623-1809-4BC8-93D7-9B001F217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6CFB50-4516-4D86-BE9C-EFB04BFFF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71614F6-CC91-4F93-983D-B3871CFB18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BBB9CC1-8F83-41FE-92B3-EDD409A9D6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6B7F09B-F84B-490C-80E1-4CC737795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3054880-24CD-4B36-B857-4635F7999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67E2EAE-EEC6-4574-B5B8-3D281EED9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7794CEB-08EE-46F6-B9BA-F8F8B4930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C3852EA-14F1-48C1-83C1-2CE5DE5E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B56CC6-567B-412F-980A-B7BE8481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CBB31E6-8051-4664-8A08-B4822F617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A22A2C5-70EE-45C2-87BD-98666B7C0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33D4B81-AEE8-4E42-909E-ED08701D8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EE66ABB-C5DC-484D-BA02-3A3CF5ADF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AA450B3-7B3D-471E-B304-4599882D2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BC45D29-4C77-481E-8122-E28E023FCE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2F0995C-4143-4813-962D-8A4888E6D0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6652FF-1940-4D5C-82AE-6047F0B57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4DCAD1C-08A3-4538-BE4E-3E8A7A7F6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F9B004-2457-4DD8-A6CD-F34A153725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DE6474-C7B9-42D2-B476-F33A8E77E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AI25</xm:sqref>
        </x14:conditionalFormatting>
        <x14:conditionalFormatting xmlns:xm="http://schemas.microsoft.com/office/excel/2006/main">
          <x14:cfRule type="dataBar" id="{F48E3F6C-4BA3-4B41-8F45-58DB040D7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</xm:sqref>
        </x14:conditionalFormatting>
        <x14:conditionalFormatting xmlns:xm="http://schemas.microsoft.com/office/excel/2006/main">
          <x14:cfRule type="dataBar" id="{57181471-0515-4F7B-A1CE-2E0A468F0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AK25</xm:sqref>
        </x14:conditionalFormatting>
        <x14:conditionalFormatting xmlns:xm="http://schemas.microsoft.com/office/excel/2006/main">
          <x14:cfRule type="dataBar" id="{1492E533-A82F-4D22-949C-7B0FAC83D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C4A1D51F-0C9D-4714-BEB9-992096FE4F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A9E2F7B-2FB6-4B7B-8A97-DB4493AAC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79335E-5B59-4D7E-B2C1-CEF597EC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83886E9-AA5A-4AC9-89BD-216DE53EC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F7B6EC6-64E8-4F4E-A207-9941D836B3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31AD4EC-A1B3-4F68-93B1-27291FAC6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251869-8A7B-4867-B8D4-2A38D89BED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4ED25E9B-0408-42D8-8A36-250D31415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6FD8160-2DE6-4EA8-B939-C6501F00D5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AD86AC7-8D22-4A8E-A3B2-0BBB1DBE19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8453C8D-0352-4BB8-9DA7-BA6CC1FD8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693EDA-15BE-45CF-A289-471A04A17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1434354-081C-4319-BFA8-49A311DED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1A12042-27A2-41E2-BB35-6FD5E5182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8F29564F-4C48-4BCE-9C6D-54946A914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EE7A9B-053F-4D09-91BA-D961BD414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9AFD27-C4DA-4429-B619-A71D9C6F33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2B7FE3C1-2481-49CE-99C6-25BD5D0B6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BDC96A-820A-4424-BE4A-0D300AE4F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CD0F5F0-6F6D-4220-9EAA-88D19F2A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BF14B2E-D4CD-4480-B7D5-C37D6C35BF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B9712F2-2A26-4D8F-88D0-5C4379CA92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73C7CBA-B0BB-4E08-97E9-E16EAB9F6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0886B14-885C-4392-B024-3C1338A7C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58AC10-EFF7-4981-8CB2-620C980EE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22C9F09-C8ED-49B2-99A1-477C69E622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FD23C18-3345-4487-A4BF-72794796B48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E9D5704-77B7-4449-BDAC-ED1954401D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D1072C5-57FD-4C5E-89C3-136AFF5B3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11895EE0-D1C4-48CB-8F90-8040F125C3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96E8FD9-5711-464E-97E4-7487093E6E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4C123C-A74C-4E4E-BDF8-D32C219C6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0AC0FEC-C811-4BAC-BE5A-35725CB94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565F4C8-87C6-4675-AF18-F33817DC41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2238A04-F75C-4EB2-9F87-48407E5AD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3893961-F7A4-4ABC-BDA5-B6129038ED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705100D-877F-4B4D-A655-94BB98A7B3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A8D5750-1059-4473-BE11-7199DAD30F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751931A-FD5D-456E-BDA0-D20DBA98B0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4F25CB1-FABE-401A-8F98-3DFFC28D3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C4A6970-DD66-4E35-B17F-9A5990192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CBA56F1-99B9-480E-AADF-C0A6DFB4B9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C7453D3-246E-4AD6-BE8B-F8246C6F6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2E812ED-7957-4848-A062-2891F8C90E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CE894E1-DBDE-4B54-B05E-0C43CBC9D4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C5F03A4-5CF4-457E-89A4-5E33403762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09A4A4-9502-46E9-9917-C87C5C0F14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4921016-E0D0-49B3-9197-D806F745E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D3F197F-F331-41F8-8161-1A7E7981F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4079168-B33C-4B9D-8405-CA101DA1B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E2F5C0-EF56-4051-83B7-BFD5F20EDA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78B7F84-50B7-42F3-81DC-8F50AEB85B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10BD96-6164-49DF-A193-899F1735C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F0DD622-9E15-4362-9998-E9CDE3224E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8887EE1-F842-4918-B259-96CCC3263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80ABFF3-DCF5-488C-9990-4EF5E17829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A2F79F0-57FD-41F0-BA87-BB736C4157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1F401A-7487-4166-87B2-D1BC71BDC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BA432C-119E-4698-B9BC-EA68FBEEC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A5768A9-0EA3-4387-A61D-E0159417D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4F2B881-179F-46B9-BB3A-20D0737FB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A8EB5A-E4C0-408A-9D3F-6A74107C13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30E5FD1-C281-4B0B-9372-A52AE8F0D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44D2A9-98EB-4DFB-B6B8-E834BF5BA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D31CE48-38C4-4F8B-B20E-4C1A1B3E6B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C30D9C5-A204-4E89-82F3-145DE75F47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7229395-44A3-44D0-BA30-D5C8FF7A7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7CEEAA-8AD3-4135-9584-F5F7175CE6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463EB4E-3CFB-4E54-BC8C-6B23DE7850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sheetPr codeName="Лист3"/>
  <dimension ref="A1:AK49"/>
  <sheetViews>
    <sheetView zoomScale="50" zoomScaleNormal="5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N19" sqref="N19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7" customFormat="1" ht="26" customHeight="1">
      <c r="B2" s="565" t="s">
        <v>11</v>
      </c>
      <c r="C2" s="566"/>
      <c r="D2" s="566"/>
      <c r="E2" s="567" t="s">
        <v>12</v>
      </c>
      <c r="F2" s="569" t="s">
        <v>13</v>
      </c>
      <c r="G2" s="571" t="s">
        <v>14</v>
      </c>
      <c r="H2" s="572"/>
      <c r="I2" s="573"/>
      <c r="J2" s="574" t="s">
        <v>15</v>
      </c>
      <c r="K2" s="574"/>
      <c r="L2" s="574"/>
      <c r="M2" s="564" t="s">
        <v>16</v>
      </c>
      <c r="N2" s="564"/>
      <c r="O2" s="564"/>
      <c r="P2" s="560" t="s">
        <v>17</v>
      </c>
      <c r="Q2" s="550" t="s">
        <v>18</v>
      </c>
      <c r="R2" s="550" t="s">
        <v>19</v>
      </c>
      <c r="S2" s="550" t="s">
        <v>20</v>
      </c>
      <c r="T2" s="550" t="s">
        <v>21</v>
      </c>
      <c r="U2" s="550" t="s">
        <v>22</v>
      </c>
      <c r="V2" s="550" t="s">
        <v>23</v>
      </c>
      <c r="W2" s="550" t="s">
        <v>24</v>
      </c>
      <c r="X2" s="560" t="s">
        <v>25</v>
      </c>
      <c r="Y2" s="558" t="s">
        <v>352</v>
      </c>
      <c r="Z2" s="562" t="s">
        <v>26</v>
      </c>
      <c r="AA2" s="558" t="s">
        <v>319</v>
      </c>
      <c r="AB2" s="558" t="s">
        <v>320</v>
      </c>
      <c r="AC2" s="550" t="s">
        <v>27</v>
      </c>
      <c r="AD2" s="550" t="s">
        <v>28</v>
      </c>
      <c r="AE2" s="552" t="s">
        <v>111</v>
      </c>
      <c r="AF2" s="554" t="s">
        <v>112</v>
      </c>
      <c r="AG2" s="556" t="s">
        <v>30</v>
      </c>
      <c r="AH2" s="549" t="s">
        <v>31</v>
      </c>
      <c r="AI2" s="546" t="s">
        <v>32</v>
      </c>
      <c r="AJ2" s="546" t="s">
        <v>33</v>
      </c>
      <c r="AK2" s="546" t="s">
        <v>34</v>
      </c>
    </row>
    <row r="3" spans="1:37" s="7" customFormat="1" ht="24" customHeight="1" thickBot="1">
      <c r="B3" s="9" t="s">
        <v>35</v>
      </c>
      <c r="C3" s="10" t="s">
        <v>5</v>
      </c>
      <c r="D3" s="11" t="s">
        <v>36</v>
      </c>
      <c r="E3" s="568"/>
      <c r="F3" s="570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61"/>
      <c r="Q3" s="551"/>
      <c r="R3" s="551"/>
      <c r="S3" s="551"/>
      <c r="T3" s="551"/>
      <c r="U3" s="551"/>
      <c r="V3" s="551"/>
      <c r="W3" s="551"/>
      <c r="X3" s="561"/>
      <c r="Y3" s="559"/>
      <c r="Z3" s="563"/>
      <c r="AA3" s="559"/>
      <c r="AB3" s="559"/>
      <c r="AC3" s="551"/>
      <c r="AD3" s="551"/>
      <c r="AE3" s="553"/>
      <c r="AF3" s="555"/>
      <c r="AG3" s="557"/>
      <c r="AH3" s="549"/>
      <c r="AI3" s="546"/>
      <c r="AJ3" s="546"/>
      <c r="AK3" s="546"/>
    </row>
    <row r="4" spans="1:37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/>
      <c r="Z4" s="21">
        <f>ДЕКАБРЬ!AK100</f>
        <v>0</v>
      </c>
      <c r="AA4" s="21"/>
      <c r="AB4" s="21"/>
      <c r="AC4" s="327">
        <f>ДЕКАБРЬ!AN100</f>
        <v>6067.2400000000016</v>
      </c>
      <c r="AD4" s="21"/>
      <c r="AE4" s="335">
        <f t="shared" ref="AE4:AE16" si="3">O4-SUM(P4:Z4)+AD4</f>
        <v>47072.847755231953</v>
      </c>
      <c r="AF4" s="28">
        <f t="shared" ref="AF4:AF10" si="4">O4-SUM(P4:AC4)+AD4</f>
        <v>41005.607755231948</v>
      </c>
      <c r="AG4" s="547">
        <f>SUM(AF4:AF5)</f>
        <v>41005.319999999992</v>
      </c>
      <c r="AH4" s="342">
        <f t="shared" ref="AH4" si="5">P4/O4</f>
        <v>0.11595112454434039</v>
      </c>
      <c r="AI4" s="342">
        <f t="shared" ref="AI4" si="6">AF4/P4</f>
        <v>2.690577230674418</v>
      </c>
      <c r="AJ4" s="342">
        <f t="shared" ref="AJ4" si="7">AF4/O4</f>
        <v>0.31197545557009593</v>
      </c>
      <c r="AK4" s="342">
        <f t="shared" ref="AK4" si="8">(W4+X4+Z4)/O4</f>
        <v>0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IFERROR(O5-SUM(Q5:W5)+AD5,0)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/>
      <c r="Z5" s="196">
        <f>ДЕКАБРЬ!AK108</f>
        <v>0</v>
      </c>
      <c r="AA5" s="196"/>
      <c r="AB5" s="196"/>
      <c r="AC5" s="328">
        <f>ДЕКАБРЬ!AN108</f>
        <v>0</v>
      </c>
      <c r="AD5" s="196"/>
      <c r="AE5" s="336">
        <f t="shared" si="3"/>
        <v>-0.28775523195671199</v>
      </c>
      <c r="AF5" s="281">
        <f t="shared" si="4"/>
        <v>-0.28775523195671199</v>
      </c>
      <c r="AG5" s="548"/>
      <c r="AH5" s="342" t="e">
        <f t="shared" ref="AH5:AH20" si="12">P5/O5</f>
        <v>#DIV/0!</v>
      </c>
      <c r="AI5" s="342" t="e">
        <f t="shared" ref="AI5:AI20" si="13">AF5/P5</f>
        <v>#DIV/0!</v>
      </c>
      <c r="AJ5" s="342" t="e">
        <f t="shared" ref="AJ5:AJ20" si="14">AF5/O5</f>
        <v>#DIV/0!</v>
      </c>
      <c r="AK5" s="342" t="e">
        <f t="shared" ref="AK5:AK20" si="15">(W5+X5+Z5)/O5</f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17"/>
      <c r="Z6" s="21">
        <f>ЯНВАРЬ!AK100</f>
        <v>0</v>
      </c>
      <c r="AA6" s="21"/>
      <c r="AB6" s="21"/>
      <c r="AC6" s="327">
        <f>ЯНВАРЬ!AN100</f>
        <v>95827.420000000071</v>
      </c>
      <c r="AD6" s="21"/>
      <c r="AE6" s="335">
        <f t="shared" si="3"/>
        <v>258355.21970398421</v>
      </c>
      <c r="AF6" s="28">
        <f>O6-SUM(P6:AC6)+AD6</f>
        <v>162527.79970398406</v>
      </c>
      <c r="AG6" s="543">
        <f>SUM(AF6:AF8)</f>
        <v>162168.40999999744</v>
      </c>
      <c r="AH6" s="342">
        <f t="shared" si="12"/>
        <v>0.13045294138990518</v>
      </c>
      <c r="AI6" s="342">
        <f t="shared" si="13"/>
        <v>0.5549360293944372</v>
      </c>
      <c r="AJ6" s="342">
        <f t="shared" si="14"/>
        <v>7.2393037317739217E-2</v>
      </c>
      <c r="AK6" s="342">
        <f t="shared" si="15"/>
        <v>0.23069741339868466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/>
      <c r="Z7" s="21">
        <f>ЯНВАРЬ!AK108</f>
        <v>0</v>
      </c>
      <c r="AA7" s="21"/>
      <c r="AB7" s="21"/>
      <c r="AC7" s="327">
        <f>ЯНВАРЬ!AN108</f>
        <v>0</v>
      </c>
      <c r="AD7" s="21"/>
      <c r="AE7" s="335">
        <f t="shared" si="3"/>
        <v>-186.42970398663167</v>
      </c>
      <c r="AF7" s="28">
        <f t="shared" si="4"/>
        <v>-186.42970398663167</v>
      </c>
      <c r="AG7" s="544"/>
      <c r="AH7" s="342" t="e">
        <f t="shared" ref="AH7" si="16">P7/O7</f>
        <v>#DIV/0!</v>
      </c>
      <c r="AI7" s="342" t="e">
        <f t="shared" ref="AI7" si="17">AF7/P7</f>
        <v>#DIV/0!</v>
      </c>
      <c r="AJ7" s="342" t="e">
        <f t="shared" ref="AJ7" si="18">AF7/O7</f>
        <v>#DIV/0!</v>
      </c>
      <c r="AK7" s="342" t="e">
        <f t="shared" ref="AK7" si="19">(W7+X7+Z7)/O7</f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IFERROR(O8-SUM(Q8:W8)+AD8,0)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/>
      <c r="Z8" s="196">
        <f>ЯНВАРЬ!AK119</f>
        <v>0</v>
      </c>
      <c r="AA8" s="196"/>
      <c r="AB8" s="196"/>
      <c r="AC8" s="328">
        <f>ЯНВАРЬ!AN119</f>
        <v>0</v>
      </c>
      <c r="AD8" s="196"/>
      <c r="AE8" s="336">
        <f t="shared" si="3"/>
        <v>-172.96</v>
      </c>
      <c r="AF8" s="281">
        <f t="shared" si="4"/>
        <v>-172.96</v>
      </c>
      <c r="AG8" s="545"/>
      <c r="AH8" s="342" t="e">
        <f t="shared" si="12"/>
        <v>#DIV/0!</v>
      </c>
      <c r="AI8" s="342" t="e">
        <f t="shared" si="13"/>
        <v>#DIV/0!</v>
      </c>
      <c r="AJ8" s="342" t="e">
        <f t="shared" si="14"/>
        <v>#DIV/0!</v>
      </c>
      <c r="AK8" s="342" t="e">
        <f t="shared" si="15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IFERROR(O9-SUM(Q9:W9)+AD9,0)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17"/>
      <c r="Z9" s="21">
        <f>'Юнит 6'!AK105</f>
        <v>0</v>
      </c>
      <c r="AA9" s="21"/>
      <c r="AB9" s="21"/>
      <c r="AC9" s="327">
        <f t="shared" ref="AC9:AC16" si="24">304652.46*O9/SUM(O$9:O$16)</f>
        <v>47907.536348662004</v>
      </c>
      <c r="AD9" s="21"/>
      <c r="AE9" s="335">
        <f t="shared" si="3"/>
        <v>237293.80000000005</v>
      </c>
      <c r="AF9" s="28">
        <f t="shared" si="4"/>
        <v>189386.26365133794</v>
      </c>
      <c r="AG9" s="543">
        <f>SUM(AF9:AF16)</f>
        <v>1876556.1799999983</v>
      </c>
      <c r="AH9" s="342">
        <f t="shared" si="12"/>
        <v>0.13166152380578433</v>
      </c>
      <c r="AI9" s="342">
        <f t="shared" si="13"/>
        <v>1.0795091265968897</v>
      </c>
      <c r="AJ9" s="342">
        <f t="shared" si="14"/>
        <v>0.14212981656999787</v>
      </c>
      <c r="AK9" s="342">
        <f t="shared" si="15"/>
        <v>0.17869355243385626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5">IFERROR(O10-SUM(Q10:W10)+AD10,0)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17"/>
      <c r="Z10" s="21">
        <f>'Юнит 6'!AK113</f>
        <v>0</v>
      </c>
      <c r="AA10" s="21"/>
      <c r="AB10" s="21"/>
      <c r="AC10" s="327">
        <f t="shared" si="24"/>
        <v>0</v>
      </c>
      <c r="AD10" s="21"/>
      <c r="AE10" s="335">
        <f t="shared" si="3"/>
        <v>0</v>
      </c>
      <c r="AF10" s="28">
        <f t="shared" si="4"/>
        <v>0</v>
      </c>
      <c r="AG10" s="544"/>
      <c r="AH10" s="342" t="e">
        <f t="shared" ref="AH10" si="26">P10/O10</f>
        <v>#DIV/0!</v>
      </c>
      <c r="AI10" s="342" t="e">
        <f t="shared" ref="AI10" si="27">AF10/P10</f>
        <v>#DIV/0!</v>
      </c>
      <c r="AJ10" s="342" t="e">
        <f t="shared" ref="AJ10" si="28">AF10/O10</f>
        <v>#DIV/0!</v>
      </c>
      <c r="AK10" s="342" t="e">
        <f t="shared" ref="AK10" si="29">(W10+X10+Z10)/O10</f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IFERROR(O11-SUM(Q11:W11)+AD11,0)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17"/>
      <c r="Z11" s="21">
        <f>'Юнит 7'!AK105</f>
        <v>0</v>
      </c>
      <c r="AA11" s="21"/>
      <c r="AB11" s="21"/>
      <c r="AC11" s="327">
        <f t="shared" si="24"/>
        <v>67558.91061139392</v>
      </c>
      <c r="AD11" s="21"/>
      <c r="AE11" s="335">
        <f t="shared" si="3"/>
        <v>442451.89000000036</v>
      </c>
      <c r="AF11" s="28">
        <f t="shared" ref="AF11" si="33">O11-SUM(P11:AC11)+AD11</f>
        <v>374892.9793886065</v>
      </c>
      <c r="AG11" s="544"/>
      <c r="AH11" s="342">
        <f t="shared" si="12"/>
        <v>0.12260071518502115</v>
      </c>
      <c r="AI11" s="342">
        <f t="shared" si="13"/>
        <v>1.6273172315269406</v>
      </c>
      <c r="AJ11" s="342">
        <f t="shared" si="14"/>
        <v>0.19951025641811157</v>
      </c>
      <c r="AK11" s="342">
        <f t="shared" si="15"/>
        <v>0.15127247778710512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IFERROR(O12-SUM(Q12:W12)+AD12,0)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17"/>
      <c r="Z12" s="21">
        <f>'Юнит 7'!AK113</f>
        <v>0</v>
      </c>
      <c r="AA12" s="21"/>
      <c r="AB12" s="21"/>
      <c r="AC12" s="327">
        <f t="shared" si="24"/>
        <v>74.747220274138272</v>
      </c>
      <c r="AD12" s="21"/>
      <c r="AE12" s="335">
        <f t="shared" si="3"/>
        <v>612.3900000000001</v>
      </c>
      <c r="AF12" s="28">
        <f t="shared" ref="AF12" si="37">O12-SUM(P12:AC12)+AD12</f>
        <v>537.64277972586183</v>
      </c>
      <c r="AG12" s="544"/>
      <c r="AH12" s="342">
        <f t="shared" ref="AH12" si="38">P12/O12</f>
        <v>0.27858585858585855</v>
      </c>
      <c r="AI12" s="342">
        <f t="shared" ref="AI12" si="39">AF12/P12</f>
        <v>0.92828270956500891</v>
      </c>
      <c r="AJ12" s="342">
        <f t="shared" ref="AJ12" si="40">AF12/O12</f>
        <v>0.2586064356545752</v>
      </c>
      <c r="AK12" s="342">
        <f t="shared" ref="AK12" si="41">(W12+X12+Z12)/O12</f>
        <v>0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IFERROR(O13-SUM(Q13:W13)+AD13,0)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17"/>
      <c r="Z13" s="21">
        <f>'Юнит 8'!AK$105</f>
        <v>0</v>
      </c>
      <c r="AA13" s="21"/>
      <c r="AB13" s="21"/>
      <c r="AC13" s="327">
        <f t="shared" si="24"/>
        <v>88244.562053198708</v>
      </c>
      <c r="AD13" s="21"/>
      <c r="AE13" s="335">
        <f t="shared" si="3"/>
        <v>659282.33724685642</v>
      </c>
      <c r="AF13" s="28">
        <f t="shared" ref="AF13" si="45">O13-SUM(P13:AC13)+AD13</f>
        <v>571037.77519365773</v>
      </c>
      <c r="AG13" s="544"/>
      <c r="AH13" s="342">
        <f t="shared" si="12"/>
        <v>0.1142753847806131</v>
      </c>
      <c r="AI13" s="342">
        <f t="shared" si="13"/>
        <v>2.0359389519474869</v>
      </c>
      <c r="AJ13" s="342">
        <f t="shared" si="14"/>
        <v>0.2326577071236372</v>
      </c>
      <c r="AK13" s="342">
        <f t="shared" si="15"/>
        <v>0.12881743225137954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IFERROR(O14-SUM(Q14:W14)+AD14,0)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17"/>
      <c r="Z14" s="21">
        <f>'Юнит 8'!AK113</f>
        <v>0</v>
      </c>
      <c r="AA14" s="21"/>
      <c r="AB14" s="21"/>
      <c r="AC14" s="327">
        <f t="shared" si="24"/>
        <v>0</v>
      </c>
      <c r="AD14" s="21"/>
      <c r="AE14" s="335">
        <f t="shared" si="3"/>
        <v>-0.86724685771744603</v>
      </c>
      <c r="AF14" s="28">
        <f t="shared" ref="AF14:AF16" si="49">O14-SUM(P14:AC14)+AD14</f>
        <v>-0.86724685771744603</v>
      </c>
      <c r="AG14" s="544"/>
      <c r="AH14" s="342" t="e">
        <f t="shared" ref="AH14" si="50">P14/O14</f>
        <v>#DIV/0!</v>
      </c>
      <c r="AI14" s="342" t="e">
        <f t="shared" ref="AI14" si="51">AF14/P14</f>
        <v>#DIV/0!</v>
      </c>
      <c r="AJ14" s="342" t="e">
        <f t="shared" ref="AJ14" si="52">AF14/O14</f>
        <v>#DIV/0!</v>
      </c>
      <c r="AK14" s="342" t="e">
        <f t="shared" ref="AK14" si="53">(W14+X14+Z14)/O14</f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IFERROR(O15-SUM(Q15:W15)+AD15,0)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17"/>
      <c r="Z15" s="21">
        <f>'Юнит 9'!AK$105</f>
        <v>0</v>
      </c>
      <c r="AA15" s="21"/>
      <c r="AB15" s="21"/>
      <c r="AC15" s="327">
        <f t="shared" si="24"/>
        <v>100866.70376647127</v>
      </c>
      <c r="AD15" s="21"/>
      <c r="AE15" s="335">
        <f t="shared" si="3"/>
        <v>841739.08999999915</v>
      </c>
      <c r="AF15" s="28">
        <f t="shared" si="49"/>
        <v>740872.38623352791</v>
      </c>
      <c r="AG15" s="544"/>
      <c r="AH15" s="342">
        <f t="shared" si="12"/>
        <v>0.10266613106265597</v>
      </c>
      <c r="AI15" s="342">
        <f t="shared" si="13"/>
        <v>2.5722249149024203</v>
      </c>
      <c r="AJ15" s="342">
        <f t="shared" si="14"/>
        <v>0.264080380236001</v>
      </c>
      <c r="AK15" s="342">
        <f t="shared" si="15"/>
        <v>0.11131105268982774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>
        <f t="shared" si="24"/>
        <v>0</v>
      </c>
      <c r="AD16" s="32"/>
      <c r="AE16" s="337">
        <f t="shared" si="3"/>
        <v>-170</v>
      </c>
      <c r="AF16" s="33">
        <f t="shared" si="49"/>
        <v>-170</v>
      </c>
      <c r="AG16" s="545"/>
      <c r="AH16" s="342" t="e">
        <f t="shared" ref="AH16:AH17" si="55">P16/O16</f>
        <v>#DIV/0!</v>
      </c>
      <c r="AI16" s="342" t="e">
        <f t="shared" ref="AI16:AI17" si="56">AF16/P16</f>
        <v>#DIV/0!</v>
      </c>
      <c r="AJ16" s="342" t="e">
        <f t="shared" ref="AJ16:AJ17" si="57">AF16/O16</f>
        <v>#DIV/0!</v>
      </c>
      <c r="AK16" s="342" t="e">
        <f t="shared" ref="AK16:AK17" si="58">(W16+X16+Z16)/O16</f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9">IFERROR(O17-SUM(Q17:W17)+AD17,0)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17"/>
      <c r="Z17" s="21">
        <f>'Юнит 10'!AK$105</f>
        <v>0</v>
      </c>
      <c r="AA17" s="21"/>
      <c r="AB17" s="21"/>
      <c r="AC17" s="327">
        <f>666212.62*O17/SUM(O$17:O$20)</f>
        <v>94861.252839340654</v>
      </c>
      <c r="AD17" s="21"/>
      <c r="AE17" s="335">
        <f>O17-SUM(P17:Z17)+AD17</f>
        <v>730774.06000000075</v>
      </c>
      <c r="AF17" s="397">
        <f>O17-SUM(P17:AC17)+AD17</f>
        <v>635912.80716066016</v>
      </c>
      <c r="AG17" s="543">
        <f>SUM(AF17:AF20)</f>
        <v>5396896.790000001</v>
      </c>
      <c r="AH17" s="342">
        <f t="shared" si="55"/>
        <v>9.8354758039816692E-2</v>
      </c>
      <c r="AI17" s="342">
        <f t="shared" si="56"/>
        <v>2.4940233562040763</v>
      </c>
      <c r="AJ17" s="342">
        <f t="shared" si="57"/>
        <v>0.24529906374510349</v>
      </c>
      <c r="AK17" s="342">
        <f t="shared" si="58"/>
        <v>0.12626803348661714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2">IFERROR(O18-SUM(Q18:W18)+AD18,0)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3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4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17"/>
      <c r="Z18" s="21">
        <f>'Юнит 11'!AK$105</f>
        <v>0</v>
      </c>
      <c r="AA18" s="21"/>
      <c r="AB18" s="21"/>
      <c r="AC18" s="327">
        <f t="shared" ref="AC18:AC20" si="65">666212.62*O18/SUM(O$17:O$20)</f>
        <v>168002.64256384809</v>
      </c>
      <c r="AD18" s="21"/>
      <c r="AE18" s="335">
        <f t="shared" ref="AE18" si="66">O18-SUM(P18:Z18)+AD18</f>
        <v>1499227.4399999976</v>
      </c>
      <c r="AF18" s="397">
        <f t="shared" ref="AF18" si="67">O18-SUM(P18:AC18)+AD18</f>
        <v>1331224.7974361493</v>
      </c>
      <c r="AG18" s="544"/>
      <c r="AH18" s="342">
        <f t="shared" ref="AH18:AH19" si="68">P18/O18</f>
        <v>9.2420878295497444E-2</v>
      </c>
      <c r="AI18" s="342">
        <f t="shared" ref="AI18:AI19" si="69">AF18/P18</f>
        <v>3.1372734166659564</v>
      </c>
      <c r="AJ18" s="342">
        <f t="shared" ref="AJ18:AJ19" si="70">AF18/O18</f>
        <v>0.28994956462138377</v>
      </c>
      <c r="AK18" s="342">
        <f t="shared" ref="AK18:AK19" si="71">(W18+X18+Z18)/O18</f>
        <v>0.10515855752970292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2">IFERROR(O19-SUM(Q19:W19)+AD19,0)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17"/>
      <c r="Z19" s="21">
        <f>'Юнит 12'!AK$105</f>
        <v>0</v>
      </c>
      <c r="AA19" s="21"/>
      <c r="AB19" s="21"/>
      <c r="AC19" s="327">
        <f t="shared" si="65"/>
        <v>211551.58665806131</v>
      </c>
      <c r="AD19" s="21"/>
      <c r="AE19" s="335">
        <f t="shared" ref="AE19" si="75">O19-SUM(P19:Z19)+AD19</f>
        <v>2030523.7200000011</v>
      </c>
      <c r="AF19" s="397">
        <f t="shared" ref="AF19" si="76">O19-SUM(P19:AC19)+AD19</f>
        <v>1818972.1333419397</v>
      </c>
      <c r="AG19" s="544"/>
      <c r="AH19" s="342">
        <f t="shared" si="68"/>
        <v>8.5453987547540772E-2</v>
      </c>
      <c r="AI19" s="342">
        <f t="shared" si="69"/>
        <v>3.6818373644610491</v>
      </c>
      <c r="AJ19" s="342">
        <f t="shared" si="70"/>
        <v>0.31462768429472482</v>
      </c>
      <c r="AK19" s="342">
        <f t="shared" si="71"/>
        <v>8.9366182419740134E-2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7">IFERROR(O20-SUM(Q20:W20)+AD20,0)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18"/>
      <c r="Z20" s="32">
        <f>'Юнит 13'!AK$105</f>
        <v>0</v>
      </c>
      <c r="AA20" s="32"/>
      <c r="AB20" s="32"/>
      <c r="AC20" s="366">
        <f t="shared" si="65"/>
        <v>191797.13793874983</v>
      </c>
      <c r="AD20" s="32"/>
      <c r="AE20" s="337">
        <f t="shared" ref="AE20" si="80">O20-SUM(P20:Z20)+AD20</f>
        <v>1802584.1900000018</v>
      </c>
      <c r="AF20" s="398">
        <f t="shared" ref="AF20:AF21" si="81">O20-SUM(P20:AC20)+AD20</f>
        <v>1610787.0520612518</v>
      </c>
      <c r="AG20" s="545"/>
      <c r="AH20" s="342">
        <f t="shared" si="12"/>
        <v>8.1916502083765372E-2</v>
      </c>
      <c r="AI20" s="342">
        <f t="shared" si="13"/>
        <v>3.7515590232398268</v>
      </c>
      <c r="AJ20" s="342">
        <f t="shared" si="14"/>
        <v>0.30731459254459409</v>
      </c>
      <c r="AK20" s="342">
        <f t="shared" si="15"/>
        <v>0.10552452902229231</v>
      </c>
    </row>
    <row r="21" spans="2:37" s="15" customFormat="1" ht="25.5" customHeight="1">
      <c r="B21" s="201" t="s">
        <v>321</v>
      </c>
      <c r="C21" s="439" t="s">
        <v>326</v>
      </c>
      <c r="D21" s="440">
        <v>14</v>
      </c>
      <c r="E21" s="466"/>
      <c r="F21" s="466">
        <f t="shared" ref="F21:F26" si="82">IFERROR(O21-SUM(Q21:W21)-AA21-AB21+AD21,0)</f>
        <v>2335595.6700000004</v>
      </c>
      <c r="G21" s="467">
        <f>'Юнит 14'!N$105</f>
        <v>5475</v>
      </c>
      <c r="H21" s="467">
        <f>'Юнит 14'!S$105</f>
        <v>3012</v>
      </c>
      <c r="I21" s="467">
        <f>'Юнит 14'!T$105</f>
        <v>-85</v>
      </c>
      <c r="J21" s="468">
        <f>'Юнит 14'!V$105</f>
        <v>3007932.1</v>
      </c>
      <c r="K21" s="469">
        <f>'Юнит 14'!W$105</f>
        <v>-82412.17</v>
      </c>
      <c r="L21" s="470">
        <f t="shared" si="78"/>
        <v>2925519.93</v>
      </c>
      <c r="M21" s="468">
        <f>'Юнит 14'!Y$105</f>
        <v>4561244.1899999985</v>
      </c>
      <c r="N21" s="469">
        <f>'Юнит 14'!Z$105</f>
        <v>-124396.78</v>
      </c>
      <c r="O21" s="471">
        <f t="shared" si="79"/>
        <v>4436847.4099999983</v>
      </c>
      <c r="P21" s="472">
        <f>'Юнит 14'!AD$105</f>
        <v>363233.15000000014</v>
      </c>
      <c r="Q21" s="473">
        <f>'Юнит 14'!AG$105</f>
        <v>409675.01000000007</v>
      </c>
      <c r="R21" s="469">
        <f>'Юнит 14'!AE$105</f>
        <v>1670278.0099999977</v>
      </c>
      <c r="S21" s="474">
        <f>'Юнит 14'!AL$105</f>
        <v>8536.0999999999985</v>
      </c>
      <c r="T21" s="472"/>
      <c r="U21" s="469">
        <f>'Юнит 14'!AM$105</f>
        <v>960</v>
      </c>
      <c r="V21" s="472">
        <v>702.72</v>
      </c>
      <c r="W21" s="475">
        <f>'Юнит 14'!AH$105</f>
        <v>9682</v>
      </c>
      <c r="X21" s="468">
        <f>'Юнит 14'!AI$105</f>
        <v>500888</v>
      </c>
      <c r="Y21" s="468"/>
      <c r="Z21" s="476">
        <f>'Юнит 14'!AK$105</f>
        <v>0</v>
      </c>
      <c r="AA21" s="477">
        <v>128.9</v>
      </c>
      <c r="AB21" s="477">
        <v>1289</v>
      </c>
      <c r="AC21" s="478">
        <f>'Юнит 14'!AN$105</f>
        <v>167047.18800300005</v>
      </c>
      <c r="AD21" s="476"/>
      <c r="AE21" s="477">
        <f t="shared" ref="AE21:AE26" si="83">O21-SUM(P21:AB21)+AD21</f>
        <v>1471474.52</v>
      </c>
      <c r="AF21" s="479">
        <f t="shared" si="81"/>
        <v>1304427.3319970001</v>
      </c>
      <c r="AG21" s="543">
        <f>SUM(AF21:AF25)</f>
        <v>4293476.1362149995</v>
      </c>
      <c r="AH21" s="342">
        <f t="shared" ref="AH21:AH22" si="84">P21/O21</f>
        <v>8.1867397373487832E-2</v>
      </c>
      <c r="AI21" s="342">
        <f t="shared" ref="AI21:AI22" si="85">AF21/P21</f>
        <v>3.5911571727332698</v>
      </c>
      <c r="AJ21" s="342">
        <f t="shared" ref="AJ21:AJ22" si="86">AF21/O21</f>
        <v>0.29399869129080564</v>
      </c>
      <c r="AK21" s="342">
        <f t="shared" ref="AK21:AK22" si="87">(W21+X21+Z21)/O21</f>
        <v>0.11507495138310384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 t="shared" si="82"/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" si="88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" si="89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17"/>
      <c r="Z22" s="21">
        <f>'Юнит 15'!AK$105</f>
        <v>0</v>
      </c>
      <c r="AA22" s="335">
        <v>878</v>
      </c>
      <c r="AB22" s="335">
        <v>8780</v>
      </c>
      <c r="AC22" s="210">
        <f>'Юнит 15'!AN$105</f>
        <v>122246.48403600004</v>
      </c>
      <c r="AD22" s="21"/>
      <c r="AE22" s="335">
        <f t="shared" si="83"/>
        <v>1085490.6000000006</v>
      </c>
      <c r="AF22" s="397">
        <f t="shared" ref="AF22" si="90">O22-SUM(P22:AC22)+AD22</f>
        <v>963244.11596400058</v>
      </c>
      <c r="AG22" s="544"/>
      <c r="AH22" s="342">
        <f t="shared" si="84"/>
        <v>8.1423493908700628E-2</v>
      </c>
      <c r="AI22" s="342">
        <f t="shared" si="85"/>
        <v>3.6790852359938024</v>
      </c>
      <c r="AJ22" s="342">
        <f t="shared" si="86"/>
        <v>0.29956397430253179</v>
      </c>
      <c r="AK22" s="342">
        <f t="shared" si="87"/>
        <v>9.4430791959900742E-2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 t="shared" si="82"/>
        <v>1468778.3100000003</v>
      </c>
      <c r="G23" s="27">
        <f>'Юнит 16'!N$106</f>
        <v>3479</v>
      </c>
      <c r="H23" s="27">
        <f>'Юнит 16'!S$106</f>
        <v>1972</v>
      </c>
      <c r="I23" s="27">
        <f>'Юнит 16'!T$106</f>
        <v>-47</v>
      </c>
      <c r="J23" s="17">
        <f>'Юнит 16'!V$106</f>
        <v>1966605.1999999995</v>
      </c>
      <c r="K23" s="18">
        <f>'Юнит 16'!W$106</f>
        <v>-45569.59</v>
      </c>
      <c r="L23" s="19">
        <f t="shared" ref="L23" si="91">IFERROR(J23+K23,0)</f>
        <v>1921035.6099999994</v>
      </c>
      <c r="M23" s="17">
        <f>'Юнит 16'!Y$106</f>
        <v>2939167.3999999994</v>
      </c>
      <c r="N23" s="18">
        <f>'Юнит 16'!Z$106</f>
        <v>-68089.33</v>
      </c>
      <c r="O23" s="329">
        <f t="shared" ref="O23" si="92">IFERROR(M23+N23,0)</f>
        <v>2871078.0699999994</v>
      </c>
      <c r="P23" s="184">
        <f>'Юнит 16'!AD$106</f>
        <v>238729.30999999994</v>
      </c>
      <c r="Q23" s="286">
        <f>'Юнит 16'!AG$106</f>
        <v>252691.82000000015</v>
      </c>
      <c r="R23" s="18">
        <f>'Юнит 16'!AE$106</f>
        <v>1082608.5099999991</v>
      </c>
      <c r="S23" s="185">
        <f>'Юнит 16'!AL$106</f>
        <v>11044.130000000003</v>
      </c>
      <c r="T23" s="184"/>
      <c r="U23" s="18">
        <f>'Юнит 16'!AM$106</f>
        <v>3110</v>
      </c>
      <c r="V23" s="184"/>
      <c r="W23" s="20">
        <f>'Юнит 16'!AH$106</f>
        <v>43580</v>
      </c>
      <c r="X23" s="17">
        <f>'Юнит 16'!AI$106</f>
        <v>287584</v>
      </c>
      <c r="Y23" s="17"/>
      <c r="Z23" s="21">
        <f>'Юнит 16'!AK$106</f>
        <v>0</v>
      </c>
      <c r="AA23" s="335">
        <v>842.3</v>
      </c>
      <c r="AB23" s="335">
        <v>8423</v>
      </c>
      <c r="AC23" s="210">
        <f>'Юнит 16'!AN$106</f>
        <v>109691.13333099996</v>
      </c>
      <c r="AD23" s="21"/>
      <c r="AE23" s="335">
        <f t="shared" si="83"/>
        <v>942465.00000000023</v>
      </c>
      <c r="AF23" s="397">
        <f t="shared" ref="AF23" si="93">O23-SUM(P23:AC23)+AD23</f>
        <v>832773.86666900036</v>
      </c>
      <c r="AG23" s="544"/>
      <c r="AH23" s="342">
        <f t="shared" ref="AH23:AH25" si="94">P23/O23</f>
        <v>8.3149710380393801E-2</v>
      </c>
      <c r="AI23" s="342">
        <f t="shared" ref="AI23:AI25" si="95">AF23/P23</f>
        <v>3.488360380503762</v>
      </c>
      <c r="AJ23" s="342">
        <f t="shared" ref="AJ23:AJ25" si="96">AF23/O23</f>
        <v>0.29005615534132811</v>
      </c>
      <c r="AK23" s="342">
        <f t="shared" ref="AK23:AK25" si="97">(W23+X23+Z23)/O23</f>
        <v>0.11534482585490964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 t="shared" si="82"/>
        <v>1257598.6199999987</v>
      </c>
      <c r="G24" s="27">
        <f>'Юнит 17'!N$106</f>
        <v>3101</v>
      </c>
      <c r="H24" s="27">
        <f>'Юнит 17'!S$106</f>
        <v>1730</v>
      </c>
      <c r="I24" s="27">
        <f>'Юнит 17'!T$106</f>
        <v>-35</v>
      </c>
      <c r="J24" s="17">
        <f>'Юнит 17'!V$106</f>
        <v>1694803.0599999998</v>
      </c>
      <c r="K24" s="18">
        <f>'Юнит 17'!W$106</f>
        <v>-35587.440000000002</v>
      </c>
      <c r="L24" s="19">
        <f t="shared" ref="L24" si="98">IFERROR(J24+K24,0)</f>
        <v>1659215.6199999999</v>
      </c>
      <c r="M24" s="17">
        <f>'Юнит 17'!Y$106</f>
        <v>2465283.2499999995</v>
      </c>
      <c r="N24" s="18">
        <f>'Юнит 17'!Z$106</f>
        <v>-52946.239999999998</v>
      </c>
      <c r="O24" s="329">
        <f t="shared" ref="O24" si="99">IFERROR(M24+N24,0)</f>
        <v>2412337.0099999993</v>
      </c>
      <c r="P24" s="184">
        <f>'Юнит 17'!AD$106</f>
        <v>210794.49999999997</v>
      </c>
      <c r="Q24" s="286">
        <f>'Юнит 17'!AG$106</f>
        <v>226778.54999999976</v>
      </c>
      <c r="R24" s="18">
        <f>'Юнит 17'!AE$106</f>
        <v>908073.200000001</v>
      </c>
      <c r="S24" s="185">
        <f>'Юнит 17'!AL$106</f>
        <v>10756.940000000004</v>
      </c>
      <c r="T24" s="184"/>
      <c r="U24" s="18">
        <f>'Юнит 17'!AM$106</f>
        <v>1310</v>
      </c>
      <c r="V24" s="184"/>
      <c r="W24" s="20">
        <f>'Юнит 17'!AH$106</f>
        <v>6217</v>
      </c>
      <c r="X24" s="17">
        <f>'Юнит 17'!AI$106</f>
        <v>172288</v>
      </c>
      <c r="Y24" s="17">
        <f>'Юнит 17'!AJ106</f>
        <v>215420</v>
      </c>
      <c r="Z24" s="21">
        <f>'Юнит 17'!AK$106</f>
        <v>0</v>
      </c>
      <c r="AA24" s="335">
        <v>145.69999999999999</v>
      </c>
      <c r="AB24" s="335">
        <v>1457</v>
      </c>
      <c r="AC24" s="210">
        <f>'Юнит 17'!AN$106</f>
        <v>94741.211902000054</v>
      </c>
      <c r="AD24" s="21"/>
      <c r="AE24" s="335">
        <f t="shared" si="83"/>
        <v>659096.11999999871</v>
      </c>
      <c r="AF24" s="397">
        <f t="shared" ref="AF24" si="100">O24-SUM(P24:AC24)+AD24</f>
        <v>564354.9080979987</v>
      </c>
      <c r="AG24" s="544"/>
      <c r="AH24" s="342">
        <f t="shared" si="94"/>
        <v>8.7381862122158468E-2</v>
      </c>
      <c r="AI24" s="342">
        <f t="shared" si="95"/>
        <v>2.6772752993934792</v>
      </c>
      <c r="AJ24" s="342">
        <f t="shared" si="96"/>
        <v>0.23394530107466158</v>
      </c>
      <c r="AK24" s="342">
        <f t="shared" si="97"/>
        <v>7.3996709108235276E-2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522"/>
      <c r="F25" s="31">
        <f t="shared" si="82"/>
        <v>1135755.0999999996</v>
      </c>
      <c r="G25" s="317">
        <f>'Юнит 18'!N$106</f>
        <v>2848</v>
      </c>
      <c r="H25" s="317">
        <f>'Юнит 18'!S$106</f>
        <v>1619</v>
      </c>
      <c r="I25" s="317">
        <f>'Юнит 18'!T$106</f>
        <v>-25</v>
      </c>
      <c r="J25" s="318">
        <f>'Юнит 18'!V$106</f>
        <v>1568485.2099999993</v>
      </c>
      <c r="K25" s="319">
        <f>'Юнит 18'!W$106</f>
        <v>-24497.18</v>
      </c>
      <c r="L25" s="320">
        <f t="shared" ref="L25" si="101">IFERROR(J25+K25,0)</f>
        <v>1543988.0299999993</v>
      </c>
      <c r="M25" s="318">
        <f>'Юнит 18'!Y$106</f>
        <v>2195247.4699999997</v>
      </c>
      <c r="N25" s="319">
        <f>'Юнит 18'!Z$106</f>
        <v>-35177.54</v>
      </c>
      <c r="O25" s="331">
        <f t="shared" ref="O25" si="102">IFERROR(M25+N25,0)</f>
        <v>2160069.9299999997</v>
      </c>
      <c r="P25" s="321">
        <f>'Юнит 18'!AD$106</f>
        <v>198027.46999999997</v>
      </c>
      <c r="Q25" s="322">
        <f>'Юнит 18'!AG$106</f>
        <v>200716.59000000008</v>
      </c>
      <c r="R25" s="319">
        <f>'Юнит 18'!AE$106</f>
        <v>811495.47</v>
      </c>
      <c r="S25" s="323">
        <f>'Юнит 18'!AL$106</f>
        <v>9333.9700000000103</v>
      </c>
      <c r="T25" s="321"/>
      <c r="U25" s="319">
        <f>'Юнит 18'!AM$106</f>
        <v>1585</v>
      </c>
      <c r="V25" s="321"/>
      <c r="W25" s="324">
        <f>'Юнит 18'!AH$106</f>
        <v>977</v>
      </c>
      <c r="X25" s="318">
        <f>'Юнит 18'!AI$106</f>
        <v>26624</v>
      </c>
      <c r="Y25" s="318">
        <f>'Юнит 18'!AJ$106</f>
        <v>194266</v>
      </c>
      <c r="Z25" s="32">
        <f>'Юнит 18'!AK$106</f>
        <v>0</v>
      </c>
      <c r="AA25" s="337">
        <v>18.8</v>
      </c>
      <c r="AB25" s="337">
        <v>188</v>
      </c>
      <c r="AC25" s="396">
        <f>'Юнит 18'!AN$106</f>
        <v>88161.716512999992</v>
      </c>
      <c r="AD25" s="32"/>
      <c r="AE25" s="337">
        <f t="shared" si="83"/>
        <v>716837.62999999966</v>
      </c>
      <c r="AF25" s="398">
        <f t="shared" ref="AF25" si="103">O25-SUM(P25:AC25)+AD25</f>
        <v>628675.91348699969</v>
      </c>
      <c r="AG25" s="545"/>
      <c r="AH25" s="342">
        <f t="shared" si="94"/>
        <v>9.1676416235283636E-2</v>
      </c>
      <c r="AI25" s="342">
        <f t="shared" si="95"/>
        <v>3.1746904279845607</v>
      </c>
      <c r="AJ25" s="342">
        <f t="shared" si="96"/>
        <v>0.29104424109408339</v>
      </c>
      <c r="AK25" s="342">
        <f t="shared" si="97"/>
        <v>1.277782705858972E-2</v>
      </c>
    </row>
    <row r="26" spans="2:37" s="15" customFormat="1" ht="25.5" customHeight="1">
      <c r="B26" s="363" t="s">
        <v>379</v>
      </c>
      <c r="C26" s="441" t="s">
        <v>380</v>
      </c>
      <c r="D26" s="442">
        <v>19</v>
      </c>
      <c r="E26" s="444"/>
      <c r="F26" s="34">
        <f t="shared" si="82"/>
        <v>1268914.2000000002</v>
      </c>
      <c r="G26" s="523">
        <f>'Юнит 19'!N$110</f>
        <v>3857</v>
      </c>
      <c r="H26" s="523">
        <f>'Юнит 19'!S$110</f>
        <v>1781</v>
      </c>
      <c r="I26" s="523">
        <f>'Юнит 19'!T$110</f>
        <v>-43</v>
      </c>
      <c r="J26" s="524">
        <f>'Юнит 19'!V$110</f>
        <v>1836894.3899999994</v>
      </c>
      <c r="K26" s="525">
        <f>'Юнит 19'!W$110</f>
        <v>-42304</v>
      </c>
      <c r="L26" s="526">
        <f t="shared" ref="L26" si="104">IFERROR(J26+K26,0)</f>
        <v>1794590.3899999994</v>
      </c>
      <c r="M26" s="524">
        <f>'Юнит 19'!Y$110</f>
        <v>2527540.2300000004</v>
      </c>
      <c r="N26" s="525">
        <f>'Юнит 19'!Z$110</f>
        <v>-59373</v>
      </c>
      <c r="O26" s="527">
        <f t="shared" ref="O26" si="105">IFERROR(M26+N26,0)</f>
        <v>2468167.2300000004</v>
      </c>
      <c r="P26" s="528">
        <f>'Юнит 19'!AD$110</f>
        <v>216179.16</v>
      </c>
      <c r="Q26" s="529">
        <f>'Юнит 19'!AG$110</f>
        <v>230746.08999999988</v>
      </c>
      <c r="R26" s="525">
        <f>'Юнит 19'!AE$110</f>
        <v>937659.92000000027</v>
      </c>
      <c r="S26" s="530">
        <f>'Юнит 19'!AL$110</f>
        <v>7487.0199999999995</v>
      </c>
      <c r="T26" s="528">
        <v>30</v>
      </c>
      <c r="U26" s="525">
        <f>'Юнит 19'!AM$110</f>
        <v>20</v>
      </c>
      <c r="V26" s="528">
        <v>22990</v>
      </c>
      <c r="W26" s="531">
        <f>'Юнит 19'!AH$110</f>
        <v>320</v>
      </c>
      <c r="X26" s="524">
        <f>'Юнит 19'!AI$110</f>
        <v>17442</v>
      </c>
      <c r="Y26" s="524">
        <f>'Юнит 19'!AJ$110</f>
        <v>329393</v>
      </c>
      <c r="Z26" s="532">
        <f>'Юнит 19'!AK$110</f>
        <v>0</v>
      </c>
      <c r="AA26" s="533"/>
      <c r="AB26" s="533"/>
      <c r="AC26" s="534">
        <f>'Юнит 19'!AN$110</f>
        <v>102471.11126900002</v>
      </c>
      <c r="AD26" s="532"/>
      <c r="AE26" s="533">
        <f t="shared" si="83"/>
        <v>705900.04000000027</v>
      </c>
      <c r="AF26" s="535">
        <f t="shared" ref="AF26" si="106">O26-SUM(P26:AC26)+AD26</f>
        <v>603428.92873100028</v>
      </c>
      <c r="AG26" s="360"/>
      <c r="AH26" s="6"/>
      <c r="AI26" s="6"/>
      <c r="AJ26" s="6"/>
      <c r="AK26" s="6"/>
    </row>
    <row r="27" spans="2:37" s="15" customFormat="1" ht="25.5" customHeight="1" thickBot="1">
      <c r="B27" s="189"/>
      <c r="C27" s="279"/>
      <c r="D27" s="280"/>
      <c r="E27" s="199"/>
      <c r="F27" s="284"/>
      <c r="G27" s="190"/>
      <c r="H27" s="190"/>
      <c r="I27" s="190"/>
      <c r="J27" s="191"/>
      <c r="K27" s="192"/>
      <c r="L27" s="193"/>
      <c r="M27" s="191"/>
      <c r="N27" s="192"/>
      <c r="O27" s="330"/>
      <c r="P27" s="194"/>
      <c r="Q27" s="520"/>
      <c r="R27" s="192"/>
      <c r="S27" s="273"/>
      <c r="T27" s="194"/>
      <c r="U27" s="192"/>
      <c r="V27" s="194"/>
      <c r="W27" s="195"/>
      <c r="X27" s="196"/>
      <c r="Y27" s="196"/>
      <c r="Z27" s="196"/>
      <c r="AA27" s="196"/>
      <c r="AB27" s="196"/>
      <c r="AC27" s="521"/>
      <c r="AD27" s="196"/>
      <c r="AE27" s="336"/>
      <c r="AF27" s="281"/>
      <c r="AG27" s="197"/>
      <c r="AH27" s="6"/>
      <c r="AI27" s="6"/>
      <c r="AJ27" s="6"/>
      <c r="AK27" s="6"/>
    </row>
    <row r="28" spans="2:37" ht="22" customHeight="1" thickBot="1">
      <c r="B28" s="37" t="s">
        <v>29</v>
      </c>
      <c r="C28" s="38"/>
      <c r="D28" s="39"/>
      <c r="E28" s="40"/>
      <c r="F28" s="41">
        <f t="shared" ref="F28:AB28" si="107">SUM(F4:F27)</f>
        <v>22927987.359999996</v>
      </c>
      <c r="G28" s="42">
        <f t="shared" si="107"/>
        <v>67548</v>
      </c>
      <c r="H28" s="42">
        <f t="shared" si="107"/>
        <v>35960</v>
      </c>
      <c r="I28" s="42">
        <f t="shared" si="107"/>
        <v>-827</v>
      </c>
      <c r="J28" s="41">
        <f t="shared" si="107"/>
        <v>31875220.880000003</v>
      </c>
      <c r="K28" s="41">
        <f t="shared" si="107"/>
        <v>-732075.02000000014</v>
      </c>
      <c r="L28" s="41">
        <f t="shared" si="107"/>
        <v>31143145.859999999</v>
      </c>
      <c r="M28" s="41">
        <f t="shared" si="107"/>
        <v>47721887.089999989</v>
      </c>
      <c r="N28" s="41">
        <f t="shared" si="107"/>
        <v>-1101394.27</v>
      </c>
      <c r="O28" s="332">
        <f t="shared" si="107"/>
        <v>46620492.819999993</v>
      </c>
      <c r="P28" s="41">
        <f t="shared" si="107"/>
        <v>4374499.0100000016</v>
      </c>
      <c r="Q28" s="41">
        <f t="shared" si="107"/>
        <v>4596952.2400000012</v>
      </c>
      <c r="R28" s="41">
        <f t="shared" si="107"/>
        <v>17520568.080000002</v>
      </c>
      <c r="S28" s="211">
        <f t="shared" si="107"/>
        <v>169712.88999999998</v>
      </c>
      <c r="T28" s="211">
        <f>SUM(T4:T27)</f>
        <v>61.7</v>
      </c>
      <c r="U28" s="41">
        <f t="shared" si="107"/>
        <v>15492.09</v>
      </c>
      <c r="V28" s="41">
        <f>SUM(V4:V27)</f>
        <v>133433.76</v>
      </c>
      <c r="W28" s="41">
        <f t="shared" si="107"/>
        <v>1234134</v>
      </c>
      <c r="X28" s="41">
        <f t="shared" si="107"/>
        <v>3683759</v>
      </c>
      <c r="Y28" s="41">
        <f t="shared" si="107"/>
        <v>739079</v>
      </c>
      <c r="Z28" s="41">
        <f t="shared" si="107"/>
        <v>0</v>
      </c>
      <c r="AA28" s="41">
        <f>SUM(AA4:AA27)</f>
        <v>2013.6999999999998</v>
      </c>
      <c r="AB28" s="41">
        <f t="shared" si="107"/>
        <v>20137</v>
      </c>
      <c r="AC28" s="211">
        <f>SUM(AC4:AC27)</f>
        <v>1757118.5850539999</v>
      </c>
      <c r="AD28" s="41">
        <f>SUM(AD4:AD27)</f>
        <v>0</v>
      </c>
      <c r="AE28" s="211">
        <f>SUM(AE4:AE27)</f>
        <v>14130650.349999998</v>
      </c>
      <c r="AF28" s="41">
        <f>SUM(AF4:AF27)</f>
        <v>12373531.764945999</v>
      </c>
      <c r="AG28" s="41">
        <f>SUM(AG4:AG27)</f>
        <v>11770102.836214997</v>
      </c>
      <c r="AH28" s="43">
        <f>P28/O28</f>
        <v>9.3832105698448562E-2</v>
      </c>
      <c r="AI28" s="43">
        <f t="shared" ref="AI28" si="108">AF28/P28</f>
        <v>2.8285597360201469</v>
      </c>
      <c r="AJ28" s="43">
        <f t="shared" ref="AJ28" si="109">AF28/O28</f>
        <v>0.26540971612461817</v>
      </c>
      <c r="AK28" s="43">
        <f>(W28+X28+Z28)/O28</f>
        <v>0.10548779522747226</v>
      </c>
    </row>
    <row r="29" spans="2:37" ht="13.5" customHeight="1">
      <c r="B29" s="44"/>
      <c r="C29" s="44"/>
      <c r="D29" s="25"/>
      <c r="E29" s="45"/>
      <c r="F29" s="46"/>
      <c r="G29" s="46"/>
      <c r="H29" s="46"/>
      <c r="I29" s="46"/>
      <c r="J29" s="46"/>
      <c r="K29" s="46"/>
      <c r="L29" s="46"/>
      <c r="M29" s="47" t="s">
        <v>41</v>
      </c>
      <c r="N29" s="47"/>
      <c r="O29" s="47"/>
      <c r="P29" s="46"/>
      <c r="Q29" s="46"/>
      <c r="R29" s="46"/>
      <c r="S29" s="274"/>
      <c r="T29" s="27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3"/>
      <c r="AI29" s="43"/>
      <c r="AJ29" s="43"/>
      <c r="AK29" s="43"/>
    </row>
    <row r="30" spans="2:37" s="4" customFormat="1">
      <c r="B30" s="48"/>
      <c r="C30" s="48"/>
      <c r="E30" s="49"/>
      <c r="F30" s="50"/>
      <c r="G30" s="51"/>
      <c r="H30" s="51"/>
      <c r="I30" s="51"/>
      <c r="J30" s="51"/>
      <c r="K30" s="51"/>
      <c r="L30" s="51"/>
      <c r="M30" s="47"/>
      <c r="N30" s="52">
        <f>-N28/M28</f>
        <v>2.3079436651841763E-2</v>
      </c>
      <c r="O30" s="53"/>
      <c r="P30" s="186">
        <f t="shared" ref="P30:AC30" si="110">P28/$O$28</f>
        <v>9.3832105698448562E-2</v>
      </c>
      <c r="Q30" s="186">
        <f t="shared" si="110"/>
        <v>9.8603681813246052E-2</v>
      </c>
      <c r="R30" s="186">
        <f t="shared" si="110"/>
        <v>0.37581258841785031</v>
      </c>
      <c r="S30" s="275">
        <f t="shared" si="110"/>
        <v>3.6403066491651043E-3</v>
      </c>
      <c r="T30" s="275">
        <f t="shared" si="110"/>
        <v>1.3234523332522766E-6</v>
      </c>
      <c r="U30" s="186">
        <f t="shared" si="110"/>
        <v>3.3230215003977735E-4</v>
      </c>
      <c r="V30" s="186">
        <f t="shared" si="110"/>
        <v>2.8621267586162774E-3</v>
      </c>
      <c r="W30" s="186">
        <f t="shared" si="110"/>
        <v>2.6471920937535903E-2</v>
      </c>
      <c r="X30" s="186">
        <f t="shared" si="110"/>
        <v>7.9015874289936353E-2</v>
      </c>
      <c r="Y30" s="186"/>
      <c r="Z30" s="186">
        <f t="shared" si="110"/>
        <v>0</v>
      </c>
      <c r="AA30" s="186"/>
      <c r="AB30" s="186"/>
      <c r="AC30" s="186">
        <f t="shared" si="110"/>
        <v>3.7689832920432008E-2</v>
      </c>
      <c r="AD30" s="54"/>
      <c r="AE30" s="54"/>
      <c r="AG30" s="52">
        <f>AF28/P28</f>
        <v>2.8285597360201469</v>
      </c>
      <c r="AH30" s="8" t="s">
        <v>32</v>
      </c>
      <c r="AI30" s="55"/>
      <c r="AJ30" s="55"/>
      <c r="AK30" s="55"/>
    </row>
    <row r="31" spans="2:37" s="4" customFormat="1">
      <c r="B31" s="56"/>
      <c r="C31" s="56"/>
      <c r="D31" s="57"/>
      <c r="E31" s="58"/>
      <c r="F31" s="59"/>
      <c r="G31" s="204"/>
      <c r="H31" s="204"/>
      <c r="I31" s="204"/>
      <c r="J31" s="59"/>
      <c r="K31" s="59"/>
      <c r="L31" s="59"/>
      <c r="M31" s="60"/>
      <c r="N31" s="61"/>
      <c r="O31" s="62"/>
      <c r="P31" s="187"/>
      <c r="Q31" s="187"/>
      <c r="R31" s="187"/>
      <c r="S31" s="276"/>
      <c r="T31" s="276"/>
      <c r="U31" s="187"/>
      <c r="V31" s="187"/>
      <c r="W31" s="187">
        <f>(W28+X28)/O28</f>
        <v>0.10548779522747226</v>
      </c>
      <c r="X31" s="187"/>
      <c r="Y31" s="187"/>
      <c r="Z31" s="188"/>
      <c r="AA31" s="188"/>
      <c r="AB31" s="188"/>
      <c r="AC31" s="187"/>
      <c r="AD31" s="63"/>
      <c r="AE31" s="63"/>
      <c r="AF31" s="63"/>
      <c r="AG31" s="61">
        <f>AF28/O28</f>
        <v>0.26540971612461817</v>
      </c>
      <c r="AH31" s="64" t="s">
        <v>33</v>
      </c>
      <c r="AI31" s="55"/>
      <c r="AJ31" s="55"/>
      <c r="AK31" s="55"/>
    </row>
    <row r="32" spans="2:37" s="4" customFormat="1">
      <c r="B32" s="372"/>
      <c r="C32" s="372"/>
      <c r="D32" s="373"/>
      <c r="E32" s="374"/>
      <c r="F32" s="375"/>
      <c r="G32" s="376"/>
      <c r="H32" s="376"/>
      <c r="I32" s="376"/>
      <c r="J32" s="375"/>
      <c r="K32" s="375"/>
      <c r="L32" s="375"/>
      <c r="M32" s="377"/>
      <c r="N32" s="52"/>
      <c r="O32" s="53"/>
      <c r="P32" s="186"/>
      <c r="Q32" s="186"/>
      <c r="R32" s="186"/>
      <c r="S32" s="275"/>
      <c r="T32" s="275"/>
      <c r="U32" s="186"/>
      <c r="V32" s="186"/>
      <c r="W32" s="186"/>
      <c r="X32" s="186"/>
      <c r="Y32" s="186"/>
      <c r="Z32" s="378"/>
      <c r="AA32" s="378"/>
      <c r="AB32" s="378"/>
      <c r="AC32" s="186"/>
      <c r="AD32" s="379"/>
      <c r="AE32" s="379"/>
      <c r="AF32" s="52"/>
      <c r="AG32" s="54"/>
      <c r="AH32" s="54"/>
      <c r="AI32" s="55"/>
      <c r="AJ32" s="55"/>
      <c r="AK32" s="55"/>
    </row>
    <row r="33" spans="2:37">
      <c r="B33" s="203" t="s">
        <v>254</v>
      </c>
      <c r="F33" s="65"/>
      <c r="G33" s="205">
        <f t="shared" ref="G33:AE33" si="111">G6</f>
        <v>4961</v>
      </c>
      <c r="H33" s="205">
        <f t="shared" si="111"/>
        <v>2362</v>
      </c>
      <c r="I33" s="205">
        <f t="shared" si="111"/>
        <v>-53</v>
      </c>
      <c r="J33" s="206">
        <f t="shared" si="111"/>
        <v>1728382.78</v>
      </c>
      <c r="K33" s="206">
        <f t="shared" si="111"/>
        <v>-44657.88</v>
      </c>
      <c r="L33" s="206">
        <f t="shared" si="111"/>
        <v>1683724.9000000001</v>
      </c>
      <c r="M33" s="206">
        <f t="shared" si="111"/>
        <v>2303342.0599999991</v>
      </c>
      <c r="N33" s="206">
        <f>N6</f>
        <v>-58267.040000000001</v>
      </c>
      <c r="O33" s="206">
        <f t="shared" si="111"/>
        <v>2245075.0199999991</v>
      </c>
      <c r="P33" s="206">
        <f t="shared" si="111"/>
        <v>292876.64000000007</v>
      </c>
      <c r="Q33" s="206">
        <f t="shared" si="111"/>
        <v>276475.65000000008</v>
      </c>
      <c r="R33" s="206">
        <f t="shared" si="111"/>
        <v>833669.77000000118</v>
      </c>
      <c r="S33" s="277">
        <f t="shared" si="111"/>
        <v>40333.140296013356</v>
      </c>
      <c r="T33" s="277">
        <f t="shared" si="111"/>
        <v>0</v>
      </c>
      <c r="U33" s="206">
        <f t="shared" si="111"/>
        <v>0</v>
      </c>
      <c r="V33" s="206">
        <f t="shared" si="111"/>
        <v>25431.599999999999</v>
      </c>
      <c r="W33" s="206">
        <f t="shared" si="111"/>
        <v>113446</v>
      </c>
      <c r="X33" s="206">
        <f t="shared" si="111"/>
        <v>404487</v>
      </c>
      <c r="Y33" s="206"/>
      <c r="Z33" s="206">
        <f t="shared" si="111"/>
        <v>0</v>
      </c>
      <c r="AA33" s="206"/>
      <c r="AB33" s="206"/>
      <c r="AC33" s="206">
        <f t="shared" si="111"/>
        <v>95827.420000000071</v>
      </c>
      <c r="AD33" s="206">
        <f t="shared" si="111"/>
        <v>0</v>
      </c>
      <c r="AE33" s="206">
        <f t="shared" si="111"/>
        <v>258355.21970398421</v>
      </c>
      <c r="AF33" s="206">
        <f>AF6</f>
        <v>162527.79970398406</v>
      </c>
      <c r="AG33" s="186">
        <f>AF33/P33</f>
        <v>0.5549360293944372</v>
      </c>
    </row>
    <row r="34" spans="2:37">
      <c r="F34" s="65"/>
      <c r="G34" s="65"/>
      <c r="H34" s="65"/>
      <c r="I34" s="65"/>
      <c r="J34" s="65"/>
      <c r="K34" s="65"/>
      <c r="L34" s="65"/>
      <c r="M34" s="65"/>
      <c r="N34" s="207">
        <f>-N33/M33</f>
        <v>2.5296737732475576E-2</v>
      </c>
      <c r="O34" s="53"/>
      <c r="P34" s="208">
        <f t="shared" ref="P34:AD34" si="112">P33/$O$33</f>
        <v>0.13045294138990518</v>
      </c>
      <c r="Q34" s="208">
        <f t="shared" si="112"/>
        <v>0.12314762203358362</v>
      </c>
      <c r="R34" s="208">
        <f t="shared" si="112"/>
        <v>0.37133270049924727</v>
      </c>
      <c r="S34" s="208">
        <f t="shared" si="112"/>
        <v>1.7965163719123014E-2</v>
      </c>
      <c r="T34" s="278">
        <f t="shared" si="112"/>
        <v>0</v>
      </c>
      <c r="U34" s="208">
        <f t="shared" si="112"/>
        <v>0</v>
      </c>
      <c r="V34" s="208">
        <f t="shared" si="112"/>
        <v>1.1327728371410951E-2</v>
      </c>
      <c r="W34" s="208">
        <f t="shared" si="112"/>
        <v>5.0531050851031267E-2</v>
      </c>
      <c r="X34" s="208">
        <f t="shared" si="112"/>
        <v>0.18016636254765339</v>
      </c>
      <c r="Y34" s="208"/>
      <c r="Z34" s="208">
        <f t="shared" si="112"/>
        <v>0</v>
      </c>
      <c r="AA34" s="208"/>
      <c r="AB34" s="208"/>
      <c r="AC34" s="208">
        <f>AC33/$O$33</f>
        <v>4.2683393270306E-2</v>
      </c>
      <c r="AD34" s="208">
        <f t="shared" si="112"/>
        <v>0</v>
      </c>
      <c r="AE34" s="208"/>
      <c r="AF34" s="208">
        <f>AF33/O33</f>
        <v>7.2393037317739217E-2</v>
      </c>
      <c r="AG34" s="186">
        <f>AF33/O33</f>
        <v>7.2393037317739217E-2</v>
      </c>
    </row>
    <row r="35" spans="2:37" ht="15.5">
      <c r="F35" s="65"/>
      <c r="G35" s="65"/>
      <c r="H35" s="65"/>
      <c r="I35" s="65"/>
      <c r="J35" s="65"/>
      <c r="K35" s="65"/>
      <c r="L35" s="65"/>
      <c r="M35" s="67"/>
      <c r="N35" s="65"/>
      <c r="O35" s="65"/>
      <c r="P35" s="68"/>
      <c r="Q35" s="69"/>
      <c r="R35" s="65"/>
      <c r="S35" s="65"/>
      <c r="T35" s="65"/>
    </row>
    <row r="36" spans="2:37">
      <c r="B36" s="334" t="s">
        <v>275</v>
      </c>
      <c r="F36" s="65"/>
      <c r="G36" s="65"/>
      <c r="H36" s="65"/>
      <c r="I36" s="65"/>
      <c r="J36" s="65"/>
      <c r="K36" s="65"/>
      <c r="L36" s="65"/>
      <c r="M36" s="70"/>
      <c r="N36" s="65"/>
      <c r="O36" s="65"/>
      <c r="P36" s="208">
        <f>P11/$O$11</f>
        <v>0.12260071518502115</v>
      </c>
      <c r="Q36" s="208">
        <f t="shared" ref="Q36:AD36" si="113">Q11/$O$11</f>
        <v>0.11302458636103402</v>
      </c>
      <c r="R36" s="208">
        <f t="shared" si="113"/>
        <v>0.37030707592952261</v>
      </c>
      <c r="S36" s="208">
        <f t="shared" si="113"/>
        <v>4.3282030191379092E-3</v>
      </c>
      <c r="T36" s="208">
        <f t="shared" si="113"/>
        <v>1.5965376845158517E-5</v>
      </c>
      <c r="U36" s="208">
        <f t="shared" si="113"/>
        <v>4.3958004247003114E-4</v>
      </c>
      <c r="V36" s="208">
        <f t="shared" si="113"/>
        <v>2.547690975443015E-3</v>
      </c>
      <c r="W36" s="208">
        <f t="shared" si="113"/>
        <v>7.7475184216500737E-2</v>
      </c>
      <c r="X36" s="208">
        <f t="shared" si="113"/>
        <v>7.3797293570604383E-2</v>
      </c>
      <c r="Y36" s="208"/>
      <c r="Z36" s="208">
        <f t="shared" si="113"/>
        <v>0</v>
      </c>
      <c r="AA36" s="208"/>
      <c r="AB36" s="208"/>
      <c r="AC36" s="208">
        <f t="shared" si="113"/>
        <v>3.5953448905309417E-2</v>
      </c>
      <c r="AD36" s="208">
        <f t="shared" si="113"/>
        <v>0</v>
      </c>
      <c r="AE36" s="208"/>
      <c r="AG36" s="186">
        <f>AF11/P11</f>
        <v>1.6273172315269406</v>
      </c>
      <c r="AH36" s="8" t="s">
        <v>32</v>
      </c>
    </row>
    <row r="37" spans="2:37">
      <c r="F37" s="65"/>
      <c r="G37" s="65"/>
      <c r="H37" s="65"/>
      <c r="I37" s="65"/>
      <c r="J37" s="65"/>
      <c r="K37" s="65"/>
      <c r="L37" s="65"/>
      <c r="M37" s="66"/>
      <c r="N37" s="65"/>
      <c r="O37" s="65"/>
      <c r="P37" s="66"/>
      <c r="Q37" s="71"/>
      <c r="R37" s="65"/>
      <c r="S37" s="65"/>
      <c r="T37" s="65"/>
      <c r="AG37" s="186">
        <f>AF11/O11</f>
        <v>0.19951025641811157</v>
      </c>
      <c r="AH37" s="64" t="s">
        <v>33</v>
      </c>
    </row>
    <row r="38" spans="2:37">
      <c r="C38" s="3" t="s">
        <v>375</v>
      </c>
      <c r="F38" s="65"/>
      <c r="G38" s="65"/>
      <c r="H38" s="65"/>
      <c r="I38" s="65"/>
      <c r="J38" s="65"/>
      <c r="K38" s="65"/>
      <c r="L38" s="65"/>
      <c r="M38" s="66"/>
      <c r="N38" s="65"/>
      <c r="O38" s="65"/>
      <c r="P38" s="66"/>
      <c r="Q38" s="71"/>
      <c r="R38" s="65"/>
      <c r="S38" s="65"/>
      <c r="T38" s="65"/>
      <c r="AF38" s="186"/>
      <c r="AH38" s="333"/>
    </row>
    <row r="39" spans="2:37">
      <c r="B39" s="203" t="s">
        <v>276</v>
      </c>
      <c r="F39" s="65"/>
      <c r="G39" s="205">
        <f>G9+G11+G13+G15</f>
        <v>14517</v>
      </c>
      <c r="H39" s="205">
        <f t="shared" ref="H39:K39" si="114">H9+H11+H13+H15</f>
        <v>7967</v>
      </c>
      <c r="I39" s="205">
        <f t="shared" si="114"/>
        <v>-171</v>
      </c>
      <c r="J39" s="206">
        <f t="shared" si="114"/>
        <v>5543477.6100000003</v>
      </c>
      <c r="K39" s="206">
        <f t="shared" si="114"/>
        <v>-118993.17000000001</v>
      </c>
      <c r="L39" s="206">
        <f>L9+L11+L13+L15</f>
        <v>5424484.4399999995</v>
      </c>
      <c r="M39" s="206">
        <f t="shared" ref="M39" si="115">M9+M11+M13+M15</f>
        <v>8658079.7899999991</v>
      </c>
      <c r="N39" s="206">
        <f>N9+N11+N13+N15</f>
        <v>-186633.46000000002</v>
      </c>
      <c r="O39" s="206">
        <f t="shared" ref="O39:AD39" si="116">O9+O11+O13+O15</f>
        <v>8471446.3299999982</v>
      </c>
      <c r="P39" s="206">
        <f t="shared" si="116"/>
        <v>974318.92000000016</v>
      </c>
      <c r="Q39" s="206">
        <f>Q9+Q11+Q13+Q15</f>
        <v>933157.6599999998</v>
      </c>
      <c r="R39" s="206">
        <f t="shared" si="116"/>
        <v>3161035.1400000006</v>
      </c>
      <c r="S39" s="277">
        <f t="shared" si="116"/>
        <v>33388.342753142293</v>
      </c>
      <c r="T39" s="277">
        <f t="shared" si="116"/>
        <v>30</v>
      </c>
      <c r="U39" s="206">
        <f t="shared" si="116"/>
        <v>2684.1099999999997</v>
      </c>
      <c r="V39" s="206">
        <f t="shared" si="116"/>
        <v>35255.039999999994</v>
      </c>
      <c r="W39" s="206">
        <f t="shared" si="116"/>
        <v>541649</v>
      </c>
      <c r="X39" s="206">
        <f t="shared" si="116"/>
        <v>609161</v>
      </c>
      <c r="Y39" s="206"/>
      <c r="Z39" s="206">
        <f t="shared" si="116"/>
        <v>0</v>
      </c>
      <c r="AA39" s="206"/>
      <c r="AB39" s="206"/>
      <c r="AC39" s="206">
        <f>AC9+AC11+AC13+AC15</f>
        <v>304577.7127797259</v>
      </c>
      <c r="AD39" s="206">
        <f t="shared" si="116"/>
        <v>0</v>
      </c>
      <c r="AE39" s="206">
        <f>AE9+AE11+AE13+AE15</f>
        <v>2180767.117246856</v>
      </c>
      <c r="AF39" s="206">
        <f>AF9+AF11+AF13+AF15</f>
        <v>1876189.4044671301</v>
      </c>
      <c r="AG39" s="186">
        <f>AF39/P39</f>
        <v>1.925641969948741</v>
      </c>
    </row>
    <row r="40" spans="2:37">
      <c r="F40" s="65"/>
      <c r="G40" s="65"/>
      <c r="H40" s="65"/>
      <c r="I40" s="65"/>
      <c r="J40" s="65"/>
      <c r="K40" s="65"/>
      <c r="L40" s="65"/>
      <c r="M40" s="66"/>
      <c r="N40" s="207">
        <f>-N39/M39</f>
        <v>2.1555987531503222E-2</v>
      </c>
      <c r="O40" s="53"/>
      <c r="P40" s="208">
        <f>P39/$O$39</f>
        <v>0.11501211033464699</v>
      </c>
      <c r="Q40" s="208">
        <f t="shared" ref="Q40:AD40" si="117">Q39/$O$39</f>
        <v>0.110153287130605</v>
      </c>
      <c r="R40" s="208">
        <f t="shared" si="117"/>
        <v>0.37313995944302952</v>
      </c>
      <c r="S40" s="208">
        <f t="shared" si="117"/>
        <v>3.9412800899067141E-3</v>
      </c>
      <c r="T40" s="278">
        <f t="shared" si="117"/>
        <v>3.5413079220912691E-6</v>
      </c>
      <c r="U40" s="208">
        <f t="shared" si="117"/>
        <v>3.168420002254798E-4</v>
      </c>
      <c r="V40" s="208">
        <f t="shared" si="117"/>
        <v>4.1616317481881519E-3</v>
      </c>
      <c r="W40" s="208">
        <f t="shared" si="117"/>
        <v>6.3938196489760457E-2</v>
      </c>
      <c r="X40" s="208">
        <f t="shared" si="117"/>
        <v>7.1907555837634654E-2</v>
      </c>
      <c r="Y40" s="208"/>
      <c r="Z40" s="208">
        <f t="shared" si="117"/>
        <v>0</v>
      </c>
      <c r="AA40" s="208"/>
      <c r="AB40" s="208"/>
      <c r="AC40" s="208">
        <f t="shared" si="117"/>
        <v>3.5953448905309417E-2</v>
      </c>
      <c r="AD40" s="208">
        <f t="shared" si="117"/>
        <v>0</v>
      </c>
      <c r="AE40" s="208"/>
      <c r="AF40" s="208">
        <f>AF39/O39</f>
        <v>0.2214721467127716</v>
      </c>
      <c r="AG40" s="186">
        <f>AF39/O39</f>
        <v>0.2214721467127716</v>
      </c>
    </row>
    <row r="41" spans="2:37"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2:37" s="343" customFormat="1">
      <c r="B42" s="344" t="s">
        <v>284</v>
      </c>
      <c r="D42" s="345"/>
      <c r="F42" s="346"/>
      <c r="G42" s="346"/>
      <c r="H42" s="346"/>
      <c r="I42" s="346"/>
      <c r="J42" s="346"/>
      <c r="K42" s="346"/>
      <c r="L42" s="346"/>
      <c r="M42" s="347"/>
      <c r="N42" s="346"/>
      <c r="O42" s="346"/>
      <c r="P42" s="208">
        <f t="shared" ref="P42:AD42" si="118">P15/$O$15</f>
        <v>0.10266613106265597</v>
      </c>
      <c r="Q42" s="208">
        <f t="shared" si="118"/>
        <v>0.10672521810799464</v>
      </c>
      <c r="R42" s="208">
        <f t="shared" si="118"/>
        <v>0.37489215796077113</v>
      </c>
      <c r="S42" s="208">
        <f t="shared" si="118"/>
        <v>3.0195895739945989E-3</v>
      </c>
      <c r="T42" s="208">
        <f t="shared" si="118"/>
        <v>0</v>
      </c>
      <c r="U42" s="208">
        <f t="shared" si="118"/>
        <v>4.9621087917624219E-4</v>
      </c>
      <c r="V42" s="208">
        <f t="shared" si="118"/>
        <v>8.558105842691961E-4</v>
      </c>
      <c r="W42" s="208">
        <f t="shared" si="118"/>
        <v>8.3286977342538135E-2</v>
      </c>
      <c r="X42" s="208">
        <f t="shared" si="118"/>
        <v>2.8024075347289609E-2</v>
      </c>
      <c r="Y42" s="208"/>
      <c r="Z42" s="208">
        <f t="shared" si="118"/>
        <v>0</v>
      </c>
      <c r="AA42" s="208"/>
      <c r="AB42" s="208"/>
      <c r="AC42" s="208">
        <f t="shared" si="118"/>
        <v>3.5953448905309417E-2</v>
      </c>
      <c r="AD42" s="208">
        <f t="shared" si="118"/>
        <v>0</v>
      </c>
      <c r="AE42" s="208"/>
      <c r="AG42" s="186">
        <f>AF15/P15</f>
        <v>2.5722249149024203</v>
      </c>
      <c r="AH42" s="348" t="s">
        <v>32</v>
      </c>
      <c r="AI42" s="342"/>
      <c r="AJ42" s="342"/>
      <c r="AK42" s="342"/>
    </row>
    <row r="43" spans="2:37" s="343" customFormat="1">
      <c r="B43" s="344"/>
      <c r="D43" s="345"/>
      <c r="F43" s="346"/>
      <c r="G43" s="346"/>
      <c r="H43" s="346"/>
      <c r="I43" s="346"/>
      <c r="J43" s="346"/>
      <c r="K43" s="346"/>
      <c r="L43" s="346"/>
      <c r="M43" s="347"/>
      <c r="N43" s="346"/>
      <c r="O43" s="346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G43" s="186">
        <f>AF15/O15</f>
        <v>0.264080380236001</v>
      </c>
      <c r="AH43" s="64" t="s">
        <v>33</v>
      </c>
      <c r="AI43" s="342"/>
      <c r="AJ43" s="342"/>
      <c r="AK43" s="342"/>
    </row>
    <row r="45" spans="2:37">
      <c r="B45" s="203" t="s">
        <v>305</v>
      </c>
      <c r="F45" s="65"/>
      <c r="G45" s="205">
        <f>SUM(G17:G20)</f>
        <v>25647</v>
      </c>
      <c r="H45" s="205">
        <f t="shared" ref="H45:AE45" si="119">SUM(H17:H20)</f>
        <v>13213</v>
      </c>
      <c r="I45" s="205">
        <f t="shared" si="119"/>
        <v>-304</v>
      </c>
      <c r="J45" s="206">
        <f t="shared" si="119"/>
        <v>12210305.43</v>
      </c>
      <c r="K45" s="206">
        <f t="shared" si="119"/>
        <v>-273683.22000000003</v>
      </c>
      <c r="L45" s="206">
        <f t="shared" si="119"/>
        <v>11936622.210000001</v>
      </c>
      <c r="M45" s="206">
        <f t="shared" si="119"/>
        <v>18627467.790000003</v>
      </c>
      <c r="N45" s="206">
        <f t="shared" si="119"/>
        <v>-421000.70999999996</v>
      </c>
      <c r="O45" s="206">
        <f t="shared" si="119"/>
        <v>18206467.080000006</v>
      </c>
      <c r="P45" s="206">
        <f t="shared" si="119"/>
        <v>1602704.0300000003</v>
      </c>
      <c r="Q45" s="206">
        <f t="shared" si="119"/>
        <v>1746311.8200000019</v>
      </c>
      <c r="R45" s="206">
        <f t="shared" si="119"/>
        <v>6851388.7999999989</v>
      </c>
      <c r="S45" s="277">
        <f t="shared" si="119"/>
        <v>36082.62000000001</v>
      </c>
      <c r="T45" s="277">
        <f t="shared" si="119"/>
        <v>0</v>
      </c>
      <c r="U45" s="206">
        <f t="shared" si="119"/>
        <v>899</v>
      </c>
      <c r="V45" s="206">
        <f t="shared" si="119"/>
        <v>26064.400000000001</v>
      </c>
      <c r="W45" s="206">
        <f t="shared" si="119"/>
        <v>515858</v>
      </c>
      <c r="X45" s="206">
        <f t="shared" si="119"/>
        <v>1364049</v>
      </c>
      <c r="Y45" s="206"/>
      <c r="Z45" s="206">
        <f t="shared" si="119"/>
        <v>0</v>
      </c>
      <c r="AA45" s="206"/>
      <c r="AB45" s="206"/>
      <c r="AC45" s="206">
        <f t="shared" si="119"/>
        <v>666212.61999999988</v>
      </c>
      <c r="AD45" s="206">
        <f t="shared" si="119"/>
        <v>0</v>
      </c>
      <c r="AE45" s="206">
        <f t="shared" si="119"/>
        <v>6063109.4100000001</v>
      </c>
      <c r="AF45" s="206">
        <f>SUM(AF17:AF20)</f>
        <v>5396896.790000001</v>
      </c>
      <c r="AG45" s="186">
        <f>AF45/P45</f>
        <v>3.3673695760283326</v>
      </c>
      <c r="AH45" s="348" t="s">
        <v>32</v>
      </c>
    </row>
    <row r="46" spans="2:37">
      <c r="P46" s="208">
        <f t="shared" ref="P46:AD46" si="120">P45/$O$45</f>
        <v>8.8029381151084898E-2</v>
      </c>
      <c r="Q46" s="208">
        <f t="shared" si="120"/>
        <v>9.5917116282177764E-2</v>
      </c>
      <c r="R46" s="208">
        <f t="shared" si="120"/>
        <v>0.37631621609479199</v>
      </c>
      <c r="S46" s="208">
        <f t="shared" si="120"/>
        <v>1.9818573170429722E-3</v>
      </c>
      <c r="T46" s="278">
        <f t="shared" si="120"/>
        <v>0</v>
      </c>
      <c r="U46" s="208">
        <f t="shared" si="120"/>
        <v>4.9378058689242397E-5</v>
      </c>
      <c r="V46" s="208">
        <f t="shared" si="120"/>
        <v>1.4316011934370296E-3</v>
      </c>
      <c r="W46" s="208">
        <f t="shared" si="120"/>
        <v>2.8333778197236047E-2</v>
      </c>
      <c r="X46" s="208">
        <f t="shared" si="120"/>
        <v>7.492112522469678E-2</v>
      </c>
      <c r="Y46" s="208"/>
      <c r="Z46" s="208">
        <f t="shared" si="120"/>
        <v>0</v>
      </c>
      <c r="AA46" s="208"/>
      <c r="AB46" s="208"/>
      <c r="AC46" s="208">
        <f t="shared" si="120"/>
        <v>3.6592086596077794E-2</v>
      </c>
      <c r="AD46" s="208">
        <f t="shared" si="120"/>
        <v>0</v>
      </c>
      <c r="AE46" s="208"/>
      <c r="AF46" s="208">
        <f>AF45/O45</f>
        <v>0.29642745988476527</v>
      </c>
      <c r="AG46" s="186">
        <f>AF45/O45</f>
        <v>0.29642745988476527</v>
      </c>
      <c r="AH46" s="64" t="s">
        <v>33</v>
      </c>
    </row>
    <row r="48" spans="2:37">
      <c r="B48" s="203" t="s">
        <v>366</v>
      </c>
      <c r="F48" s="65"/>
      <c r="G48" s="205">
        <f t="shared" ref="G48:Z48" si="121">SUM(G21:G25)</f>
        <v>18435</v>
      </c>
      <c r="H48" s="205">
        <f t="shared" si="121"/>
        <v>10509</v>
      </c>
      <c r="I48" s="205">
        <f t="shared" si="121"/>
        <v>-251</v>
      </c>
      <c r="J48" s="206">
        <f t="shared" si="121"/>
        <v>10436706.1</v>
      </c>
      <c r="K48" s="206">
        <f t="shared" si="121"/>
        <v>-246027.75</v>
      </c>
      <c r="L48" s="206">
        <f t="shared" si="121"/>
        <v>10190678.349999998</v>
      </c>
      <c r="M48" s="206">
        <f t="shared" si="121"/>
        <v>15464413.649999999</v>
      </c>
      <c r="N48" s="206">
        <f t="shared" si="121"/>
        <v>-368594.06</v>
      </c>
      <c r="O48" s="206">
        <f t="shared" si="121"/>
        <v>15095819.589999998</v>
      </c>
      <c r="P48" s="206">
        <f t="shared" si="121"/>
        <v>1272600.6299999999</v>
      </c>
      <c r="Q48" s="206">
        <f t="shared" si="121"/>
        <v>1392229.3999999997</v>
      </c>
      <c r="R48" s="206">
        <f t="shared" si="121"/>
        <v>5687924.8199999975</v>
      </c>
      <c r="S48" s="277">
        <f t="shared" si="121"/>
        <v>48801.470000000008</v>
      </c>
      <c r="T48" s="277">
        <f t="shared" si="121"/>
        <v>0</v>
      </c>
      <c r="U48" s="206">
        <f t="shared" si="121"/>
        <v>11888.98</v>
      </c>
      <c r="V48" s="206">
        <f t="shared" si="121"/>
        <v>23692.720000000001</v>
      </c>
      <c r="W48" s="206">
        <f t="shared" si="121"/>
        <v>62861</v>
      </c>
      <c r="X48" s="206">
        <f t="shared" si="121"/>
        <v>1288620</v>
      </c>
      <c r="Y48" s="206">
        <f t="shared" si="121"/>
        <v>409686</v>
      </c>
      <c r="Z48" s="206">
        <f t="shared" si="121"/>
        <v>0</v>
      </c>
      <c r="AA48" s="206">
        <f t="shared" ref="AA48:AB48" si="122">SUM(AA21:AA25)</f>
        <v>2013.6999999999998</v>
      </c>
      <c r="AB48" s="206">
        <f t="shared" si="122"/>
        <v>20137</v>
      </c>
      <c r="AC48" s="206">
        <f>SUM(AC21:AC25)</f>
        <v>581887.73378500016</v>
      </c>
      <c r="AD48" s="206">
        <f>SUM(AD21:AD25)</f>
        <v>0</v>
      </c>
      <c r="AE48" s="206">
        <f>SUM(AE21:AE25)</f>
        <v>4875363.8699999992</v>
      </c>
      <c r="AF48" s="206">
        <f>SUM(AF21:AF25)</f>
        <v>4293476.1362149995</v>
      </c>
      <c r="AG48" s="186">
        <f>AF48/P48</f>
        <v>3.3737812437001544</v>
      </c>
      <c r="AH48" s="348" t="s">
        <v>32</v>
      </c>
    </row>
    <row r="49" spans="16:34">
      <c r="P49" s="208">
        <f t="shared" ref="P49:Z49" si="123">P48/$O$48</f>
        <v>8.4301526155162537E-2</v>
      </c>
      <c r="Q49" s="208">
        <f t="shared" si="123"/>
        <v>9.2226155174924149E-2</v>
      </c>
      <c r="R49" s="208">
        <f t="shared" si="123"/>
        <v>0.37678807606894554</v>
      </c>
      <c r="S49" s="509">
        <f t="shared" si="123"/>
        <v>3.2327804203706712E-3</v>
      </c>
      <c r="T49" s="278">
        <f t="shared" si="123"/>
        <v>0</v>
      </c>
      <c r="U49" s="208">
        <f t="shared" si="123"/>
        <v>7.875677056895724E-4</v>
      </c>
      <c r="V49" s="208">
        <f t="shared" si="123"/>
        <v>1.5694888150157077E-3</v>
      </c>
      <c r="W49" s="208">
        <f t="shared" si="123"/>
        <v>4.1641329657676448E-3</v>
      </c>
      <c r="X49" s="208">
        <f t="shared" si="123"/>
        <v>8.5362705371335196E-2</v>
      </c>
      <c r="Y49" s="208">
        <f t="shared" si="123"/>
        <v>2.7139036576151878E-2</v>
      </c>
      <c r="Z49" s="208">
        <f t="shared" si="123"/>
        <v>0</v>
      </c>
      <c r="AA49" s="208">
        <f t="shared" ref="AA49:AB49" si="124">AA48/$O$48</f>
        <v>1.3339454595323499E-4</v>
      </c>
      <c r="AB49" s="208">
        <f t="shared" si="124"/>
        <v>1.3339454595323501E-3</v>
      </c>
      <c r="AC49" s="208">
        <f>AC48/$O$48</f>
        <v>3.8546282983566063E-2</v>
      </c>
      <c r="AD49" s="208">
        <f>AD48/$O$48</f>
        <v>0</v>
      </c>
      <c r="AE49" s="208"/>
      <c r="AF49" s="208">
        <f>AF48/O48</f>
        <v>0.28441490775758538</v>
      </c>
      <c r="AG49" s="186">
        <f>AF48/O48</f>
        <v>0.28441490775758538</v>
      </c>
      <c r="AH49" s="64" t="s">
        <v>33</v>
      </c>
    </row>
  </sheetData>
  <mergeCells count="33">
    <mergeCell ref="AG17:AG20"/>
    <mergeCell ref="AG9:AG16"/>
    <mergeCell ref="AJ2:AJ3"/>
    <mergeCell ref="AK2:AK3"/>
    <mergeCell ref="AD2:AD3"/>
    <mergeCell ref="AF2:AF3"/>
    <mergeCell ref="AG2:AG3"/>
    <mergeCell ref="AH2:AH3"/>
    <mergeCell ref="AI2:AI3"/>
    <mergeCell ref="AE2:AE3"/>
    <mergeCell ref="AG6:AG8"/>
    <mergeCell ref="V2:V3"/>
    <mergeCell ref="W2:W3"/>
    <mergeCell ref="X2:X3"/>
    <mergeCell ref="Z2:Z3"/>
    <mergeCell ref="AC2:AC3"/>
    <mergeCell ref="Y2:Y3"/>
    <mergeCell ref="AG21:AG25"/>
    <mergeCell ref="AG4:AG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A2:AA3"/>
    <mergeCell ref="AB2:AB3"/>
  </mergeCells>
  <conditionalFormatting sqref="O3">
    <cfRule type="dataBar" priority="4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I4:AI6 AI8:AI27">
    <cfRule type="dataBar" priority="1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J4:AJ6 AJ8:AJ27">
    <cfRule type="dataBar" priority="1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K4:AK6 AK8:AK27">
    <cfRule type="dataBar" priority="1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3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3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I28:AI29">
    <cfRule type="dataBar" priority="4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J28:AJ29">
    <cfRule type="dataBar" priority="4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K28:AK29">
    <cfRule type="dataBar" priority="4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3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3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3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2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2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2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2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2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I7">
    <cfRule type="dataBar" priority="1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J7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K7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1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12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1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1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1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1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1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1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1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1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12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1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1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11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1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1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11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1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1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1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11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1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1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1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1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1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1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1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1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1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1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1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1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11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1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1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1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1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11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1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1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1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1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1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1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1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1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1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1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1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1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1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1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1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11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1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1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11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1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11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1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11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1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1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1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1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1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1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1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1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10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10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10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10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10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10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10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1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10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10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10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1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1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1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10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10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1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10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10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10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10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10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10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10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10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10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1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10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10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10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10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10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10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1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9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9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9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9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9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9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9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9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9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9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9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9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7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7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7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7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7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7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7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7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7">
    <cfRule type="dataBar" priority="7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7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7">
    <cfRule type="dataBar" priority="7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7">
    <cfRule type="dataBar" priority="7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7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7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7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7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7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7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7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7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7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7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7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7"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7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7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7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7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7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7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7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18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2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2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2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2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2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2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2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2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2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2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2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2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2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2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2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2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2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2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2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2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2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2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2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2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2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2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2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2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2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2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2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2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2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2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2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2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2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2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2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2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2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2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2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2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2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2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2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2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2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2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2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2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2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2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2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2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2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2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conditionalFormatting sqref="Q23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{2944EA97-4FD7-46C2-B753-4473E7424B7D}</x14:id>
        </ext>
      </extLst>
    </cfRule>
  </conditionalFormatting>
  <conditionalFormatting sqref="Q23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{802B845C-DA36-42D0-8024-85B479D25A50}</x14:id>
        </ext>
      </extLst>
    </cfRule>
  </conditionalFormatting>
  <conditionalFormatting sqref="R23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{F097921C-19C2-49D6-8706-5EBE702938AC}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{446DADEA-A197-48CF-BB4E-A948BB6FAC41}</x14:id>
        </ext>
      </extLst>
    </cfRule>
  </conditionalFormatting>
  <conditionalFormatting sqref="Q23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{BDECEF65-67E2-47C6-AA4D-3A985484F5B2}</x14:id>
        </ext>
      </extLst>
    </cfRule>
  </conditionalFormatting>
  <conditionalFormatting sqref="R23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{C2E590E0-D4AA-4595-9F22-226457E68912}</x14:id>
        </ext>
      </extLst>
    </cfRule>
  </conditionalFormatting>
  <conditionalFormatting sqref="Q23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{97259710-55B5-49FB-B4A5-8D1A2DB92DCE}</x14:id>
        </ext>
      </extLst>
    </cfRule>
  </conditionalFormatting>
  <conditionalFormatting sqref="R23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{6F572AF0-DE31-4510-A8E7-22DBE65C7F6C}</x14:id>
        </ext>
      </extLst>
    </cfRule>
  </conditionalFormatting>
  <conditionalFormatting sqref="Q23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{D46FC9DF-CCA1-4A59-9BCA-01391C589ACB}</x14:id>
        </ext>
      </extLst>
    </cfRule>
  </conditionalFormatting>
  <conditionalFormatting sqref="R23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{21BFD29B-1386-4DAE-8F1B-6B02EF22C3AE}</x14:id>
        </ext>
      </extLst>
    </cfRule>
  </conditionalFormatting>
  <conditionalFormatting sqref="R23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{0953F849-3264-4B05-8B80-AA7EBC8E3781}</x14:id>
        </ext>
      </extLst>
    </cfRule>
  </conditionalFormatting>
  <conditionalFormatting sqref="O23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{76C97D7A-A29E-43B6-BE82-85663DFBE443}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{6A9C099E-F101-4444-AB6D-FC4CAB14631E}</x14:id>
        </ext>
      </extLst>
    </cfRule>
  </conditionalFormatting>
  <conditionalFormatting sqref="O2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{197D5A10-391A-4C34-A471-34EDFB70006A}</x14:id>
        </ext>
      </extLst>
    </cfRule>
  </conditionalFormatting>
  <conditionalFormatting sqref="O23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{42E121C7-6AF0-4CAD-9651-98BCD96C4500}</x14:id>
        </ext>
      </extLst>
    </cfRule>
  </conditionalFormatting>
  <conditionalFormatting sqref="L23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{DD4FD236-4882-430E-80F1-329D42E0CBB9}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{31DC26E8-E4C8-4F3B-AAEF-93BB69948A76}</x14:id>
        </ext>
      </extLst>
    </cfRule>
  </conditionalFormatting>
  <conditionalFormatting sqref="L23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{8AD5732E-C2AE-44B6-B5B4-650F6EA88510}</x14:id>
        </ext>
      </extLst>
    </cfRule>
  </conditionalFormatting>
  <conditionalFormatting sqref="L23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{23C2FBF2-3402-4C2C-82D1-6B6C61A0B27C}</x14:id>
        </ext>
      </extLst>
    </cfRule>
  </conditionalFormatting>
  <conditionalFormatting sqref="O23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{693F0180-9952-47C6-A693-51E254573610}</x14:id>
        </ext>
      </extLst>
    </cfRule>
  </conditionalFormatting>
  <conditionalFormatting sqref="Q23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{6F016174-0124-4C8E-8631-09A24AD5D6AE}</x14:id>
        </ext>
      </extLst>
    </cfRule>
  </conditionalFormatting>
  <conditionalFormatting sqref="R23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{0C1D5CCD-C816-4465-AD44-3ADBFA523974}</x14:id>
        </ext>
      </extLst>
    </cfRule>
  </conditionalFormatting>
  <conditionalFormatting sqref="L23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{A276B350-728B-4266-9A5F-F9D0B6D16E56}</x14:id>
        </ext>
      </extLst>
    </cfRule>
  </conditionalFormatting>
  <conditionalFormatting sqref="L23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{73294512-C858-44CF-91B8-5A24B9E1EF58}</x14:id>
        </ext>
      </extLst>
    </cfRule>
  </conditionalFormatting>
  <conditionalFormatting sqref="O23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{0A8395E9-34C8-4CF6-8397-4BAF07F35D4E}</x14:id>
        </ext>
      </extLst>
    </cfRule>
  </conditionalFormatting>
  <conditionalFormatting sqref="Q23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{F0ABCB18-6115-49A8-ACE2-5B357E254733}</x14:id>
        </ext>
      </extLst>
    </cfRule>
  </conditionalFormatting>
  <conditionalFormatting sqref="R23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{E57689C8-42FA-43B0-B1A9-2BB1EE8B91DE}</x14:id>
        </ext>
      </extLst>
    </cfRule>
  </conditionalFormatting>
  <conditionalFormatting sqref="L23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{1C367053-6CB5-45CE-A622-442518E3F0F2}</x14:id>
        </ext>
      </extLst>
    </cfRule>
  </conditionalFormatting>
  <conditionalFormatting sqref="O23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{EBAC046B-A21E-4BE8-AEB2-DE14828EC632}</x14:id>
        </ext>
      </extLst>
    </cfRule>
  </conditionalFormatting>
  <conditionalFormatting sqref="Q2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{58357019-7FD3-47E6-B042-46F0665D2F25}</x14:id>
        </ext>
      </extLst>
    </cfRule>
  </conditionalFormatting>
  <conditionalFormatting sqref="R23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{188DF781-4947-4904-BBB8-70866602D30F}</x14:id>
        </ext>
      </extLst>
    </cfRule>
  </conditionalFormatting>
  <conditionalFormatting sqref="L23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{2239E4E0-3C49-4C3B-9691-882014D7EE3E}</x14:id>
        </ext>
      </extLst>
    </cfRule>
  </conditionalFormatting>
  <conditionalFormatting sqref="O2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{2B5DB698-6FA1-4A11-B21F-FF5136F67E6C}</x14:id>
        </ext>
      </extLst>
    </cfRule>
  </conditionalFormatting>
  <conditionalFormatting sqref="Q2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{D6BE0817-4EFF-4289-88EE-163B90B9A765}</x14:id>
        </ext>
      </extLst>
    </cfRule>
  </conditionalFormatting>
  <conditionalFormatting sqref="R23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{382C219F-22C8-4000-8E5B-35C0125CA373}</x14:id>
        </ext>
      </extLst>
    </cfRule>
  </conditionalFormatting>
  <conditionalFormatting sqref="Q23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{07F0A1BB-1064-491A-8D56-5D1513FBD9FE}</x14:id>
        </ext>
      </extLst>
    </cfRule>
  </conditionalFormatting>
  <conditionalFormatting sqref="Q23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{1BEF55CB-A24D-40EC-B8F0-8E60AE52EB16}</x14:id>
        </ext>
      </extLst>
    </cfRule>
  </conditionalFormatting>
  <conditionalFormatting sqref="R23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{1425252C-E5B5-4679-A1D5-8B3BD12061DD}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{921E15AA-23AB-485C-90E6-510201C9219E}</x14:id>
        </ext>
      </extLst>
    </cfRule>
  </conditionalFormatting>
  <conditionalFormatting sqref="Q23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{6F41FEC5-0E56-4D04-AEE1-1040F71BE8AB}</x14:id>
        </ext>
      </extLst>
    </cfRule>
  </conditionalFormatting>
  <conditionalFormatting sqref="R23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{0427038F-39C8-4B25-97B0-391AFCCF80ED}</x14:id>
        </ext>
      </extLst>
    </cfRule>
  </conditionalFormatting>
  <conditionalFormatting sqref="Q23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{50B19B46-BF84-4936-9FAF-8564AAE5E891}</x14:id>
        </ext>
      </extLst>
    </cfRule>
  </conditionalFormatting>
  <conditionalFormatting sqref="R23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{67C63179-2D67-4083-9D5E-84C1B8673896}</x14:id>
        </ext>
      </extLst>
    </cfRule>
  </conditionalFormatting>
  <conditionalFormatting sqref="Q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{85E11F51-2AF7-4920-B756-BFAB1F5EA08E}</x14:id>
        </ext>
      </extLst>
    </cfRule>
  </conditionalFormatting>
  <conditionalFormatting sqref="R23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{97B54468-7ACF-48F0-9241-42268F4EE863}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{E6D9C687-DD42-467A-B205-FEA0DD44030C}</x14:id>
        </ext>
      </extLst>
    </cfRule>
  </conditionalFormatting>
  <conditionalFormatting sqref="O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{C07B089D-807A-4689-9F21-A3AE0E67C787}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{68242D30-4244-48BE-B9B1-537DBC1A139A}</x14:id>
        </ext>
      </extLst>
    </cfRule>
  </conditionalFormatting>
  <conditionalFormatting sqref="O23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{6F15124D-B16D-4163-8DA1-E7585FD41EFD}</x14:id>
        </ext>
      </extLst>
    </cfRule>
  </conditionalFormatting>
  <conditionalFormatting sqref="O23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{95CC2BF4-1987-4B2E-B111-1834431A00E3}</x14:id>
        </ext>
      </extLst>
    </cfRule>
  </conditionalFormatting>
  <conditionalFormatting sqref="L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{EBB99152-F41C-4ADD-AD85-FF3192453469}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{0A8B1AB4-F744-4F18-9026-CDD83A164869}</x14:id>
        </ext>
      </extLst>
    </cfRule>
  </conditionalFormatting>
  <conditionalFormatting sqref="L23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{1B7E27C0-123F-4749-B1C4-A7AA9D704CED}</x14:id>
        </ext>
      </extLst>
    </cfRule>
  </conditionalFormatting>
  <conditionalFormatting sqref="L23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{5A9F0FE0-8517-446E-A4F8-EA16541FEA62}</x14:id>
        </ext>
      </extLst>
    </cfRule>
  </conditionalFormatting>
  <conditionalFormatting sqref="O23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{2FCDC3D6-4C4D-4A7F-8A0C-4B17D8A64374}</x14:id>
        </ext>
      </extLst>
    </cfRule>
  </conditionalFormatting>
  <conditionalFormatting sqref="Q23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{234C57E1-6859-4F9B-B978-4358B7BFD510}</x14:id>
        </ext>
      </extLst>
    </cfRule>
  </conditionalFormatting>
  <conditionalFormatting sqref="R23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{7B676134-8B56-49AF-87C4-EDC8E25A6472}</x14:id>
        </ext>
      </extLst>
    </cfRule>
  </conditionalFormatting>
  <conditionalFormatting sqref="L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{238BAFB7-C02F-4CA7-BF20-0D3634EA5B61}</x14:id>
        </ext>
      </extLst>
    </cfRule>
  </conditionalFormatting>
  <conditionalFormatting sqref="L23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{81B44EF9-AE27-4DAD-B76B-B0EFE13C1037}</x14:id>
        </ext>
      </extLst>
    </cfRule>
  </conditionalFormatting>
  <conditionalFormatting sqref="O23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{06E8F474-E37C-465C-A916-470AA39704C5}</x14:id>
        </ext>
      </extLst>
    </cfRule>
  </conditionalFormatting>
  <conditionalFormatting sqref="Q23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{7BF118CA-A9D6-4F59-9995-DDE93A33C2E8}</x14:id>
        </ext>
      </extLst>
    </cfRule>
  </conditionalFormatting>
  <conditionalFormatting sqref="R23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{1A8089FD-1B17-4FA2-8E4F-AD86F12173ED}</x14:id>
        </ext>
      </extLst>
    </cfRule>
  </conditionalFormatting>
  <conditionalFormatting sqref="L23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{22BC7674-833A-4F00-9EC2-A093471DD7E9}</x14:id>
        </ext>
      </extLst>
    </cfRule>
  </conditionalFormatting>
  <conditionalFormatting sqref="O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{0F4725A7-ECCD-4AE4-A151-26DC92570C52}</x14:id>
        </ext>
      </extLst>
    </cfRule>
  </conditionalFormatting>
  <conditionalFormatting sqref="Q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{BAAA0EB1-3A07-408D-8CA1-AF3736643B4B}</x14:id>
        </ext>
      </extLst>
    </cfRule>
  </conditionalFormatting>
  <conditionalFormatting sqref="R23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{B0B3F697-58E3-4F41-A207-FCB7D32DD78C}</x14:id>
        </ext>
      </extLst>
    </cfRule>
  </conditionalFormatting>
  <conditionalFormatting sqref="L23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{E1EF5F9E-2AFD-4100-991C-1C0D2E39A51F}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{5BCC252C-9F74-4532-97E5-B6F0625E46A9}</x14:id>
        </ext>
      </extLst>
    </cfRule>
  </conditionalFormatting>
  <conditionalFormatting sqref="Q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{0DDF3885-87FC-418D-9FC5-7060B9B58998}</x14:id>
        </ext>
      </extLst>
    </cfRule>
  </conditionalFormatting>
  <conditionalFormatting sqref="R23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{B187F68E-E354-4FB2-90FE-9BC96D3D11F9}</x14:id>
        </ext>
      </extLst>
    </cfRule>
  </conditionalFormatting>
  <conditionalFormatting sqref="Q24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{A39C34AC-A604-4153-9F87-F8CE5C2F5E5E}</x14:id>
        </ext>
      </extLst>
    </cfRule>
  </conditionalFormatting>
  <conditionalFormatting sqref="Q24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{2BD9C28A-8507-483B-B833-C0D85EBF0057}</x14:id>
        </ext>
      </extLst>
    </cfRule>
  </conditionalFormatting>
  <conditionalFormatting sqref="R24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{6EEC7228-D579-488A-B55D-1DC548F2D761}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{5F0D03A1-1FC1-4144-9534-C97E687EEFF4}</x14:id>
        </ext>
      </extLst>
    </cfRule>
  </conditionalFormatting>
  <conditionalFormatting sqref="Q24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{52AECE7D-3503-45C4-AE39-7E8863A7F68A}</x14:id>
        </ext>
      </extLst>
    </cfRule>
  </conditionalFormatting>
  <conditionalFormatting sqref="R24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{6BCE0404-C51C-434E-A547-CE910CD8218E}</x14:id>
        </ext>
      </extLst>
    </cfRule>
  </conditionalFormatting>
  <conditionalFormatting sqref="Q24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{813722EE-2CEE-4271-A181-BEC46C1C208D}</x14:id>
        </ext>
      </extLst>
    </cfRule>
  </conditionalFormatting>
  <conditionalFormatting sqref="R24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{8275D104-17E3-4174-ACEC-07D1F89EC032}</x14:id>
        </ext>
      </extLst>
    </cfRule>
  </conditionalFormatting>
  <conditionalFormatting sqref="Q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{F85FEE60-1635-422A-8CF0-3C1DCFC697C4}</x14:id>
        </ext>
      </extLst>
    </cfRule>
  </conditionalFormatting>
  <conditionalFormatting sqref="R24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{2B66EF8B-3A57-4C5E-B75F-29B56381B663}</x14:id>
        </ext>
      </extLst>
    </cfRule>
  </conditionalFormatting>
  <conditionalFormatting sqref="R2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{364C24C0-71B0-4E85-BE78-8E5723CC7DAC}</x14:id>
        </ext>
      </extLst>
    </cfRule>
  </conditionalFormatting>
  <conditionalFormatting sqref="O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{BAFC9396-1045-4A84-9041-4664222A7830}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{4D04A467-598C-459C-90F6-67E0C5988B46}</x14:id>
        </ext>
      </extLst>
    </cfRule>
  </conditionalFormatting>
  <conditionalFormatting sqref="O24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{1EC2793C-C223-4935-B3EF-073E402B7F14}</x14:id>
        </ext>
      </extLst>
    </cfRule>
  </conditionalFormatting>
  <conditionalFormatting sqref="O24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{D4669B33-C1C1-4657-8AD9-DE3546AE4AF2}</x14:id>
        </ext>
      </extLst>
    </cfRule>
  </conditionalFormatting>
  <conditionalFormatting sqref="L2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{4836D259-9FC7-41FF-91C4-72BDF660D387}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{C67B545E-87F5-4981-ADA9-2C7B6F31822F}</x14:id>
        </ext>
      </extLst>
    </cfRule>
  </conditionalFormatting>
  <conditionalFormatting sqref="L24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{5D113443-7395-4A1F-819C-2722DA55E9E6}</x14:id>
        </ext>
      </extLst>
    </cfRule>
  </conditionalFormatting>
  <conditionalFormatting sqref="L24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{49D208B0-E83F-4936-80D6-FC48876AB61D}</x14:id>
        </ext>
      </extLst>
    </cfRule>
  </conditionalFormatting>
  <conditionalFormatting sqref="O24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{E3BF325B-DCE7-4F33-8CFF-93B04FD095BB}</x14:id>
        </ext>
      </extLst>
    </cfRule>
  </conditionalFormatting>
  <conditionalFormatting sqref="Q24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{8D3E0A09-9862-4A7A-9C95-AE1A38DDC431}</x14:id>
        </ext>
      </extLst>
    </cfRule>
  </conditionalFormatting>
  <conditionalFormatting sqref="R24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{8FA8ED7C-C3D1-4E1D-B7BA-BEAA751B0A79}</x14:id>
        </ext>
      </extLst>
    </cfRule>
  </conditionalFormatting>
  <conditionalFormatting sqref="L2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{5AA38515-45B1-4547-B4DE-C814FF431787}</x14:id>
        </ext>
      </extLst>
    </cfRule>
  </conditionalFormatting>
  <conditionalFormatting sqref="L24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{1DCEF98E-90D9-4A6D-88C3-99356F47E887}</x14:id>
        </ext>
      </extLst>
    </cfRule>
  </conditionalFormatting>
  <conditionalFormatting sqref="O24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{3EA89774-D47C-4875-A48B-284008B71FC8}</x14:id>
        </ext>
      </extLst>
    </cfRule>
  </conditionalFormatting>
  <conditionalFormatting sqref="Q24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{5F7B8EBD-BFAB-4351-A24C-6221934D6B23}</x14:id>
        </ext>
      </extLst>
    </cfRule>
  </conditionalFormatting>
  <conditionalFormatting sqref="R24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{596F2777-7C76-479B-AD94-78473109181D}</x14:id>
        </ext>
      </extLst>
    </cfRule>
  </conditionalFormatting>
  <conditionalFormatting sqref="L24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{B9D2CE8B-613A-47C6-8F5E-84ED888B4AFF}</x14:id>
        </ext>
      </extLst>
    </cfRule>
  </conditionalFormatting>
  <conditionalFormatting sqref="O24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{58DC20DC-9198-4B4C-8C3C-BD08B23040D2}</x14:id>
        </ext>
      </extLst>
    </cfRule>
  </conditionalFormatting>
  <conditionalFormatting sqref="Q24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{939C756F-184D-419A-8253-A76A7B33E6C9}</x14:id>
        </ext>
      </extLst>
    </cfRule>
  </conditionalFormatting>
  <conditionalFormatting sqref="R24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{87C579C4-8FED-4912-89A1-FC80D1CCA3C3}</x14:id>
        </ext>
      </extLst>
    </cfRule>
  </conditionalFormatting>
  <conditionalFormatting sqref="L24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{658AF336-09D3-41EC-8EB8-FFC8C138ADFC}</x14:id>
        </ext>
      </extLst>
    </cfRule>
  </conditionalFormatting>
  <conditionalFormatting sqref="O24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{3C970A9B-2012-463F-BE4D-184E4C3DB4A1}</x14:id>
        </ext>
      </extLst>
    </cfRule>
  </conditionalFormatting>
  <conditionalFormatting sqref="Q24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{A2C3D346-EFC1-4AE1-8C18-25DEB7168EC5}</x14:id>
        </ext>
      </extLst>
    </cfRule>
  </conditionalFormatting>
  <conditionalFormatting sqref="R24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{C2BA1BC5-66CE-46CB-90ED-3548276FFE6B}</x14:id>
        </ext>
      </extLst>
    </cfRule>
  </conditionalFormatting>
  <conditionalFormatting sqref="Q24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{DF8406C6-40EC-4070-85E0-180F055D08EF}</x14:id>
        </ext>
      </extLst>
    </cfRule>
  </conditionalFormatting>
  <conditionalFormatting sqref="Q24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{97684348-C98A-4F34-B127-5AA3F3DDE0C0}</x14:id>
        </ext>
      </extLst>
    </cfRule>
  </conditionalFormatting>
  <conditionalFormatting sqref="R24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{D4247B67-8A45-4C63-9F68-D8DBB4FF24AF}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{2CD6E444-CDB1-4066-8331-DBCA1FDA65C3}</x14:id>
        </ext>
      </extLst>
    </cfRule>
  </conditionalFormatting>
  <conditionalFormatting sqref="Q24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{E58A1131-BB35-4684-A0EA-0F24741D7643}</x14:id>
        </ext>
      </extLst>
    </cfRule>
  </conditionalFormatting>
  <conditionalFormatting sqref="R24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{65846B56-CBEF-484B-9D3C-6A8A8A66DFEE}</x14:id>
        </ext>
      </extLst>
    </cfRule>
  </conditionalFormatting>
  <conditionalFormatting sqref="Q24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{00E3F684-2DFA-406B-8A78-EF31D096FCB5}</x14:id>
        </ext>
      </extLst>
    </cfRule>
  </conditionalFormatting>
  <conditionalFormatting sqref="R24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{BFE7FEA3-E8A3-4CF8-A3F2-85CF3E0D9EC4}</x14:id>
        </ext>
      </extLst>
    </cfRule>
  </conditionalFormatting>
  <conditionalFormatting sqref="Q24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{8E05751E-9010-462B-B12F-F130EA707B06}</x14:id>
        </ext>
      </extLst>
    </cfRule>
  </conditionalFormatting>
  <conditionalFormatting sqref="R24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{BFB94555-899F-400A-B688-A3CF1AACF6D2}</x14:id>
        </ext>
      </extLst>
    </cfRule>
  </conditionalFormatting>
  <conditionalFormatting sqref="R24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{764C286D-78F2-42C2-B544-C08B93A7AD1B}</x14:id>
        </ext>
      </extLst>
    </cfRule>
  </conditionalFormatting>
  <conditionalFormatting sqref="O24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{89404043-1102-4845-9092-9AB7C9BF8E5D}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{5F7E048A-3E62-49A2-B6A6-32475422024B}</x14:id>
        </ext>
      </extLst>
    </cfRule>
  </conditionalFormatting>
  <conditionalFormatting sqref="O24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{DBC55FB6-BDDF-40DE-A999-B0D1492DA6DF}</x14:id>
        </ext>
      </extLst>
    </cfRule>
  </conditionalFormatting>
  <conditionalFormatting sqref="O24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{23D55272-93A4-4F9F-AD20-FEA36DEB3722}</x14:id>
        </ext>
      </extLst>
    </cfRule>
  </conditionalFormatting>
  <conditionalFormatting sqref="L24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{31F8237B-07CA-4E7F-AF34-50A00E5CE6CF}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{F8E8C827-FAA4-49F9-B34E-4CE673BB7711}</x14:id>
        </ext>
      </extLst>
    </cfRule>
  </conditionalFormatting>
  <conditionalFormatting sqref="L24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{8B0F38BE-106E-4ADF-B199-B5AC9855069F}</x14:id>
        </ext>
      </extLst>
    </cfRule>
  </conditionalFormatting>
  <conditionalFormatting sqref="L24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{5F89B09B-9DF8-49DA-9233-69C64784FAB3}</x14:id>
        </ext>
      </extLst>
    </cfRule>
  </conditionalFormatting>
  <conditionalFormatting sqref="O24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{5D055D70-0362-440D-B784-B033391A0997}</x14:id>
        </ext>
      </extLst>
    </cfRule>
  </conditionalFormatting>
  <conditionalFormatting sqref="Q24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{547A6E88-22AA-48B5-8F53-95375D4E83B6}</x14:id>
        </ext>
      </extLst>
    </cfRule>
  </conditionalFormatting>
  <conditionalFormatting sqref="R24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{2C75FBC7-BE46-4944-8689-25BD6C6E5CAE}</x14:id>
        </ext>
      </extLst>
    </cfRule>
  </conditionalFormatting>
  <conditionalFormatting sqref="L24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{654537D4-9C59-4B46-83A0-A5BADABDED6D}</x14:id>
        </ext>
      </extLst>
    </cfRule>
  </conditionalFormatting>
  <conditionalFormatting sqref="L24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{287BA847-93B1-4C55-9E64-C14E6C4BDEDB}</x14:id>
        </ext>
      </extLst>
    </cfRule>
  </conditionalFormatting>
  <conditionalFormatting sqref="O24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{FDB1E4DC-1269-4144-9C64-9AAF0311C316}</x14:id>
        </ext>
      </extLst>
    </cfRule>
  </conditionalFormatting>
  <conditionalFormatting sqref="Q2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{EE6BD687-8981-48A4-ADC5-87B53073A182}</x14:id>
        </ext>
      </extLst>
    </cfRule>
  </conditionalFormatting>
  <conditionalFormatting sqref="R24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{7B48B4BE-7FE5-493F-8808-109590A0ACDC}</x14:id>
        </ext>
      </extLst>
    </cfRule>
  </conditionalFormatting>
  <conditionalFormatting sqref="L24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{55BA8FA6-84E1-4BFC-AE60-A7D60F6C87EC}</x14:id>
        </ext>
      </extLst>
    </cfRule>
  </conditionalFormatting>
  <conditionalFormatting sqref="O24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{2214FBA1-7BAA-4712-A93A-5C8150E9ACA4}</x14:id>
        </ext>
      </extLst>
    </cfRule>
  </conditionalFormatting>
  <conditionalFormatting sqref="Q24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{6126FB6C-618B-47BA-B441-210F8F078162}</x14:id>
        </ext>
      </extLst>
    </cfRule>
  </conditionalFormatting>
  <conditionalFormatting sqref="R24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{2595C9DB-9E86-4EA9-B39C-7FC648D27EF4}</x14:id>
        </ext>
      </extLst>
    </cfRule>
  </conditionalFormatting>
  <conditionalFormatting sqref="L24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{BE1A2D5C-8651-4D24-8D3C-BCAE0BE8392B}</x14:id>
        </ext>
      </extLst>
    </cfRule>
  </conditionalFormatting>
  <conditionalFormatting sqref="O24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{DB2BFDB3-1360-46EF-B6B8-2DBADA52DF96}</x14:id>
        </ext>
      </extLst>
    </cfRule>
  </conditionalFormatting>
  <conditionalFormatting sqref="Q24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{A03CDDB0-EBEE-48FF-A2FD-5A982AE7CAEB}</x14:id>
        </ext>
      </extLst>
    </cfRule>
  </conditionalFormatting>
  <conditionalFormatting sqref="R24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{EC8DB46D-5EA2-497B-A212-2D53487CDD4B}</x14:id>
        </ext>
      </extLst>
    </cfRule>
  </conditionalFormatting>
  <conditionalFormatting sqref="Q25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{7A94F4D4-F67B-4AB4-AB7C-66DD2C0B7D02}</x14:id>
        </ext>
      </extLst>
    </cfRule>
  </conditionalFormatting>
  <conditionalFormatting sqref="Q25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{7618B512-7B43-4969-8000-1981AC0E7343}</x14:id>
        </ext>
      </extLst>
    </cfRule>
  </conditionalFormatting>
  <conditionalFormatting sqref="R25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{69766218-E507-4A07-9251-306FBDB63AD8}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{1E65EA42-9870-4934-80E8-67C4E11FD9C0}</x14:id>
        </ext>
      </extLst>
    </cfRule>
  </conditionalFormatting>
  <conditionalFormatting sqref="Q2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{3295D1E8-F88F-46D0-A35C-5503BF3A1D0F}</x14:id>
        </ext>
      </extLst>
    </cfRule>
  </conditionalFormatting>
  <conditionalFormatting sqref="R2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{75592F05-D436-468A-958C-B3662E37D265}</x14:id>
        </ext>
      </extLst>
    </cfRule>
  </conditionalFormatting>
  <conditionalFormatting sqref="Q25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{EAD2A2DD-40B6-40BB-B7F8-6D5413246B0B}</x14:id>
        </ext>
      </extLst>
    </cfRule>
  </conditionalFormatting>
  <conditionalFormatting sqref="R25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{F8C6E8E4-79B7-4353-A76C-3B57F5546267}</x14:id>
        </ext>
      </extLst>
    </cfRule>
  </conditionalFormatting>
  <conditionalFormatting sqref="Q25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{9E7106AD-FB9C-4852-8367-DE0A2C9241A6}</x14:id>
        </ext>
      </extLst>
    </cfRule>
  </conditionalFormatting>
  <conditionalFormatting sqref="R2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{21B7528E-AE1B-4DE5-935F-49D7AABE3E34}</x14:id>
        </ext>
      </extLst>
    </cfRule>
  </conditionalFormatting>
  <conditionalFormatting sqref="R25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{DEF3BB8E-95E8-4D58-A84E-A44B73B94132}</x14:id>
        </ext>
      </extLst>
    </cfRule>
  </conditionalFormatting>
  <conditionalFormatting sqref="O2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{CBE7A349-AF30-4EDC-8DCF-E6F27AB046C0}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{B86EA601-6358-4EA9-926A-60B19188F2B1}</x14:id>
        </ext>
      </extLst>
    </cfRule>
  </conditionalFormatting>
  <conditionalFormatting sqref="O25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{CF929EA5-C0C7-4FE5-838B-6392C58ECA14}</x14:id>
        </ext>
      </extLst>
    </cfRule>
  </conditionalFormatting>
  <conditionalFormatting sqref="O2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{14ADFE14-27C5-474B-9357-B801BF84F417}</x14:id>
        </ext>
      </extLst>
    </cfRule>
  </conditionalFormatting>
  <conditionalFormatting sqref="L2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{9C39AF06-15EF-475C-8FB5-842F31EE4D79}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{E6DBAA14-DB30-4914-BDAD-F806BEF9F41C}</x14:id>
        </ext>
      </extLst>
    </cfRule>
  </conditionalFormatting>
  <conditionalFormatting sqref="L25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{A1A1F2DD-FF8D-4DD8-9A43-543FA7043703}</x14:id>
        </ext>
      </extLst>
    </cfRule>
  </conditionalFormatting>
  <conditionalFormatting sqref="L25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{09570412-6B3C-46DA-858C-50C1F6F7BC1C}</x14:id>
        </ext>
      </extLst>
    </cfRule>
  </conditionalFormatting>
  <conditionalFormatting sqref="O25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{6D75EAE0-0610-4643-94C7-9BAE79090A83}</x14:id>
        </ext>
      </extLst>
    </cfRule>
  </conditionalFormatting>
  <conditionalFormatting sqref="Q25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{7F78926C-3DBF-456F-B42D-9CA2CC01A6A9}</x14:id>
        </ext>
      </extLst>
    </cfRule>
  </conditionalFormatting>
  <conditionalFormatting sqref="R25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{26524366-315C-412E-91CD-E379AA4EF27F}</x14:id>
        </ext>
      </extLst>
    </cfRule>
  </conditionalFormatting>
  <conditionalFormatting sqref="L2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{E2B2829D-5F46-4AD7-9B4D-E8E79F11BD0F}</x14:id>
        </ext>
      </extLst>
    </cfRule>
  </conditionalFormatting>
  <conditionalFormatting sqref="L25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{79BBE2FB-AF0E-491E-92A8-171DB991CFC6}</x14:id>
        </ext>
      </extLst>
    </cfRule>
  </conditionalFormatting>
  <conditionalFormatting sqref="O25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{95EE709A-354D-4833-8372-8A65AA5791A1}</x14:id>
        </ext>
      </extLst>
    </cfRule>
  </conditionalFormatting>
  <conditionalFormatting sqref="Q25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{0455AECB-6073-4F63-8791-E9E05A614B5E}</x14:id>
        </ext>
      </extLst>
    </cfRule>
  </conditionalFormatting>
  <conditionalFormatting sqref="R25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{BE5DAE37-C4F0-497B-81E3-8E3AA45C746C}</x14:id>
        </ext>
      </extLst>
    </cfRule>
  </conditionalFormatting>
  <conditionalFormatting sqref="L25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{F5446BB5-4D81-497D-8ABF-2E867179D29B}</x14:id>
        </ext>
      </extLst>
    </cfRule>
  </conditionalFormatting>
  <conditionalFormatting sqref="O25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{865C7B3E-828E-4B69-BD49-F9054D63BA8F}</x14:id>
        </ext>
      </extLst>
    </cfRule>
  </conditionalFormatting>
  <conditionalFormatting sqref="Q25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{170187FB-BE1F-4EE3-BE86-D3EB18798EF1}</x14:id>
        </ext>
      </extLst>
    </cfRule>
  </conditionalFormatting>
  <conditionalFormatting sqref="R25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{0A86C0E5-AD36-46CE-9577-35877ADC8B82}</x14:id>
        </ext>
      </extLst>
    </cfRule>
  </conditionalFormatting>
  <conditionalFormatting sqref="L25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{30E21909-AE45-4B74-BDE0-C5032C1F4E0A}</x14:id>
        </ext>
      </extLst>
    </cfRule>
  </conditionalFormatting>
  <conditionalFormatting sqref="O25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{7D1633DD-AEE3-4BDE-937B-FB398140509C}</x14:id>
        </ext>
      </extLst>
    </cfRule>
  </conditionalFormatting>
  <conditionalFormatting sqref="Q25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{76D167A0-087C-42A6-B91D-13E89A44B10A}</x14:id>
        </ext>
      </extLst>
    </cfRule>
  </conditionalFormatting>
  <conditionalFormatting sqref="R25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{9E76C6F5-D2D6-4049-8541-5D41C7D65FE1}</x14:id>
        </ext>
      </extLst>
    </cfRule>
  </conditionalFormatting>
  <conditionalFormatting sqref="Q2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{7FDF6E98-DCB8-46A4-8AFA-DC8EB369CD34}</x14:id>
        </ext>
      </extLst>
    </cfRule>
  </conditionalFormatting>
  <conditionalFormatting sqref="Q2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{DC85DF75-CCCD-4B21-AC30-AE610B7F63A2}</x14:id>
        </ext>
      </extLst>
    </cfRule>
  </conditionalFormatting>
  <conditionalFormatting sqref="R25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{7F0B050A-44C5-4844-800F-84EF9597A48A}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{B8981D28-2377-4729-B3F1-8A6160EDA7DB}</x14:id>
        </ext>
      </extLst>
    </cfRule>
  </conditionalFormatting>
  <conditionalFormatting sqref="Q2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{2EAFDBEE-E63F-4AB7-99E3-C878970EFC54}</x14:id>
        </ext>
      </extLst>
    </cfRule>
  </conditionalFormatting>
  <conditionalFormatting sqref="R2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{DCE15317-8DCB-466C-BFBE-3735D4596822}</x14:id>
        </ext>
      </extLst>
    </cfRule>
  </conditionalFormatting>
  <conditionalFormatting sqref="Q2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{0E26CDE7-6714-4F02-8EE7-5384F2E15C2D}</x14:id>
        </ext>
      </extLst>
    </cfRule>
  </conditionalFormatting>
  <conditionalFormatting sqref="R25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{9B551E8D-59E7-4A69-958C-B620944F67E4}</x14:id>
        </ext>
      </extLst>
    </cfRule>
  </conditionalFormatting>
  <conditionalFormatting sqref="Q2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{C3F4CF47-9EED-444A-A31B-60158C466982}</x14:id>
        </ext>
      </extLst>
    </cfRule>
  </conditionalFormatting>
  <conditionalFormatting sqref="R25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{DEEE0934-878D-4F21-8B74-C9D7E662D9ED}</x14:id>
        </ext>
      </extLst>
    </cfRule>
  </conditionalFormatting>
  <conditionalFormatting sqref="R2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{8C5A105E-009A-4D48-BD8C-316375449381}</x14:id>
        </ext>
      </extLst>
    </cfRule>
  </conditionalFormatting>
  <conditionalFormatting sqref="O25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{EB8831B0-17D9-434D-A55A-A8F4A9FCDFA7}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{F148DE1E-B93D-40DF-8317-A24FD3B904B4}</x14:id>
        </ext>
      </extLst>
    </cfRule>
  </conditionalFormatting>
  <conditionalFormatting sqref="O2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{DDCAC1C9-197A-4227-BCEB-F13665265B04}</x14:id>
        </ext>
      </extLst>
    </cfRule>
  </conditionalFormatting>
  <conditionalFormatting sqref="O2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{740DBB1B-85AA-4D2E-8B73-E0DDC07D4330}</x14:id>
        </ext>
      </extLst>
    </cfRule>
  </conditionalFormatting>
  <conditionalFormatting sqref="L25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{500D3257-0BD0-4861-AA66-C5000AA0166C}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{E00BBA87-41C0-42A4-9446-4F8B5EDF0CE9}</x14:id>
        </ext>
      </extLst>
    </cfRule>
  </conditionalFormatting>
  <conditionalFormatting sqref="L2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{DD0683A9-8E1B-437B-8E36-49436AD653F9}</x14:id>
        </ext>
      </extLst>
    </cfRule>
  </conditionalFormatting>
  <conditionalFormatting sqref="L2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{6CB87D02-A12E-45BF-8E53-AAD275DFE4F6}</x14:id>
        </ext>
      </extLst>
    </cfRule>
  </conditionalFormatting>
  <conditionalFormatting sqref="O2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{152C0EC1-DE74-4D5D-8535-AD1392863514}</x14:id>
        </ext>
      </extLst>
    </cfRule>
  </conditionalFormatting>
  <conditionalFormatting sqref="Q2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{B475E119-9B0F-4C2A-9E8F-E6DC61AD3A0A}</x14:id>
        </ext>
      </extLst>
    </cfRule>
  </conditionalFormatting>
  <conditionalFormatting sqref="R2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{9A1BE15A-CD04-49FA-A5C8-CF2B71E803FB}</x14:id>
        </ext>
      </extLst>
    </cfRule>
  </conditionalFormatting>
  <conditionalFormatting sqref="L2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{5B444E19-DA47-41BA-B737-4AA94309A792}</x14:id>
        </ext>
      </extLst>
    </cfRule>
  </conditionalFormatting>
  <conditionalFormatting sqref="L25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{4834AF0A-A271-4684-AC65-F30AB902587B}</x14:id>
        </ext>
      </extLst>
    </cfRule>
  </conditionalFormatting>
  <conditionalFormatting sqref="O2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{E1DC6197-C2CB-415F-82C2-C49C2DC92B4A}</x14:id>
        </ext>
      </extLst>
    </cfRule>
  </conditionalFormatting>
  <conditionalFormatting sqref="Q2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{D5968208-454C-4457-8588-48D2C439542B}</x14:id>
        </ext>
      </extLst>
    </cfRule>
  </conditionalFormatting>
  <conditionalFormatting sqref="R25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{69566032-1707-40FE-A2CA-7990DBB5DABE}</x14:id>
        </ext>
      </extLst>
    </cfRule>
  </conditionalFormatting>
  <conditionalFormatting sqref="L25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{FED5A962-6664-4AC7-BA4D-8FD7630DCEED}</x14:id>
        </ext>
      </extLst>
    </cfRule>
  </conditionalFormatting>
  <conditionalFormatting sqref="O2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{47A0F8E8-D523-4FA9-AA11-9DF448C810CA}</x14:id>
        </ext>
      </extLst>
    </cfRule>
  </conditionalFormatting>
  <conditionalFormatting sqref="Q2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{4D1B723A-FCC1-4B57-B297-C4A5BEDD69F2}</x14:id>
        </ext>
      </extLst>
    </cfRule>
  </conditionalFormatting>
  <conditionalFormatting sqref="R2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{A1B95096-4BE9-41A4-ADEB-8421C0358BEF}</x14:id>
        </ext>
      </extLst>
    </cfRule>
  </conditionalFormatting>
  <conditionalFormatting sqref="L25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{18700E6C-59FD-44A6-8EEE-C47EC2DC8AE3}</x14:id>
        </ext>
      </extLst>
    </cfRule>
  </conditionalFormatting>
  <conditionalFormatting sqref="O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{B647CF0B-0AD4-443A-BD1D-A76F2460C7DE}</x14:id>
        </ext>
      </extLst>
    </cfRule>
  </conditionalFormatting>
  <conditionalFormatting sqref="Q2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{FE17E9D4-7D44-4B70-8778-04AD50F30690}</x14:id>
        </ext>
      </extLst>
    </cfRule>
  </conditionalFormatting>
  <conditionalFormatting sqref="R2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{3106E8A9-4BCF-46DD-A0CF-91B01AEEFBF4}</x14:id>
        </ext>
      </extLst>
    </cfRule>
  </conditionalFormatting>
  <conditionalFormatting sqref="Q26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{3ED6750A-CAF7-435B-8CA3-F0D9611AB581}</x14:id>
        </ext>
      </extLst>
    </cfRule>
  </conditionalFormatting>
  <conditionalFormatting sqref="Q2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{79F955A6-8501-4ACE-8A48-BAE8214EFA01}</x14:id>
        </ext>
      </extLst>
    </cfRule>
  </conditionalFormatting>
  <conditionalFormatting sqref="R2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{BD87CEB9-4286-46EC-A34F-A7B45141DCAD}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{CD0D058D-8C50-400F-AE89-17AD1DDB709D}</x14:id>
        </ext>
      </extLst>
    </cfRule>
  </conditionalFormatting>
  <conditionalFormatting sqref="Q2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{1C64725B-C2A7-4580-80DA-509004E45D42}</x14:id>
        </ext>
      </extLst>
    </cfRule>
  </conditionalFormatting>
  <conditionalFormatting sqref="R2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{9AA7D6F5-85BE-4414-8CA8-FD2B3F06C5CA}</x14:id>
        </ext>
      </extLst>
    </cfRule>
  </conditionalFormatting>
  <conditionalFormatting sqref="Q2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{97149EA1-F63B-47B3-8484-47770AB795E2}</x14:id>
        </ext>
      </extLst>
    </cfRule>
  </conditionalFormatting>
  <conditionalFormatting sqref="R2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{D6F7FF6D-161C-4B59-84DC-9D62E6083725}</x14:id>
        </ext>
      </extLst>
    </cfRule>
  </conditionalFormatting>
  <conditionalFormatting sqref="Q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{CAD19641-6DE2-4EE3-B406-3739DF229165}</x14:id>
        </ext>
      </extLst>
    </cfRule>
  </conditionalFormatting>
  <conditionalFormatting sqref="R26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{4536E96D-11AF-4F97-B50B-63CE39C8198B}</x14:id>
        </ext>
      </extLst>
    </cfRule>
  </conditionalFormatting>
  <conditionalFormatting sqref="R26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{5A89FA72-86AB-4CB7-855B-441CF12F9FA9}</x14:id>
        </ext>
      </extLst>
    </cfRule>
  </conditionalFormatting>
  <conditionalFormatting sqref="O2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{EAC911AB-E90B-4062-9451-9FB85481F7F1}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{B2D0846D-15A6-45E3-A2D7-327534EF1F1A}</x14:id>
        </ext>
      </extLst>
    </cfRule>
  </conditionalFormatting>
  <conditionalFormatting sqref="O26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{E3D139BE-38FD-45E4-8402-5B21867D02A2}</x14:id>
        </ext>
      </extLst>
    </cfRule>
  </conditionalFormatting>
  <conditionalFormatting sqref="O26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{E2D24839-8CCF-4DBC-A9B4-624969C3EEEF}</x14:id>
        </ext>
      </extLst>
    </cfRule>
  </conditionalFormatting>
  <conditionalFormatting sqref="L2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{AA86ADCC-90BE-4E3E-9CDB-D942E991454D}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{E922B229-5D76-4877-8072-D934EB511156}</x14:id>
        </ext>
      </extLst>
    </cfRule>
  </conditionalFormatting>
  <conditionalFormatting sqref="L26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{527F4BFE-C464-4DE0-9D12-6977A0FB30C0}</x14:id>
        </ext>
      </extLst>
    </cfRule>
  </conditionalFormatting>
  <conditionalFormatting sqref="L2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{22E5335E-AC38-43E7-8D49-BC9CF895BF01}</x14:id>
        </ext>
      </extLst>
    </cfRule>
  </conditionalFormatting>
  <conditionalFormatting sqref="O2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{A829536C-7DD8-4188-BFBF-1CABD851ED53}</x14:id>
        </ext>
      </extLst>
    </cfRule>
  </conditionalFormatting>
  <conditionalFormatting sqref="Q2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{2CB2E80E-539E-4952-BDE1-BBBF2B2943C4}</x14:id>
        </ext>
      </extLst>
    </cfRule>
  </conditionalFormatting>
  <conditionalFormatting sqref="R2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{1FB201E2-DA89-4747-8911-0B6EC29D6E1E}</x14:id>
        </ext>
      </extLst>
    </cfRule>
  </conditionalFormatting>
  <conditionalFormatting sqref="L2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{44B88AA4-1A5F-4E20-88F3-D860D717C6E6}</x14:id>
        </ext>
      </extLst>
    </cfRule>
  </conditionalFormatting>
  <conditionalFormatting sqref="L26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{B12E6E3B-1B1F-44EF-9811-4D95D52735A5}</x14:id>
        </ext>
      </extLst>
    </cfRule>
  </conditionalFormatting>
  <conditionalFormatting sqref="O2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{C5FC8CA2-8950-4635-B0F1-99E8E57D3AB5}</x14:id>
        </ext>
      </extLst>
    </cfRule>
  </conditionalFormatting>
  <conditionalFormatting sqref="Q2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{74B2ED85-ADF4-4A36-86B7-44327CC149D7}</x14:id>
        </ext>
      </extLst>
    </cfRule>
  </conditionalFormatting>
  <conditionalFormatting sqref="R26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{F347C45E-DBBE-4AD4-9279-987EAED8EA71}</x14:id>
        </ext>
      </extLst>
    </cfRule>
  </conditionalFormatting>
  <conditionalFormatting sqref="L26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{AEEE1A0C-D753-4A41-A1EE-EAB411FE971D}</x14:id>
        </ext>
      </extLst>
    </cfRule>
  </conditionalFormatting>
  <conditionalFormatting sqref="O2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{FB524FE7-71DF-4E1B-9F63-F624BC925C59}</x14:id>
        </ext>
      </extLst>
    </cfRule>
  </conditionalFormatting>
  <conditionalFormatting sqref="Q2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{1DE3A4E4-B84C-4A95-A1CA-F171DF466742}</x14:id>
        </ext>
      </extLst>
    </cfRule>
  </conditionalFormatting>
  <conditionalFormatting sqref="R26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{366D939D-EB0F-4710-B9FA-6F137DF687F7}</x14:id>
        </ext>
      </extLst>
    </cfRule>
  </conditionalFormatting>
  <conditionalFormatting sqref="L26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{C4E73D3E-8112-48E9-A1B5-15BBFDAD717F}</x14:id>
        </ext>
      </extLst>
    </cfRule>
  </conditionalFormatting>
  <conditionalFormatting sqref="O2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{05BA9D80-1E90-4ACE-8262-AD5A4023371A}</x14:id>
        </ext>
      </extLst>
    </cfRule>
  </conditionalFormatting>
  <conditionalFormatting sqref="Q2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{30BCA56B-0F23-4689-96EF-4A27E3334C7A}</x14:id>
        </ext>
      </extLst>
    </cfRule>
  </conditionalFormatting>
  <conditionalFormatting sqref="R26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{B42B73AB-6351-458A-8A7E-90BBFC79C99C}</x14:id>
        </ext>
      </extLst>
    </cfRule>
  </conditionalFormatting>
  <conditionalFormatting sqref="Q2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{9E7A447D-FF50-4FB5-86B9-A0B7DB62B1F8}</x14:id>
        </ext>
      </extLst>
    </cfRule>
  </conditionalFormatting>
  <conditionalFormatting sqref="Q2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{FE7A9A78-0873-4B01-92BA-8D3181D61FFA}</x14:id>
        </ext>
      </extLst>
    </cfRule>
  </conditionalFormatting>
  <conditionalFormatting sqref="R2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{27AA45F9-DEF4-4533-8417-AD6946834451}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{7E10C2E6-0048-4AEE-9749-59DD49D8D8D9}</x14:id>
        </ext>
      </extLst>
    </cfRule>
  </conditionalFormatting>
  <conditionalFormatting sqref="Q2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{2B1C57C8-6F0C-44DD-B19A-339058849644}</x14:id>
        </ext>
      </extLst>
    </cfRule>
  </conditionalFormatting>
  <conditionalFormatting sqref="R2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{BFEA2F50-4BDF-4709-9672-536AAF2B7ADD}</x14:id>
        </ext>
      </extLst>
    </cfRule>
  </conditionalFormatting>
  <conditionalFormatting sqref="Q2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{3A952821-A5F8-4C49-AA3C-F525168D2C48}</x14:id>
        </ext>
      </extLst>
    </cfRule>
  </conditionalFormatting>
  <conditionalFormatting sqref="R2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{4717ABE1-2E9B-4BEF-A303-D99A6965974C}</x14:id>
        </ext>
      </extLst>
    </cfRule>
  </conditionalFormatting>
  <conditionalFormatting sqref="Q2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{CC0720BE-47D9-4D2C-B0A4-0555BD63B763}</x14:id>
        </ext>
      </extLst>
    </cfRule>
  </conditionalFormatting>
  <conditionalFormatting sqref="R2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{A5AAB6FB-7229-4181-9FDB-1E215ABBC37E}</x14:id>
        </ext>
      </extLst>
    </cfRule>
  </conditionalFormatting>
  <conditionalFormatting sqref="R26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{6CB17725-A35D-426D-AFDE-1219B446DD12}</x14:id>
        </ext>
      </extLst>
    </cfRule>
  </conditionalFormatting>
  <conditionalFormatting sqref="O2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{1E52BC3E-41FE-4A66-B4C6-CE8C5B5622E3}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{12AE02BF-4503-4B3E-8393-7E80DEC82A61}</x14:id>
        </ext>
      </extLst>
    </cfRule>
  </conditionalFormatting>
  <conditionalFormatting sqref="O2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{06CA0A73-E806-4A63-95A9-69593DA7D915}</x14:id>
        </ext>
      </extLst>
    </cfRule>
  </conditionalFormatting>
  <conditionalFormatting sqref="O2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{DD8348A6-E4DD-48AC-9935-A229E0E2788E}</x14:id>
        </ext>
      </extLst>
    </cfRule>
  </conditionalFormatting>
  <conditionalFormatting sqref="L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{F5A25268-4FAA-4622-B922-0328224E1C6C}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{A3AFE75A-E1CE-4FD4-9BA2-711F292EC37C}</x14:id>
        </ext>
      </extLst>
    </cfRule>
  </conditionalFormatting>
  <conditionalFormatting sqref="L2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{CF111860-B0EA-421B-8B35-47025F5837F7}</x14:id>
        </ext>
      </extLst>
    </cfRule>
  </conditionalFormatting>
  <conditionalFormatting sqref="L2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{2053B1B6-F11C-4EDD-8EBC-6E78C2860FD7}</x14:id>
        </ext>
      </extLst>
    </cfRule>
  </conditionalFormatting>
  <conditionalFormatting sqref="O2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{11625705-5A84-4725-B45A-8D5E78F27A38}</x14:id>
        </ext>
      </extLst>
    </cfRule>
  </conditionalFormatting>
  <conditionalFormatting sqref="Q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{FA70A3AC-8D43-465A-8663-D4E96E9E6505}</x14:id>
        </ext>
      </extLst>
    </cfRule>
  </conditionalFormatting>
  <conditionalFormatting sqref="R2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{52B707AC-C236-4B45-ABC5-172E4D1463A1}</x14:id>
        </ext>
      </extLst>
    </cfRule>
  </conditionalFormatting>
  <conditionalFormatting sqref="L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{26FC2397-5991-468C-AD04-A1F21DA96B0E}</x14:id>
        </ext>
      </extLst>
    </cfRule>
  </conditionalFormatting>
  <conditionalFormatting sqref="L26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{C5F94A60-DC4E-4270-8FA0-92A76A04C50B}</x14:id>
        </ext>
      </extLst>
    </cfRule>
  </conditionalFormatting>
  <conditionalFormatting sqref="O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{23D5502A-5E4D-46E3-B2D7-183B8784AD49}</x14:id>
        </ext>
      </extLst>
    </cfRule>
  </conditionalFormatting>
  <conditionalFormatting sqref="Q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{16D25E1A-BDC2-4B6A-A66F-D539C3EF99C9}</x14:id>
        </ext>
      </extLst>
    </cfRule>
  </conditionalFormatting>
  <conditionalFormatting sqref="R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{097036FE-8ABE-4447-8FCB-35B4CF042D9C}</x14:id>
        </ext>
      </extLst>
    </cfRule>
  </conditionalFormatting>
  <conditionalFormatting sqref="L2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{6B35C6DA-B4CB-4D3F-AB84-8801EEBAD2B7}</x14:id>
        </ext>
      </extLst>
    </cfRule>
  </conditionalFormatting>
  <conditionalFormatting sqref="O2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{74E4E42A-5AC0-4168-A875-67D9A31F761D}</x14:id>
        </ext>
      </extLst>
    </cfRule>
  </conditionalFormatting>
  <conditionalFormatting sqref="Q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{A0B6FD6E-B5E1-411E-A591-04CD25624213}</x14:id>
        </ext>
      </extLst>
    </cfRule>
  </conditionalFormatting>
  <conditionalFormatting sqref="R2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{574E80AD-8C82-4A0B-A677-BA98B9F90FD0}</x14:id>
        </ext>
      </extLst>
    </cfRule>
  </conditionalFormatting>
  <conditionalFormatting sqref="L2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{C543BDFA-FB50-4D7B-A5EC-D430B8F87E9E}</x14:id>
        </ext>
      </extLst>
    </cfRule>
  </conditionalFormatting>
  <conditionalFormatting sqref="O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{2A2EF0F4-8F7A-4625-AD69-E76D90C5F2E0}</x14:id>
        </ext>
      </extLst>
    </cfRule>
  </conditionalFormatting>
  <conditionalFormatting sqref="Q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{66B50118-0E1C-4842-BFB5-7D92A7D22BD6}</x14:id>
        </ext>
      </extLst>
    </cfRule>
  </conditionalFormatting>
  <conditionalFormatting sqref="R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{E49CBCEF-9736-4844-A120-9926CD6551BE}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AI8:AI27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AJ8:AJ27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AK8:AK27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AI28:AI29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AJ28:AJ29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AK28:AK29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944EA97-4FD7-46C2-B753-4473E742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02B845C-DA36-42D0-8024-85B479D25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097921C-19C2-49D6-8706-5EBE70293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6DADEA-A197-48CF-BB4E-A948BB6FAC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DECEF65-67E2-47C6-AA4D-3A985484F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2E590E0-D4AA-4595-9F22-226457E689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7259710-55B5-49FB-B4A5-8D1A2DB92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F572AF0-DE31-4510-A8E7-22DBE65C7F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6FC9DF-CCA1-4A59-9BCA-01391C589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1BFD29B-1386-4DAE-8F1B-6B02EF22C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953F849-3264-4B05-8B80-AA7EBC8E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6C97D7A-A29E-43B6-BE82-85663DFBE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9C099E-F101-4444-AB6D-FC4CAB1463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97D5A10-391A-4C34-A471-34EDFB700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2E121C7-6AF0-4CAD-9651-98BCD96C45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D4FD236-4882-430E-80F1-329D42E0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DC26E8-E4C8-4F3B-AAEF-93BB69948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AD5732E-C2AE-44B6-B5B4-650F6EA88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3C2FBF2-3402-4C2C-82D1-6B6C61A0B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93F0180-9952-47C6-A693-51E254573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016174-0124-4C8E-8631-09A24AD5D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C1D5CCD-C816-4465-AD44-3ADBFA523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276B350-728B-4266-9A5F-F9D0B6D16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3294512-C858-44CF-91B8-5A24B9E1E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A8395E9-34C8-4CF6-8397-4BAF07F35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ABCB18-6115-49A8-ACE2-5B357E254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E57689C8-42FA-43B0-B1A9-2BB1EE8B9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C367053-6CB5-45CE-A622-442518E3F0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BAC046B-A21E-4BE8-AEB2-DE14828E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8357019-7FD3-47E6-B042-46F0665D2F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88DF781-4947-4904-BBB8-70866602D3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39E4E0-3C49-4C3B-9691-882014D7EE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B5DB698-6FA1-4A11-B21F-FF5136F67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6BE0817-4EFF-4289-88EE-163B90B9A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82C219F-22C8-4000-8E5B-35C0125CA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7F0A1BB-1064-491A-8D56-5D1513FBD9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BEF55CB-A24D-40EC-B8F0-8E60AE52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425252C-E5B5-4679-A1D5-8B3BD1206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1E15AA-23AB-485C-90E6-510201C921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F41FEC5-0E56-4D04-AEE1-1040F71BE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27038F-39C8-4B25-97B0-391AFCCF8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B19B46-BF84-4936-9FAF-8564AAE5E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7C63179-2D67-4083-9D5E-84C1B8673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5E11F51-2AF7-4920-B756-BFAB1F5EA0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7B54468-7ACF-48F0-9241-42268F4EE8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6D9C687-DD42-467A-B205-FEA0DD44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07B089D-807A-4689-9F21-A3AE0E67C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242D30-4244-48BE-B9B1-537DBC1A1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15124D-B16D-4163-8DA1-E7585FD41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5CC2BF4-1987-4B2E-B111-1834431A0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BB99152-F41C-4ADD-AD85-FF3192453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8B1AB4-F744-4F18-9026-CDD83A164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B7E27C0-123F-4749-B1C4-A7AA9D70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A9F0FE0-8517-446E-A4F8-EA16541FEA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FCDC3D6-4C4D-4A7F-8A0C-4B17D8A64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34C57E1-6859-4F9B-B978-4358B7BF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B676134-8B56-49AF-87C4-EDC8E25A6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8BAFB7-C02F-4CA7-BF20-0D3634EA5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B44EF9-AE27-4DAD-B76B-B0EFE13C1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6E8F474-E37C-465C-A916-470AA39704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BF118CA-A9D6-4F59-9995-DDE93A33C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A8089FD-1B17-4FA2-8E4F-AD86F1217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BC7674-833A-4F00-9EC2-A093471DD7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F4725A7-ECCD-4AE4-A151-26DC92570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AAA0EB1-3A07-408D-8CA1-AF3736643B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0B3F697-58E3-4F41-A207-FCB7D32DD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1EF5F9E-2AFD-4100-991C-1C0D2E39A5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BCC252C-9F74-4532-97E5-B6F0625E4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DDF3885-87FC-418D-9FC5-7060B9B58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187F68E-E354-4FB2-90FE-9BC96D3D1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9C34AC-A604-4153-9F87-F8CE5C2F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D9C28A-8507-483B-B833-C0D85EBF0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EC7228-D579-488A-B55D-1DC548F2D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0D03A1-1FC1-4144-9534-C97E687EEF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AECE7D-3503-45C4-AE39-7E8863A7F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BCE0404-C51C-434E-A547-CE910CD821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13722EE-2CEE-4271-A181-BEC46C1C20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275D104-17E3-4174-ACEC-07D1F89EC0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F85FEE60-1635-422A-8CF0-3C1DCFC69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66EF8B-3A57-4C5E-B75F-29B56381B6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C24C0-71B0-4E85-BE78-8E5723CC7D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AFC9396-1045-4A84-9041-4664222A7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4A467-598C-459C-90F6-67E0C5988B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EC2793C-C223-4935-B3EF-073E402B7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4669B33-C1C1-4657-8AD9-DE3546AE4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836D259-9FC7-41FF-91C4-72BDF660D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7B545E-87F5-4981-ADA9-2C7B6F3182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113443-7395-4A1F-819C-2722DA55E9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9D208B0-E83F-4936-80D6-FC48876AB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BF325B-DCE7-4F33-8CFF-93B04FD09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D3E0A09-9862-4A7A-9C95-AE1A38DDC4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FA8ED7C-C3D1-4E1D-B7BA-BEAA751B0A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AA38515-45B1-4547-B4DE-C814FF431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DCEF98E-90D9-4A6D-88C3-99356F47E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A89774-D47C-4875-A48B-284008B71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F7B8EBD-BFAB-4351-A24C-6221934D6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96F2777-7C76-479B-AD94-784731091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9D2CE8B-613A-47C6-8F5E-84ED888B4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8DC20DC-9198-4B4C-8C3C-BD08B23040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939C756F-184D-419A-8253-A76A7B33E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7C579C4-8FED-4912-89A1-FC80D1CCA3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8AF336-09D3-41EC-8EB8-FFC8C138AD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C970A9B-2012-463F-BE4D-184E4C3DB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2C3D346-EFC1-4AE1-8C18-25DEB7168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2BA1BC5-66CE-46CB-90ED-3548276FFE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F8406C6-40EC-4070-85E0-180F055D08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7684348-C98A-4F34-B127-5AA3F3DD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D4247B67-8A45-4C63-9F68-D8DBB4FF2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D6E444-CDB1-4066-8331-DBCA1FDA65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58A1131-BB35-4684-A0EA-0F24741D7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5846B56-CBEF-484B-9D3C-6A8A8A66DF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0E3F684-2DFA-406B-8A78-EF31D096F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E7FEA3-E8A3-4CF8-A3F2-85CF3E0D9E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05751E-9010-462B-B12F-F130EA707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B94555-899F-400A-B688-A3CF1AACF6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64C286D-78F2-42C2-B544-C08B93A7AD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9404043-1102-4845-9092-9AB7C9BF8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E048A-3E62-49A2-B6A6-3247542202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C55FB6-BDDF-40DE-A999-B0D1492DA6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3D55272-93A4-4F9F-AD20-FEA36DEB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1F8237B-07CA-4E7F-AF34-50A00E5CE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E8C827-FAA4-49F9-B34E-4CE673BB77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B0F38BE-106E-4ADF-B199-B5AC985506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F89B09B-9DF8-49DA-9233-69C64784F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055D70-0362-440D-B784-B033391A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47A6E88-22AA-48B5-8F53-95375D4E8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C75FBC7-BE46-4944-8689-25BD6C6E5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4537D4-9C59-4B46-83A0-A5BADABDE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87BA847-93B1-4C55-9E64-C14E6C4BD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DB1E4DC-1269-4144-9C64-9AAF0311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6BD687-8981-48A4-ADC5-87B53073A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48B4BE-7FE5-493F-8808-109590A0AC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5BA8FA6-84E1-4BFC-AE60-A7D60F6C87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214FBA1-7BAA-4712-A93A-5C8150E9A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126FB6C-618B-47BA-B441-210F8F078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595C9DB-9E86-4EA9-B39C-7FC648D27E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E1A2D5C-8651-4D24-8D3C-BCAE0BE839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B2BFDB3-1360-46EF-B6B8-2DBADA52D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03CDDB0-EBEE-48FF-A2FD-5A982AE7C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C8DB46D-5EA2-497B-A212-2D53487CD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94F4D4-F67B-4AB4-AB7C-66DD2C0B7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618B512-7B43-4969-8000-1981AC0E73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766218-E507-4A07-9251-306FBDB63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65EA42-9870-4934-80E8-67C4E11FD9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295D1E8-F88F-46D0-A35C-5503BF3A1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5592F05-D436-468A-958C-B3662E37D2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AD2A2DD-40B6-40BB-B7F8-6D5413246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8C6E8E4-79B7-4353-A76C-3B57F55462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E7106AD-FB9C-4852-8367-DE0A2C92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1B7528E-AE1B-4DE5-935F-49D7AABE3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EF3BB8E-95E8-4D58-A84E-A44B73B94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BE7A349-AF30-4EDC-8DCF-E6F27AB04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6EA601-6358-4EA9-926A-60B19188F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F929EA5-C0C7-4FE5-838B-6392C58EC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4ADFE14-27C5-474B-9357-B801BF84F4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9C39AF06-15EF-475C-8FB5-842F31EE4D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BAA14-DB30-4914-BDAD-F806BEF9F4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A1A1F2DD-FF8D-4DD8-9A43-543FA7043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9570412-6B3C-46DA-858C-50C1F6F7B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D75EAE0-0610-4643-94C7-9BAE79090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F78926C-3DBF-456F-B42D-9CA2CC01A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6524366-315C-412E-91CD-E379AA4EF2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2B2829D-5F46-4AD7-9B4D-E8E79F11B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9BBE2FB-AF0E-491E-92A8-171DB991C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5EE709A-354D-4833-8372-8A65AA579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0455AECB-6073-4F63-8791-E9E05A614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E5DAE37-C4F0-497B-81E3-8E3AA45C74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446BB5-4D81-497D-8ABF-2E867179D2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65C7B3E-828E-4B69-BD49-F9054D63B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70187FB-BE1F-4EE3-BE86-D3EB18798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A86C0E5-AD36-46CE-9577-35877ADC8B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0E21909-AE45-4B74-BDE0-C5032C1F4E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D1633DD-AEE3-4BDE-937B-FB3981405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6D167A0-087C-42A6-B91D-13E89A44B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E76C6F5-D2D6-4049-8541-5D41C7D65F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7FDF6E98-DCB8-46A4-8AFA-DC8EB369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85DF75-CCCD-4B21-AC30-AE610B7F6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F0B050A-44C5-4844-800F-84EF9597A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981D28-2377-4729-B3F1-8A6160EDA7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EAFDBEE-E63F-4AB7-99E3-C878970EFC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E15317-8DCB-466C-BFBE-3735D45968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E26CDE7-6714-4F02-8EE7-5384F2E15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B551E8D-59E7-4A69-958C-B620944F6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3F4CF47-9EED-444A-A31B-60158C466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EEE0934-878D-4F21-8B74-C9D7E662D9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C5A105E-009A-4D48-BD8C-3163754493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B8831B0-17D9-434D-A55A-A8F4A9FCD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8DE1E-B93D-40DF-8317-A24FD3B904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DCAC1C9-197A-4227-BCEB-F13665265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40DBB1B-85AA-4D2E-8B73-E0DDC07D4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500D3257-0BD0-4861-AA66-C5000AA01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BBA87-41C0-42A4-9446-4F8B5EDF0C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D0683A9-8E1B-437B-8E36-49436AD65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B87D02-A12E-45BF-8E53-AAD275DFE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52C0EC1-DE74-4D5D-8535-AD1392863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B475E119-9B0F-4C2A-9E8F-E6DC61AD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A1BE15A-CD04-49FA-A5C8-CF2B71E80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5B444E19-DA47-41BA-B737-4AA94309A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834AF0A-A271-4684-AC65-F30AB9025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1DC6197-C2CB-415F-82C2-C49C2DC92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5968208-454C-4457-8588-48D2C43954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566032-1707-40FE-A2CA-7990DBB5DA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ED5A962-6664-4AC7-BA4D-8FD7630DCE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A0F8E8-D523-4FA9-AA11-9DF448C810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1B723A-FCC1-4B57-B297-C4A5BED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1B95096-4BE9-41A4-ADEB-8421C0358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8700E6C-59FD-44A6-8EEE-C47EC2DC8A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B647CF0B-0AD4-443A-BD1D-A76F2460C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FE17E9D4-7D44-4B70-8778-04AD50F30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106E8A9-4BCF-46DD-A0CF-91B01AEEFB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ED6750A-CAF7-435B-8CA3-F0D9611AB5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79F955A6-8501-4ACE-8A48-BAE8214EF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D87CEB9-4286-46EC-A34F-A7B45141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D0D058D-8C50-400F-AE89-17AD1DDB7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C64725B-C2A7-4580-80DA-509004E45D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9AA7D6F5-85BE-4414-8CA8-FD2B3F06C5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7149EA1-F63B-47B3-8484-47770AB795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F7FF6D-161C-4B59-84DC-9D62E6083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AD19641-6DE2-4EE3-B406-3739DF229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4536E96D-11AF-4F97-B50B-63CE39C819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A89FA72-86AB-4CB7-855B-441CF12F9F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EAC911AB-E90B-4062-9451-9FB85481F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D0846D-15A6-45E3-A2D7-327534EF1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3D139BE-38FD-45E4-8402-5B21867D0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2D24839-8CCF-4DBC-A9B4-624969C3E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A86ADCC-90BE-4E3E-9CDB-D942E9914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22B229-5D76-4877-8072-D934EB51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27F4BFE-C464-4DE0-9D12-6977A0FB3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2E5335E-AC38-43E7-8D49-BC9CF895B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829536C-7DD8-4188-BFBF-1CABD851ED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CB2E80E-539E-4952-BDE1-BBBF2B2943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B201E2-DA89-4747-8911-0B6EC29D6E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4B88AA4-1A5F-4E20-88F3-D860D717C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12E6E3B-1B1F-44EF-9811-4D95D5273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5FC8CA2-8950-4635-B0F1-99E8E57D3A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74B2ED85-ADF4-4A36-86B7-44327CC14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347C45E-DBBE-4AD4-9279-987EAED8EA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EEE1A0C-D753-4A41-A1EE-EAB411FE971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B524FE7-71DF-4E1B-9F63-F624BC925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DE3A4E4-B84C-4A95-A1CA-F171DF466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66D939D-EB0F-4710-B9FA-6F137DF687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4E73D3E-8112-48E9-A1B5-15BBFDAD71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A9D80-1E90-4ACE-8262-AD5A4023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0BCA56B-0F23-4689-96EF-4A27E3334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42B73AB-6351-458A-8A7E-90BBFC79C9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E7A447D-FF50-4FB5-86B9-A0B7DB62B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E7A9A78-0873-4B01-92BA-8D3181D61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7AA45F9-DEF4-4533-8417-AD6946834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10C2E6-0048-4AEE-9749-59DD49D8D8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B1C57C8-6F0C-44DD-B19A-3390588496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FEA2F50-4BDF-4709-9672-536AAF2B7A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952821-A5F8-4C49-AA3C-F525168D2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4717ABE1-2E9B-4BEF-A303-D99A696597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C0720BE-47D9-4D2C-B0A4-0555BD63B7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5AAB6FB-7229-4181-9FDB-1E215ABBC3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CB17725-A35D-426D-AFDE-1219B446DD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E52BC3E-41FE-4A66-B4C6-CE8C5B5622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AE02BF-4503-4B3E-8393-7E80DEC82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6CA0A73-E806-4A63-95A9-69593DA7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DD8348A6-E4DD-48AC-9935-A229E0E278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5A25268-4FAA-4622-B922-0328224E1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3AFE75A-E1CE-4FD4-9BA2-711F292E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F111860-B0EA-421B-8B35-47025F583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053B1B6-F11C-4EDD-8EBC-6E78C2860F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625705-5A84-4725-B45A-8D5E78F27A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A70A3AC-8D43-465A-8663-D4E96E9E65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2B707AC-C236-4B45-ABC5-172E4D146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6FC2397-5991-468C-AD04-A1F21DA96B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5F94A60-DC4E-4270-8FA0-92A76A04C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3D5502A-5E4D-46E3-B2D7-183B8784AD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6D25E1A-BDC2-4B6A-A66F-D539C3EF99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97036FE-8ABE-4447-8FCB-35B4CF042D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B35C6DA-B4CB-4D3F-AB84-8801EEBAD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4E4E42A-5AC0-4168-A875-67D9A31F76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0B6FD6E-B5E1-411E-A591-04CD25624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74E80AD-8C82-4A0B-A677-BA98B9F90F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543BDFA-FB50-4D7B-A5EC-D430B8F87E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A2EF0F4-8F7A-4625-AD69-E76D90C5F2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6B50118-0E1C-4842-BFB5-7D92A7D22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49CBCEF-9736-4844-A120-9926CD6551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DF99-9C99-4771-9EB2-2CDC95BA96F1}">
  <sheetPr codeName="Лист43"/>
  <dimension ref="B1:Q110"/>
  <sheetViews>
    <sheetView topLeftCell="A97" zoomScale="80" zoomScaleNormal="80" workbookViewId="0">
      <selection activeCell="H112" sqref="H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35" si="0">C4/C$110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35" si="2">J4/J$110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ref="D36:D67" si="7">C36/C$110</f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ref="K36:K67" si="8">J36/J$110</f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7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8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7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8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7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8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7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8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7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8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7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8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7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8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7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8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7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8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7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8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7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8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7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8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7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8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7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8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7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8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7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8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7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8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7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8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7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8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7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8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7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8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7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8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7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8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7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8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7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8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7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8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7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8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7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8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7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8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7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8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7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8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99" si="9">C68/C$110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9" si="10">VLOOKUP(B$4:B$104,I$4:M$104,5,0)</f>
        <v>#DIV/0!</v>
      </c>
      <c r="I68" s="182" t="s">
        <v>186</v>
      </c>
      <c r="J68" s="171"/>
      <c r="K68" s="172" t="e">
        <f t="shared" ref="K68:K99" si="11">J68/J$110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9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10"/>
        <v>#DIV/0!</v>
      </c>
      <c r="I69" s="182" t="s">
        <v>187</v>
      </c>
      <c r="J69" s="171"/>
      <c r="K69" s="172" t="e">
        <f t="shared" si="11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9"/>
        <v>#DIV/0!</v>
      </c>
      <c r="E70" s="172" t="e">
        <f t="shared" ref="E70:E75" si="12">E69+D70</f>
        <v>#DIV/0!</v>
      </c>
      <c r="F70" s="173" t="e">
        <f t="shared" si="3"/>
        <v>#DIV/0!</v>
      </c>
      <c r="G70" s="173" t="e">
        <f t="shared" si="10"/>
        <v>#DIV/0!</v>
      </c>
      <c r="I70" s="182" t="s">
        <v>188</v>
      </c>
      <c r="J70" s="171"/>
      <c r="K70" s="172" t="e">
        <f t="shared" si="11"/>
        <v>#DIV/0!</v>
      </c>
      <c r="L70" s="172" t="e">
        <f t="shared" ref="L70:L75" si="13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9"/>
        <v>#DIV/0!</v>
      </c>
      <c r="E71" s="172" t="e">
        <f t="shared" si="12"/>
        <v>#DIV/0!</v>
      </c>
      <c r="F71" s="173" t="e">
        <f t="shared" si="3"/>
        <v>#DIV/0!</v>
      </c>
      <c r="G71" s="173" t="e">
        <f t="shared" si="10"/>
        <v>#DIV/0!</v>
      </c>
      <c r="I71" s="182" t="s">
        <v>189</v>
      </c>
      <c r="J71" s="171"/>
      <c r="K71" s="172" t="e">
        <f t="shared" si="11"/>
        <v>#DIV/0!</v>
      </c>
      <c r="L71" s="172" t="e">
        <f t="shared" si="13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9"/>
        <v>#DIV/0!</v>
      </c>
      <c r="E72" s="172" t="e">
        <f t="shared" si="12"/>
        <v>#DIV/0!</v>
      </c>
      <c r="F72" s="173" t="e">
        <f t="shared" si="3"/>
        <v>#DIV/0!</v>
      </c>
      <c r="G72" s="173" t="e">
        <f t="shared" si="10"/>
        <v>#DIV/0!</v>
      </c>
      <c r="I72" s="182" t="s">
        <v>190</v>
      </c>
      <c r="J72" s="171"/>
      <c r="K72" s="172" t="e">
        <f t="shared" si="11"/>
        <v>#DIV/0!</v>
      </c>
      <c r="L72" s="172" t="e">
        <f t="shared" si="13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9"/>
        <v>#DIV/0!</v>
      </c>
      <c r="E73" s="172" t="e">
        <f t="shared" si="12"/>
        <v>#DIV/0!</v>
      </c>
      <c r="F73" s="173" t="e">
        <f t="shared" si="3"/>
        <v>#DIV/0!</v>
      </c>
      <c r="G73" s="173" t="e">
        <f t="shared" si="10"/>
        <v>#DIV/0!</v>
      </c>
      <c r="I73" s="182" t="s">
        <v>191</v>
      </c>
      <c r="J73" s="171"/>
      <c r="K73" s="172" t="e">
        <f t="shared" si="11"/>
        <v>#DIV/0!</v>
      </c>
      <c r="L73" s="172" t="e">
        <f t="shared" si="13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9"/>
        <v>#DIV/0!</v>
      </c>
      <c r="E74" s="172" t="e">
        <f t="shared" si="12"/>
        <v>#DIV/0!</v>
      </c>
      <c r="F74" s="173" t="e">
        <f t="shared" si="3"/>
        <v>#DIV/0!</v>
      </c>
      <c r="G74" s="173" t="e">
        <f t="shared" si="10"/>
        <v>#DIV/0!</v>
      </c>
      <c r="I74" s="182" t="s">
        <v>192</v>
      </c>
      <c r="J74" s="171"/>
      <c r="K74" s="172" t="e">
        <f t="shared" si="11"/>
        <v>#DIV/0!</v>
      </c>
      <c r="L74" s="172" t="e">
        <f t="shared" si="13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9"/>
        <v>#DIV/0!</v>
      </c>
      <c r="E75" s="172" t="e">
        <f t="shared" si="12"/>
        <v>#DIV/0!</v>
      </c>
      <c r="F75" s="173" t="e">
        <f t="shared" si="3"/>
        <v>#DIV/0!</v>
      </c>
      <c r="G75" s="173" t="e">
        <f t="shared" si="10"/>
        <v>#DIV/0!</v>
      </c>
      <c r="I75" s="182" t="s">
        <v>193</v>
      </c>
      <c r="J75" s="171"/>
      <c r="K75" s="172" t="e">
        <f t="shared" si="11"/>
        <v>#DIV/0!</v>
      </c>
      <c r="L75" s="172" t="e">
        <f t="shared" si="13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9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10"/>
        <v>#DIV/0!</v>
      </c>
      <c r="I76" s="182" t="s">
        <v>194</v>
      </c>
      <c r="J76" s="171"/>
      <c r="K76" s="172" t="e">
        <f t="shared" si="11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9"/>
        <v>#DIV/0!</v>
      </c>
      <c r="E77" s="172" t="e">
        <f t="shared" ref="E77:E93" si="14">E76+D77</f>
        <v>#DIV/0!</v>
      </c>
      <c r="F77" s="173" t="e">
        <f t="shared" si="3"/>
        <v>#DIV/0!</v>
      </c>
      <c r="G77" s="173" t="e">
        <f t="shared" si="10"/>
        <v>#DIV/0!</v>
      </c>
      <c r="I77" s="182" t="s">
        <v>195</v>
      </c>
      <c r="J77" s="171"/>
      <c r="K77" s="172" t="e">
        <f t="shared" si="11"/>
        <v>#DIV/0!</v>
      </c>
      <c r="L77" s="172" t="e">
        <f t="shared" ref="L77:L94" si="15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9"/>
        <v>#DIV/0!</v>
      </c>
      <c r="E78" s="172" t="e">
        <f t="shared" si="14"/>
        <v>#DIV/0!</v>
      </c>
      <c r="F78" s="173" t="e">
        <f t="shared" si="3"/>
        <v>#DIV/0!</v>
      </c>
      <c r="G78" s="173" t="e">
        <f t="shared" si="10"/>
        <v>#DIV/0!</v>
      </c>
      <c r="I78" s="182" t="s">
        <v>196</v>
      </c>
      <c r="J78" s="171"/>
      <c r="K78" s="172" t="e">
        <f t="shared" si="11"/>
        <v>#DIV/0!</v>
      </c>
      <c r="L78" s="172" t="e">
        <f t="shared" si="15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9"/>
        <v>#DIV/0!</v>
      </c>
      <c r="E79" s="172" t="e">
        <f t="shared" si="14"/>
        <v>#DIV/0!</v>
      </c>
      <c r="F79" s="173" t="e">
        <f t="shared" si="3"/>
        <v>#DIV/0!</v>
      </c>
      <c r="G79" s="173" t="e">
        <f t="shared" si="10"/>
        <v>#DIV/0!</v>
      </c>
      <c r="I79" s="182" t="s">
        <v>197</v>
      </c>
      <c r="J79" s="171"/>
      <c r="K79" s="172" t="e">
        <f t="shared" si="11"/>
        <v>#DIV/0!</v>
      </c>
      <c r="L79" s="172" t="e">
        <f t="shared" si="15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9"/>
        <v>#DIV/0!</v>
      </c>
      <c r="E80" s="172" t="e">
        <f t="shared" si="14"/>
        <v>#DIV/0!</v>
      </c>
      <c r="F80" s="173" t="e">
        <f t="shared" si="3"/>
        <v>#DIV/0!</v>
      </c>
      <c r="G80" s="173" t="e">
        <f t="shared" si="10"/>
        <v>#DIV/0!</v>
      </c>
      <c r="I80" s="182" t="s">
        <v>198</v>
      </c>
      <c r="J80" s="171"/>
      <c r="K80" s="172" t="e">
        <f t="shared" si="11"/>
        <v>#DIV/0!</v>
      </c>
      <c r="L80" s="172" t="e">
        <f t="shared" si="15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9"/>
        <v>#DIV/0!</v>
      </c>
      <c r="E81" s="172" t="e">
        <f t="shared" si="14"/>
        <v>#DIV/0!</v>
      </c>
      <c r="F81" s="173" t="e">
        <f t="shared" si="3"/>
        <v>#DIV/0!</v>
      </c>
      <c r="G81" s="173" t="e">
        <f t="shared" si="10"/>
        <v>#DIV/0!</v>
      </c>
      <c r="I81" s="182" t="s">
        <v>199</v>
      </c>
      <c r="J81" s="171"/>
      <c r="K81" s="172" t="e">
        <f t="shared" si="11"/>
        <v>#DIV/0!</v>
      </c>
      <c r="L81" s="172" t="e">
        <f t="shared" si="15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9"/>
        <v>#DIV/0!</v>
      </c>
      <c r="E82" s="172" t="e">
        <f t="shared" si="14"/>
        <v>#DIV/0!</v>
      </c>
      <c r="F82" s="173" t="e">
        <f t="shared" si="3"/>
        <v>#DIV/0!</v>
      </c>
      <c r="G82" s="173" t="e">
        <f t="shared" si="10"/>
        <v>#DIV/0!</v>
      </c>
      <c r="I82" s="182" t="s">
        <v>200</v>
      </c>
      <c r="J82" s="171"/>
      <c r="K82" s="172" t="e">
        <f t="shared" si="11"/>
        <v>#DIV/0!</v>
      </c>
      <c r="L82" s="172" t="e">
        <f t="shared" si="15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9"/>
        <v>#DIV/0!</v>
      </c>
      <c r="E83" s="172" t="e">
        <f t="shared" si="14"/>
        <v>#DIV/0!</v>
      </c>
      <c r="F83" s="173" t="e">
        <f t="shared" si="3"/>
        <v>#DIV/0!</v>
      </c>
      <c r="G83" s="173" t="e">
        <f t="shared" si="10"/>
        <v>#DIV/0!</v>
      </c>
      <c r="I83" s="182" t="s">
        <v>201</v>
      </c>
      <c r="J83" s="171"/>
      <c r="K83" s="172" t="e">
        <f t="shared" si="11"/>
        <v>#DIV/0!</v>
      </c>
      <c r="L83" s="172" t="e">
        <f t="shared" si="15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9"/>
        <v>#DIV/0!</v>
      </c>
      <c r="E84" s="172" t="e">
        <f t="shared" si="14"/>
        <v>#DIV/0!</v>
      </c>
      <c r="F84" s="173" t="e">
        <f t="shared" si="3"/>
        <v>#DIV/0!</v>
      </c>
      <c r="G84" s="173" t="e">
        <f t="shared" si="10"/>
        <v>#DIV/0!</v>
      </c>
      <c r="I84" s="182" t="s">
        <v>202</v>
      </c>
      <c r="J84" s="171"/>
      <c r="K84" s="172" t="e">
        <f t="shared" si="11"/>
        <v>#DIV/0!</v>
      </c>
      <c r="L84" s="172" t="e">
        <f t="shared" si="15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9"/>
        <v>#DIV/0!</v>
      </c>
      <c r="E85" s="172" t="e">
        <f t="shared" si="14"/>
        <v>#DIV/0!</v>
      </c>
      <c r="F85" s="173" t="e">
        <f t="shared" si="3"/>
        <v>#DIV/0!</v>
      </c>
      <c r="G85" s="173" t="e">
        <f t="shared" si="10"/>
        <v>#DIV/0!</v>
      </c>
      <c r="I85" s="182" t="s">
        <v>203</v>
      </c>
      <c r="J85" s="171"/>
      <c r="K85" s="172" t="e">
        <f t="shared" si="11"/>
        <v>#DIV/0!</v>
      </c>
      <c r="L85" s="172" t="e">
        <f t="shared" si="15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9"/>
        <v>#DIV/0!</v>
      </c>
      <c r="E86" s="172" t="e">
        <f t="shared" si="14"/>
        <v>#DIV/0!</v>
      </c>
      <c r="F86" s="173" t="e">
        <f t="shared" si="3"/>
        <v>#DIV/0!</v>
      </c>
      <c r="G86" s="173" t="e">
        <f t="shared" si="10"/>
        <v>#DIV/0!</v>
      </c>
      <c r="I86" s="182" t="s">
        <v>204</v>
      </c>
      <c r="J86" s="171"/>
      <c r="K86" s="172" t="e">
        <f t="shared" si="11"/>
        <v>#DIV/0!</v>
      </c>
      <c r="L86" s="172" t="e">
        <f t="shared" si="15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9"/>
        <v>#DIV/0!</v>
      </c>
      <c r="E87" s="172" t="e">
        <f t="shared" si="14"/>
        <v>#DIV/0!</v>
      </c>
      <c r="F87" s="173" t="e">
        <f t="shared" si="3"/>
        <v>#DIV/0!</v>
      </c>
      <c r="G87" s="173" t="e">
        <f t="shared" si="10"/>
        <v>#DIV/0!</v>
      </c>
      <c r="I87" s="182" t="s">
        <v>205</v>
      </c>
      <c r="J87" s="171"/>
      <c r="K87" s="172" t="e">
        <f t="shared" si="11"/>
        <v>#DIV/0!</v>
      </c>
      <c r="L87" s="172" t="e">
        <f t="shared" si="15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9"/>
        <v>#DIV/0!</v>
      </c>
      <c r="E88" s="172" t="e">
        <f t="shared" si="14"/>
        <v>#DIV/0!</v>
      </c>
      <c r="F88" s="173" t="e">
        <f t="shared" si="3"/>
        <v>#DIV/0!</v>
      </c>
      <c r="G88" s="173" t="e">
        <f t="shared" si="10"/>
        <v>#DIV/0!</v>
      </c>
      <c r="I88" s="182" t="s">
        <v>206</v>
      </c>
      <c r="J88" s="171"/>
      <c r="K88" s="172" t="e">
        <f t="shared" si="11"/>
        <v>#DIV/0!</v>
      </c>
      <c r="L88" s="172" t="e">
        <f t="shared" si="15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9"/>
        <v>#DIV/0!</v>
      </c>
      <c r="E89" s="172" t="e">
        <f t="shared" si="14"/>
        <v>#DIV/0!</v>
      </c>
      <c r="F89" s="173" t="e">
        <f t="shared" si="3"/>
        <v>#DIV/0!</v>
      </c>
      <c r="G89" s="173" t="e">
        <f t="shared" si="10"/>
        <v>#DIV/0!</v>
      </c>
      <c r="I89" s="182" t="s">
        <v>207</v>
      </c>
      <c r="J89" s="171"/>
      <c r="K89" s="172" t="e">
        <f t="shared" si="11"/>
        <v>#DIV/0!</v>
      </c>
      <c r="L89" s="172" t="e">
        <f t="shared" si="15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9"/>
        <v>#DIV/0!</v>
      </c>
      <c r="E90" s="172" t="e">
        <f t="shared" si="14"/>
        <v>#DIV/0!</v>
      </c>
      <c r="F90" s="173" t="e">
        <f t="shared" si="3"/>
        <v>#DIV/0!</v>
      </c>
      <c r="G90" s="173" t="e">
        <f t="shared" si="10"/>
        <v>#DIV/0!</v>
      </c>
      <c r="I90" s="182" t="s">
        <v>208</v>
      </c>
      <c r="J90" s="171"/>
      <c r="K90" s="172" t="e">
        <f t="shared" si="11"/>
        <v>#DIV/0!</v>
      </c>
      <c r="L90" s="172" t="e">
        <f t="shared" si="15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9"/>
        <v>#DIV/0!</v>
      </c>
      <c r="E91" s="172" t="e">
        <f t="shared" si="14"/>
        <v>#DIV/0!</v>
      </c>
      <c r="F91" s="173" t="e">
        <f t="shared" si="3"/>
        <v>#DIV/0!</v>
      </c>
      <c r="G91" s="173" t="e">
        <f t="shared" si="10"/>
        <v>#DIV/0!</v>
      </c>
      <c r="I91" s="182" t="s">
        <v>209</v>
      </c>
      <c r="J91" s="171"/>
      <c r="K91" s="172" t="e">
        <f t="shared" si="11"/>
        <v>#DIV/0!</v>
      </c>
      <c r="L91" s="172" t="e">
        <f t="shared" si="15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9"/>
        <v>#DIV/0!</v>
      </c>
      <c r="E92" s="172" t="e">
        <f t="shared" si="14"/>
        <v>#DIV/0!</v>
      </c>
      <c r="F92" s="173" t="e">
        <f t="shared" si="3"/>
        <v>#DIV/0!</v>
      </c>
      <c r="G92" s="173" t="e">
        <f t="shared" si="10"/>
        <v>#DIV/0!</v>
      </c>
      <c r="I92" s="182" t="s">
        <v>210</v>
      </c>
      <c r="J92" s="171"/>
      <c r="K92" s="172" t="e">
        <f t="shared" si="11"/>
        <v>#DIV/0!</v>
      </c>
      <c r="L92" s="172" t="e">
        <f t="shared" si="15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9"/>
        <v>#DIV/0!</v>
      </c>
      <c r="E93" s="172" t="e">
        <f t="shared" si="14"/>
        <v>#DIV/0!</v>
      </c>
      <c r="F93" s="173" t="e">
        <f t="shared" si="3"/>
        <v>#DIV/0!</v>
      </c>
      <c r="G93" s="173" t="e">
        <f t="shared" si="10"/>
        <v>#DIV/0!</v>
      </c>
      <c r="I93" s="182" t="s">
        <v>211</v>
      </c>
      <c r="J93" s="171"/>
      <c r="K93" s="172" t="e">
        <f t="shared" si="11"/>
        <v>#DIV/0!</v>
      </c>
      <c r="L93" s="172" t="e">
        <f t="shared" si="15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9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10"/>
        <v>#DIV/0!</v>
      </c>
      <c r="I94" s="182" t="s">
        <v>212</v>
      </c>
      <c r="J94" s="171"/>
      <c r="K94" s="172" t="e">
        <f t="shared" si="11"/>
        <v>#DIV/0!</v>
      </c>
      <c r="L94" s="172" t="e">
        <f t="shared" si="15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9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10"/>
        <v>#DIV/0!</v>
      </c>
      <c r="I95" s="182" t="s">
        <v>213</v>
      </c>
      <c r="J95" s="171"/>
      <c r="K95" s="172" t="e">
        <f t="shared" si="11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9"/>
        <v>#DIV/0!</v>
      </c>
      <c r="E96" s="172" t="e">
        <f t="shared" ref="E96:E98" si="16">E95+D96</f>
        <v>#DIV/0!</v>
      </c>
      <c r="F96" s="173" t="e">
        <f t="shared" si="3"/>
        <v>#DIV/0!</v>
      </c>
      <c r="G96" s="173" t="e">
        <f t="shared" si="10"/>
        <v>#DIV/0!</v>
      </c>
      <c r="I96" s="182" t="s">
        <v>214</v>
      </c>
      <c r="J96" s="171"/>
      <c r="K96" s="172" t="e">
        <f t="shared" si="11"/>
        <v>#DIV/0!</v>
      </c>
      <c r="L96" s="172" t="e">
        <f t="shared" ref="L96:L98" si="17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9"/>
        <v>#DIV/0!</v>
      </c>
      <c r="E97" s="172" t="e">
        <f t="shared" si="16"/>
        <v>#DIV/0!</v>
      </c>
      <c r="F97" s="173" t="e">
        <f t="shared" ref="F97:F109" si="18">IF(AND(E97&lt;=0),"C",IF(E97&lt;=0.8,"A",IF(E97&lt;=0.95,"B","C")))</f>
        <v>#DIV/0!</v>
      </c>
      <c r="G97" s="173" t="e">
        <f t="shared" si="10"/>
        <v>#DIV/0!</v>
      </c>
      <c r="I97" s="182" t="s">
        <v>215</v>
      </c>
      <c r="J97" s="171"/>
      <c r="K97" s="172" t="e">
        <f t="shared" si="11"/>
        <v>#DIV/0!</v>
      </c>
      <c r="L97" s="172" t="e">
        <f t="shared" si="17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9"/>
        <v>#DIV/0!</v>
      </c>
      <c r="E98" s="172" t="e">
        <f t="shared" si="16"/>
        <v>#DIV/0!</v>
      </c>
      <c r="F98" s="173" t="e">
        <f t="shared" si="18"/>
        <v>#DIV/0!</v>
      </c>
      <c r="G98" s="173" t="e">
        <f t="shared" si="10"/>
        <v>#DIV/0!</v>
      </c>
      <c r="I98" s="182" t="s">
        <v>216</v>
      </c>
      <c r="J98" s="171"/>
      <c r="K98" s="172" t="e">
        <f t="shared" si="11"/>
        <v>#DIV/0!</v>
      </c>
      <c r="L98" s="172" t="e">
        <f t="shared" si="17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9"/>
        <v>#DIV/0!</v>
      </c>
      <c r="E99" s="172" t="e">
        <f>E93+D99</f>
        <v>#DIV/0!</v>
      </c>
      <c r="F99" s="173" t="e">
        <f t="shared" si="18"/>
        <v>#DIV/0!</v>
      </c>
      <c r="G99" s="173" t="e">
        <f t="shared" si="10"/>
        <v>#DIV/0!</v>
      </c>
      <c r="I99" s="182" t="s">
        <v>217</v>
      </c>
      <c r="J99" s="171"/>
      <c r="K99" s="172" t="e">
        <f t="shared" si="11"/>
        <v>#DIV/0!</v>
      </c>
      <c r="L99" s="172" t="e">
        <f>L93+K99</f>
        <v>#DIV/0!</v>
      </c>
      <c r="M99" s="173" t="e">
        <f t="shared" ref="M99:M109" si="19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ref="D100:D105" si="20">C100/C$110</f>
        <v>#DIV/0!</v>
      </c>
      <c r="E100" s="172" t="e">
        <f t="shared" ref="E100:E109" si="21">E94+D100</f>
        <v>#DIV/0!</v>
      </c>
      <c r="F100" s="173" t="e">
        <f t="shared" si="18"/>
        <v>#DIV/0!</v>
      </c>
      <c r="G100" s="173" t="e">
        <f t="shared" si="10"/>
        <v>#DIV/0!</v>
      </c>
      <c r="I100" s="182" t="s">
        <v>256</v>
      </c>
      <c r="J100" s="171"/>
      <c r="K100" s="172" t="e">
        <f t="shared" ref="K100:K105" si="22">J100/J$110</f>
        <v>#DIV/0!</v>
      </c>
      <c r="L100" s="172" t="e">
        <f t="shared" ref="L100:L109" si="23">L94+K100</f>
        <v>#DIV/0!</v>
      </c>
      <c r="M100" s="173" t="e">
        <f t="shared" si="19"/>
        <v>#DIV/0!</v>
      </c>
    </row>
    <row r="101" spans="2:13" ht="15" outlineLevel="1" thickBot="1">
      <c r="B101" s="182" t="s">
        <v>257</v>
      </c>
      <c r="C101" s="171"/>
      <c r="D101" s="172" t="e">
        <f t="shared" si="20"/>
        <v>#DIV/0!</v>
      </c>
      <c r="E101" s="172" t="e">
        <f t="shared" si="21"/>
        <v>#DIV/0!</v>
      </c>
      <c r="F101" s="173" t="e">
        <f t="shared" si="18"/>
        <v>#DIV/0!</v>
      </c>
      <c r="G101" s="173" t="e">
        <f t="shared" si="10"/>
        <v>#DIV/0!</v>
      </c>
      <c r="I101" s="182" t="s">
        <v>257</v>
      </c>
      <c r="J101" s="171"/>
      <c r="K101" s="172" t="e">
        <f t="shared" si="22"/>
        <v>#DIV/0!</v>
      </c>
      <c r="L101" s="172" t="e">
        <f t="shared" si="23"/>
        <v>#DIV/0!</v>
      </c>
      <c r="M101" s="173" t="e">
        <f t="shared" si="19"/>
        <v>#DIV/0!</v>
      </c>
    </row>
    <row r="102" spans="2:13" ht="15" outlineLevel="1" thickBot="1">
      <c r="B102" s="182" t="s">
        <v>258</v>
      </c>
      <c r="C102" s="171"/>
      <c r="D102" s="172" t="e">
        <f t="shared" si="20"/>
        <v>#DIV/0!</v>
      </c>
      <c r="E102" s="172" t="e">
        <f t="shared" si="21"/>
        <v>#DIV/0!</v>
      </c>
      <c r="F102" s="173" t="e">
        <f t="shared" si="18"/>
        <v>#DIV/0!</v>
      </c>
      <c r="G102" s="173" t="e">
        <f t="shared" si="10"/>
        <v>#DIV/0!</v>
      </c>
      <c r="I102" s="182" t="s">
        <v>258</v>
      </c>
      <c r="J102" s="171"/>
      <c r="K102" s="172" t="e">
        <f t="shared" si="22"/>
        <v>#DIV/0!</v>
      </c>
      <c r="L102" s="172" t="e">
        <f t="shared" si="23"/>
        <v>#DIV/0!</v>
      </c>
      <c r="M102" s="173" t="e">
        <f t="shared" si="19"/>
        <v>#DIV/0!</v>
      </c>
    </row>
    <row r="103" spans="2:13" ht="15" outlineLevel="1" thickBot="1">
      <c r="B103" s="182" t="s">
        <v>259</v>
      </c>
      <c r="C103" s="171"/>
      <c r="D103" s="172" t="e">
        <f t="shared" si="20"/>
        <v>#DIV/0!</v>
      </c>
      <c r="E103" s="172" t="e">
        <f t="shared" si="21"/>
        <v>#DIV/0!</v>
      </c>
      <c r="F103" s="173" t="e">
        <f t="shared" si="18"/>
        <v>#DIV/0!</v>
      </c>
      <c r="G103" s="173" t="e">
        <f t="shared" si="10"/>
        <v>#DIV/0!</v>
      </c>
      <c r="I103" s="182" t="s">
        <v>259</v>
      </c>
      <c r="J103" s="171"/>
      <c r="K103" s="172" t="e">
        <f t="shared" si="22"/>
        <v>#DIV/0!</v>
      </c>
      <c r="L103" s="172" t="e">
        <f t="shared" si="23"/>
        <v>#DIV/0!</v>
      </c>
      <c r="M103" s="173" t="e">
        <f t="shared" si="19"/>
        <v>#DIV/0!</v>
      </c>
    </row>
    <row r="104" spans="2:13" ht="26.5" outlineLevel="1" thickBot="1">
      <c r="B104" s="182" t="s">
        <v>260</v>
      </c>
      <c r="C104" s="171"/>
      <c r="D104" s="172" t="e">
        <f t="shared" si="20"/>
        <v>#DIV/0!</v>
      </c>
      <c r="E104" s="172" t="e">
        <f t="shared" si="21"/>
        <v>#DIV/0!</v>
      </c>
      <c r="F104" s="173" t="e">
        <f t="shared" si="18"/>
        <v>#DIV/0!</v>
      </c>
      <c r="G104" s="173" t="e">
        <f t="shared" si="10"/>
        <v>#DIV/0!</v>
      </c>
      <c r="I104" s="182" t="s">
        <v>260</v>
      </c>
      <c r="J104" s="171"/>
      <c r="K104" s="172" t="e">
        <f t="shared" si="22"/>
        <v>#DIV/0!</v>
      </c>
      <c r="L104" s="172" t="e">
        <f t="shared" si="23"/>
        <v>#DIV/0!</v>
      </c>
      <c r="M104" s="173" t="e">
        <f t="shared" si="19"/>
        <v>#DIV/0!</v>
      </c>
    </row>
    <row r="105" spans="2:13" ht="15" outlineLevel="1" thickBot="1">
      <c r="B105" s="182" t="s">
        <v>338</v>
      </c>
      <c r="C105" s="171"/>
      <c r="D105" s="172" t="e">
        <f t="shared" si="20"/>
        <v>#DIV/0!</v>
      </c>
      <c r="E105" s="172" t="e">
        <f t="shared" si="21"/>
        <v>#DIV/0!</v>
      </c>
      <c r="F105" s="173" t="e">
        <f t="shared" si="18"/>
        <v>#DIV/0!</v>
      </c>
      <c r="G105" s="173" t="e">
        <f t="shared" si="10"/>
        <v>#VALUE!</v>
      </c>
      <c r="I105" s="182" t="s">
        <v>338</v>
      </c>
      <c r="J105" s="171"/>
      <c r="K105" s="172" t="e">
        <f t="shared" si="22"/>
        <v>#DIV/0!</v>
      </c>
      <c r="L105" s="172" t="e">
        <f t="shared" si="23"/>
        <v>#DIV/0!</v>
      </c>
      <c r="M105" s="173" t="e">
        <f t="shared" si="19"/>
        <v>#DIV/0!</v>
      </c>
    </row>
    <row r="106" spans="2:13" ht="15" outlineLevel="1" thickBot="1">
      <c r="B106" s="182" t="s">
        <v>372</v>
      </c>
      <c r="C106" s="171"/>
      <c r="D106" s="172" t="e">
        <f t="shared" ref="D106:D109" si="24">C106/C$110</f>
        <v>#DIV/0!</v>
      </c>
      <c r="E106" s="172" t="e">
        <f t="shared" si="21"/>
        <v>#DIV/0!</v>
      </c>
      <c r="F106" s="173" t="e">
        <f t="shared" si="18"/>
        <v>#DIV/0!</v>
      </c>
      <c r="G106" s="173" t="e">
        <f t="shared" si="10"/>
        <v>#VALUE!</v>
      </c>
      <c r="I106" s="182" t="s">
        <v>372</v>
      </c>
      <c r="J106" s="171"/>
      <c r="K106" s="172" t="e">
        <f t="shared" ref="K106:K109" si="25">J106/J$110</f>
        <v>#DIV/0!</v>
      </c>
      <c r="L106" s="172" t="e">
        <f t="shared" si="23"/>
        <v>#DIV/0!</v>
      </c>
      <c r="M106" s="173" t="e">
        <f t="shared" si="19"/>
        <v>#DIV/0!</v>
      </c>
    </row>
    <row r="107" spans="2:13" ht="15" outlineLevel="1" thickBot="1">
      <c r="B107" s="182" t="s">
        <v>370</v>
      </c>
      <c r="C107" s="171"/>
      <c r="D107" s="172" t="e">
        <f t="shared" si="24"/>
        <v>#DIV/0!</v>
      </c>
      <c r="E107" s="172" t="e">
        <f t="shared" si="21"/>
        <v>#DIV/0!</v>
      </c>
      <c r="F107" s="173" t="e">
        <f t="shared" si="18"/>
        <v>#DIV/0!</v>
      </c>
      <c r="G107" s="173" t="e">
        <f t="shared" si="10"/>
        <v>#VALUE!</v>
      </c>
      <c r="I107" s="182" t="s">
        <v>370</v>
      </c>
      <c r="J107" s="171"/>
      <c r="K107" s="172" t="e">
        <f t="shared" si="25"/>
        <v>#DIV/0!</v>
      </c>
      <c r="L107" s="172" t="e">
        <f t="shared" si="23"/>
        <v>#DIV/0!</v>
      </c>
      <c r="M107" s="173" t="e">
        <f t="shared" si="19"/>
        <v>#DIV/0!</v>
      </c>
    </row>
    <row r="108" spans="2:13" ht="26.5" outlineLevel="1" thickBot="1">
      <c r="B108" s="182" t="s">
        <v>369</v>
      </c>
      <c r="C108" s="171"/>
      <c r="D108" s="172" t="e">
        <f t="shared" si="24"/>
        <v>#DIV/0!</v>
      </c>
      <c r="E108" s="172" t="e">
        <f t="shared" si="21"/>
        <v>#DIV/0!</v>
      </c>
      <c r="F108" s="173" t="e">
        <f t="shared" si="18"/>
        <v>#DIV/0!</v>
      </c>
      <c r="G108" s="173" t="e">
        <f t="shared" si="10"/>
        <v>#VALUE!</v>
      </c>
      <c r="I108" s="182" t="s">
        <v>369</v>
      </c>
      <c r="J108" s="171"/>
      <c r="K108" s="172" t="e">
        <f t="shared" si="25"/>
        <v>#DIV/0!</v>
      </c>
      <c r="L108" s="172" t="e">
        <f t="shared" si="23"/>
        <v>#DIV/0!</v>
      </c>
      <c r="M108" s="173" t="e">
        <f t="shared" si="19"/>
        <v>#DIV/0!</v>
      </c>
    </row>
    <row r="109" spans="2:13" ht="26.5" outlineLevel="1" thickBot="1">
      <c r="B109" s="182" t="s">
        <v>371</v>
      </c>
      <c r="C109" s="171"/>
      <c r="D109" s="172" t="e">
        <f t="shared" si="24"/>
        <v>#DIV/0!</v>
      </c>
      <c r="E109" s="172" t="e">
        <f t="shared" si="21"/>
        <v>#DIV/0!</v>
      </c>
      <c r="F109" s="173" t="e">
        <f t="shared" si="18"/>
        <v>#DIV/0!</v>
      </c>
      <c r="G109" s="173" t="e">
        <f t="shared" si="10"/>
        <v>#VALUE!</v>
      </c>
      <c r="I109" s="182" t="s">
        <v>371</v>
      </c>
      <c r="J109" s="171"/>
      <c r="K109" s="172" t="e">
        <f t="shared" si="25"/>
        <v>#DIV/0!</v>
      </c>
      <c r="L109" s="172" t="e">
        <f t="shared" si="23"/>
        <v>#DIV/0!</v>
      </c>
      <c r="M109" s="173" t="e">
        <f t="shared" si="19"/>
        <v>#DIV/0!</v>
      </c>
    </row>
    <row r="110" spans="2:13" outlineLevel="1">
      <c r="C110" s="178">
        <f>SUM(C4:C109)</f>
        <v>0</v>
      </c>
      <c r="D110" s="179" t="e">
        <f>SUM(D4:D109)</f>
        <v>#DIV/0!</v>
      </c>
      <c r="J110" s="178">
        <f>SUM(J4:J109)</f>
        <v>0</v>
      </c>
      <c r="K110" s="179" t="e">
        <f>SUM(K4:K109)</f>
        <v>#DIV/0!</v>
      </c>
    </row>
  </sheetData>
  <mergeCells count="1">
    <mergeCell ref="B2:M2"/>
  </mergeCells>
  <conditionalFormatting sqref="D4:D98 F4:G98 K4:K98 M4:M98">
    <cfRule type="cellIs" dxfId="256" priority="4" operator="equal">
      <formula>"C"</formula>
    </cfRule>
    <cfRule type="cellIs" dxfId="255" priority="5" operator="equal">
      <formula>"B"</formula>
    </cfRule>
    <cfRule type="cellIs" dxfId="254" priority="6" operator="equal">
      <formula>"A"</formula>
    </cfRule>
  </conditionalFormatting>
  <conditionalFormatting sqref="F99:G109 D99:D109 M99:M109 K99:K109">
    <cfRule type="cellIs" dxfId="253" priority="1" operator="equal">
      <formula>"C"</formula>
    </cfRule>
    <cfRule type="cellIs" dxfId="252" priority="2" operator="equal">
      <formula>"B"</formula>
    </cfRule>
    <cfRule type="cellIs" dxfId="25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9D15-1010-406D-B87E-EA47D19E342C}">
  <sheetPr codeName="Лист4"/>
  <dimension ref="B1:Q110"/>
  <sheetViews>
    <sheetView zoomScale="80" zoomScaleNormal="80" workbookViewId="0">
      <selection activeCell="N11" sqref="N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19'!AO4</f>
        <v>111612.3172001685</v>
      </c>
      <c r="D4" s="172">
        <f t="shared" ref="D4:D35" si="0">C4/C$110</f>
        <v>0.1781666662376804</v>
      </c>
      <c r="E4" s="172">
        <f>D4</f>
        <v>0.1781666662376804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19'!U4</f>
        <v>214</v>
      </c>
      <c r="K4" s="172">
        <f t="shared" ref="K4:K35" si="2">J4/J$110</f>
        <v>0.12313003452243959</v>
      </c>
      <c r="L4" s="172">
        <f>K4</f>
        <v>0.12313003452243959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26.5" outlineLevel="1" thickBot="1">
      <c r="B5" s="182" t="s">
        <v>122</v>
      </c>
      <c r="C5" s="171">
        <f>'Юнит 19'!AO3</f>
        <v>57107.72846164291</v>
      </c>
      <c r="D5" s="172">
        <f t="shared" si="0"/>
        <v>9.1161028205964473E-2</v>
      </c>
      <c r="E5" s="172">
        <f>E4+D5</f>
        <v>0.2693276944436449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19'!U13</f>
        <v>211</v>
      </c>
      <c r="K5" s="172">
        <f t="shared" si="2"/>
        <v>0.12140391254315305</v>
      </c>
      <c r="L5" s="172">
        <f>L4+K5</f>
        <v>0.24453394706559264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19'!AO13</f>
        <v>54215.87780763203</v>
      </c>
      <c r="D6" s="172">
        <f t="shared" si="0"/>
        <v>8.654476896856915E-2</v>
      </c>
      <c r="E6" s="172">
        <f t="shared" ref="E6:E69" si="5">E5+D6</f>
        <v>0.35587246341221407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19'!U9</f>
        <v>187</v>
      </c>
      <c r="K6" s="172">
        <f t="shared" si="2"/>
        <v>0.10759493670886076</v>
      </c>
      <c r="L6" s="172">
        <f t="shared" ref="L6:L69" si="6">L5+K6</f>
        <v>0.35212888377445339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19'!AO9</f>
        <v>52188.349819168776</v>
      </c>
      <c r="D7" s="172">
        <f t="shared" si="0"/>
        <v>8.3308227415899522E-2</v>
      </c>
      <c r="E7" s="172">
        <f t="shared" si="5"/>
        <v>0.43918069082811362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19'!U5</f>
        <v>131</v>
      </c>
      <c r="K7" s="172">
        <f t="shared" si="2"/>
        <v>7.5373993095512085E-2</v>
      </c>
      <c r="L7" s="172">
        <f t="shared" si="6"/>
        <v>0.42750287686996546</v>
      </c>
      <c r="M7" s="173" t="str">
        <f t="shared" si="4"/>
        <v>A</v>
      </c>
    </row>
    <row r="8" spans="2:17" ht="26.5" outlineLevel="1" thickBot="1">
      <c r="B8" s="182" t="s">
        <v>124</v>
      </c>
      <c r="C8" s="171">
        <f>'Юнит 19'!AO5</f>
        <v>52027.458827947827</v>
      </c>
      <c r="D8" s="172">
        <f t="shared" si="0"/>
        <v>8.3051397235749211E-2</v>
      </c>
      <c r="E8" s="172">
        <f t="shared" si="5"/>
        <v>0.52223208806386279</v>
      </c>
      <c r="F8" s="173" t="str">
        <f t="shared" si="3"/>
        <v>A</v>
      </c>
      <c r="G8" s="173" t="str">
        <f t="shared" si="1"/>
        <v>A</v>
      </c>
      <c r="I8" s="182" t="s">
        <v>122</v>
      </c>
      <c r="J8" s="171">
        <f>'Юнит 19'!U3</f>
        <v>121</v>
      </c>
      <c r="K8" s="172">
        <f t="shared" si="2"/>
        <v>6.9620253164556958E-2</v>
      </c>
      <c r="L8" s="172">
        <f t="shared" si="6"/>
        <v>0.49712313003452241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19'!AO16</f>
        <v>45750.217644126758</v>
      </c>
      <c r="D9" s="172">
        <f t="shared" si="0"/>
        <v>7.303104139199848E-2</v>
      </c>
      <c r="E9" s="172">
        <f t="shared" si="5"/>
        <v>0.59526312945586124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19'!U16</f>
        <v>116</v>
      </c>
      <c r="K9" s="172">
        <f t="shared" si="2"/>
        <v>6.6743383199079395E-2</v>
      </c>
      <c r="L9" s="172">
        <f t="shared" si="6"/>
        <v>0.56386651323360182</v>
      </c>
      <c r="M9" s="173" t="str">
        <f t="shared" si="4"/>
        <v>A</v>
      </c>
    </row>
    <row r="10" spans="2:17" ht="15" outlineLevel="1" thickBot="1">
      <c r="B10" s="182" t="s">
        <v>126</v>
      </c>
      <c r="C10" s="171">
        <f>'Юнит 19'!AO7</f>
        <v>41835.801984558289</v>
      </c>
      <c r="D10" s="172">
        <f t="shared" si="0"/>
        <v>6.6782462329858613E-2</v>
      </c>
      <c r="E10" s="172">
        <f t="shared" si="5"/>
        <v>0.66204559178571987</v>
      </c>
      <c r="F10" s="173" t="str">
        <f t="shared" si="3"/>
        <v>A</v>
      </c>
      <c r="G10" s="173" t="str">
        <f t="shared" si="1"/>
        <v>A</v>
      </c>
      <c r="I10" s="182" t="s">
        <v>126</v>
      </c>
      <c r="J10" s="171">
        <f>'Юнит 19'!U7</f>
        <v>97</v>
      </c>
      <c r="K10" s="172">
        <f t="shared" si="2"/>
        <v>5.5811277330264669E-2</v>
      </c>
      <c r="L10" s="172">
        <f t="shared" si="6"/>
        <v>0.61967779056386652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19'!AO10</f>
        <v>25640.955627358519</v>
      </c>
      <c r="D11" s="172">
        <f t="shared" si="0"/>
        <v>4.0930640075160639E-2</v>
      </c>
      <c r="E11" s="172">
        <f t="shared" si="5"/>
        <v>0.70297623186088054</v>
      </c>
      <c r="F11" s="173" t="str">
        <f t="shared" si="3"/>
        <v>A</v>
      </c>
      <c r="G11" s="173" t="str">
        <f t="shared" si="1"/>
        <v>A</v>
      </c>
      <c r="I11" s="182" t="s">
        <v>129</v>
      </c>
      <c r="J11" s="171">
        <f>'Юнит 19'!U10</f>
        <v>76</v>
      </c>
      <c r="K11" s="172">
        <f t="shared" si="2"/>
        <v>4.3728423475258918E-2</v>
      </c>
      <c r="L11" s="172">
        <f t="shared" si="6"/>
        <v>0.66340621403912547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125</v>
      </c>
      <c r="C12" s="171">
        <f>'Юнит 19'!AO6</f>
        <v>22642.572547126911</v>
      </c>
      <c r="D12" s="172">
        <f t="shared" si="0"/>
        <v>3.6144323198052331E-2</v>
      </c>
      <c r="E12" s="172">
        <f t="shared" si="5"/>
        <v>0.73912055505893282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19'!U12</f>
        <v>57</v>
      </c>
      <c r="K12" s="172">
        <f t="shared" si="2"/>
        <v>3.2796317606444192E-2</v>
      </c>
      <c r="L12" s="172">
        <f t="shared" si="6"/>
        <v>0.69620253164556967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19'!AO12</f>
        <v>22447.754754316513</v>
      </c>
      <c r="D13" s="172">
        <f t="shared" si="0"/>
        <v>3.5833335687538041E-2</v>
      </c>
      <c r="E13" s="172">
        <f t="shared" si="5"/>
        <v>0.77495389074647081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19'!U11</f>
        <v>53</v>
      </c>
      <c r="K13" s="172">
        <f t="shared" si="2"/>
        <v>3.0494821634062141E-2</v>
      </c>
      <c r="L13" s="172">
        <f t="shared" si="6"/>
        <v>0.72669735327963181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19'!AO11</f>
        <v>20415.579004895022</v>
      </c>
      <c r="D14" s="172">
        <f t="shared" si="0"/>
        <v>3.2589374917203449E-2</v>
      </c>
      <c r="E14" s="172">
        <f t="shared" si="5"/>
        <v>0.80754326566367429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19'!U6</f>
        <v>47</v>
      </c>
      <c r="K14" s="172">
        <f t="shared" si="2"/>
        <v>2.7042577675489069E-2</v>
      </c>
      <c r="L14" s="172">
        <f t="shared" si="6"/>
        <v>0.75373993095512093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19'!AO14</f>
        <v>20255.35112519006</v>
      </c>
      <c r="D15" s="172">
        <f t="shared" si="0"/>
        <v>3.2333603261516311E-2</v>
      </c>
      <c r="E15" s="172">
        <f t="shared" si="5"/>
        <v>0.83987686892519064</v>
      </c>
      <c r="F15" s="173" t="str">
        <f t="shared" si="3"/>
        <v>B</v>
      </c>
      <c r="G15" s="173" t="str">
        <f t="shared" si="1"/>
        <v>A</v>
      </c>
      <c r="I15" s="182" t="s">
        <v>133</v>
      </c>
      <c r="J15" s="171">
        <f>'Юнит 19'!U14</f>
        <v>46</v>
      </c>
      <c r="K15" s="172">
        <f t="shared" si="2"/>
        <v>2.6467203682393557E-2</v>
      </c>
      <c r="L15" s="172">
        <f t="shared" si="6"/>
        <v>0.78020713463751445</v>
      </c>
      <c r="M15" s="173" t="str">
        <f t="shared" si="4"/>
        <v>A</v>
      </c>
    </row>
    <row r="16" spans="2:17" ht="26.5" outlineLevel="1" thickBot="1">
      <c r="B16" s="182" t="s">
        <v>127</v>
      </c>
      <c r="C16" s="171">
        <f>'Юнит 19'!AO8</f>
        <v>14194.859612463204</v>
      </c>
      <c r="D16" s="172">
        <f t="shared" si="0"/>
        <v>2.2659244770707465E-2</v>
      </c>
      <c r="E16" s="172">
        <f t="shared" si="5"/>
        <v>0.86253611369589811</v>
      </c>
      <c r="F16" s="173" t="str">
        <f t="shared" si="3"/>
        <v>B</v>
      </c>
      <c r="G16" s="173" t="str">
        <f t="shared" si="1"/>
        <v>B</v>
      </c>
      <c r="I16" s="182" t="s">
        <v>167</v>
      </c>
      <c r="J16" s="171">
        <f>'Юнит 19'!U48</f>
        <v>41</v>
      </c>
      <c r="K16" s="172">
        <f t="shared" si="2"/>
        <v>2.3590333716915997E-2</v>
      </c>
      <c r="L16" s="172">
        <f t="shared" si="6"/>
        <v>0.80379746835443044</v>
      </c>
      <c r="M16" s="173" t="str">
        <f t="shared" si="4"/>
        <v>B</v>
      </c>
    </row>
    <row r="17" spans="2:13" ht="15" outlineLevel="1" thickBot="1">
      <c r="B17" s="182" t="s">
        <v>167</v>
      </c>
      <c r="C17" s="171">
        <f>'Юнит 19'!AO48</f>
        <v>13730.753560294906</v>
      </c>
      <c r="D17" s="172">
        <f t="shared" si="0"/>
        <v>2.1918392594443968E-2</v>
      </c>
      <c r="E17" s="172">
        <f t="shared" si="5"/>
        <v>0.88445450629034206</v>
      </c>
      <c r="F17" s="173" t="str">
        <f t="shared" si="3"/>
        <v>B</v>
      </c>
      <c r="G17" s="173" t="str">
        <f t="shared" si="1"/>
        <v>B</v>
      </c>
      <c r="I17" s="182" t="s">
        <v>168</v>
      </c>
      <c r="J17" s="171">
        <f>'Юнит 19'!U49</f>
        <v>34</v>
      </c>
      <c r="K17" s="172">
        <f t="shared" si="2"/>
        <v>1.9562715765247412E-2</v>
      </c>
      <c r="L17" s="172">
        <f t="shared" si="6"/>
        <v>0.82336018411967782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19'!AO15</f>
        <v>12765.050919747771</v>
      </c>
      <c r="D18" s="172">
        <f t="shared" si="0"/>
        <v>2.0376842124394699E-2</v>
      </c>
      <c r="E18" s="172">
        <f t="shared" si="5"/>
        <v>0.90483134841473678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19'!U45</f>
        <v>32</v>
      </c>
      <c r="K18" s="172">
        <f t="shared" si="2"/>
        <v>1.8411967779056387E-2</v>
      </c>
      <c r="L18" s="172">
        <f t="shared" si="6"/>
        <v>0.84177215189873422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19'!AO45</f>
        <v>11330.689975021056</v>
      </c>
      <c r="D19" s="172">
        <f t="shared" si="0"/>
        <v>1.8087172721284208E-2</v>
      </c>
      <c r="E19" s="172">
        <f t="shared" si="5"/>
        <v>0.92291852113602102</v>
      </c>
      <c r="F19" s="173" t="str">
        <f t="shared" si="3"/>
        <v>B</v>
      </c>
      <c r="G19" s="173" t="str">
        <f t="shared" si="1"/>
        <v>B</v>
      </c>
      <c r="I19" s="182" t="s">
        <v>134</v>
      </c>
      <c r="J19" s="171">
        <f>'Юнит 19'!U15</f>
        <v>30</v>
      </c>
      <c r="K19" s="172">
        <f t="shared" si="2"/>
        <v>1.7261219792865361E-2</v>
      </c>
      <c r="L19" s="172">
        <f t="shared" si="6"/>
        <v>0.85903337169159955</v>
      </c>
      <c r="M19" s="173" t="str">
        <f t="shared" si="4"/>
        <v>B</v>
      </c>
    </row>
    <row r="20" spans="2:13" ht="15" outlineLevel="1" thickBot="1">
      <c r="B20" s="182" t="s">
        <v>169</v>
      </c>
      <c r="C20" s="171">
        <f>'Юнит 19'!AO50</f>
        <v>10430.701623715839</v>
      </c>
      <c r="D20" s="172">
        <f t="shared" si="0"/>
        <v>1.6650521926576446E-2</v>
      </c>
      <c r="E20" s="172">
        <f t="shared" si="5"/>
        <v>0.93956904306259748</v>
      </c>
      <c r="F20" s="173" t="str">
        <f t="shared" si="3"/>
        <v>B</v>
      </c>
      <c r="G20" s="173" t="str">
        <f t="shared" si="1"/>
        <v>B</v>
      </c>
      <c r="I20" s="182" t="s">
        <v>127</v>
      </c>
      <c r="J20" s="171">
        <f>'Юнит 19'!U8</f>
        <v>29</v>
      </c>
      <c r="K20" s="172">
        <f t="shared" si="2"/>
        <v>1.6685845799769849E-2</v>
      </c>
      <c r="L20" s="172">
        <f t="shared" si="6"/>
        <v>0.87571921749136938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'Юнит 19'!AO49</f>
        <v>10287.70861114738</v>
      </c>
      <c r="D21" s="172">
        <f t="shared" si="0"/>
        <v>1.6422262277608537E-2</v>
      </c>
      <c r="E21" s="172">
        <f t="shared" si="5"/>
        <v>0.95599130534020604</v>
      </c>
      <c r="F21" s="173" t="str">
        <f t="shared" si="3"/>
        <v>C</v>
      </c>
      <c r="G21" s="173" t="str">
        <f t="shared" si="1"/>
        <v>B</v>
      </c>
      <c r="I21" s="182" t="s">
        <v>338</v>
      </c>
      <c r="J21" s="171">
        <f>'Юнит 19'!U104</f>
        <v>26</v>
      </c>
      <c r="K21" s="172">
        <f t="shared" si="2"/>
        <v>1.4959723820483314E-2</v>
      </c>
      <c r="L21" s="172">
        <f t="shared" si="6"/>
        <v>0.89067894131185266</v>
      </c>
      <c r="M21" s="173" t="str">
        <f t="shared" si="4"/>
        <v>B</v>
      </c>
    </row>
    <row r="22" spans="2:13" ht="26.5" outlineLevel="1" thickBot="1">
      <c r="B22" s="182" t="s">
        <v>137</v>
      </c>
      <c r="C22" s="171">
        <f>'Юнит 19'!AO18</f>
        <v>7750.9703234321041</v>
      </c>
      <c r="D22" s="172">
        <f t="shared" si="0"/>
        <v>1.2372868669650813E-2</v>
      </c>
      <c r="E22" s="172">
        <f t="shared" si="5"/>
        <v>0.96836417400985686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19'!U50</f>
        <v>24</v>
      </c>
      <c r="K22" s="172">
        <f t="shared" si="2"/>
        <v>1.3808975834292289E-2</v>
      </c>
      <c r="L22" s="172">
        <f t="shared" si="6"/>
        <v>0.90448791714614496</v>
      </c>
      <c r="M22" s="173" t="str">
        <f t="shared" si="4"/>
        <v>B</v>
      </c>
    </row>
    <row r="23" spans="2:13" ht="26.5" outlineLevel="1" thickBot="1">
      <c r="B23" s="182" t="s">
        <v>163</v>
      </c>
      <c r="C23" s="171">
        <f>'Юнит 19'!AO44</f>
        <v>7388.8948502000849</v>
      </c>
      <c r="D23" s="172">
        <f t="shared" si="0"/>
        <v>1.179488783733384E-2</v>
      </c>
      <c r="E23" s="172">
        <f t="shared" si="5"/>
        <v>0.9801590618471907</v>
      </c>
      <c r="F23" s="173" t="str">
        <f t="shared" si="3"/>
        <v>C</v>
      </c>
      <c r="G23" s="173" t="str">
        <f t="shared" si="1"/>
        <v>B</v>
      </c>
      <c r="I23" s="182" t="s">
        <v>137</v>
      </c>
      <c r="J23" s="171">
        <f>'Юнит 19'!U18</f>
        <v>21</v>
      </c>
      <c r="K23" s="172">
        <f t="shared" si="2"/>
        <v>1.2082853855005753E-2</v>
      </c>
      <c r="L23" s="172">
        <f t="shared" si="6"/>
        <v>0.9165707710011507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19'!AO17</f>
        <v>5129.878089579056</v>
      </c>
      <c r="D24" s="172">
        <f t="shared" si="0"/>
        <v>8.1888209146923924E-3</v>
      </c>
      <c r="E24" s="172">
        <f t="shared" si="5"/>
        <v>0.98834788276188312</v>
      </c>
      <c r="F24" s="173" t="str">
        <f t="shared" si="3"/>
        <v>C</v>
      </c>
      <c r="G24" s="173" t="str">
        <f t="shared" si="1"/>
        <v>B</v>
      </c>
      <c r="I24" s="182" t="s">
        <v>147</v>
      </c>
      <c r="J24" s="171">
        <f>'Юнит 19'!U28</f>
        <v>20</v>
      </c>
      <c r="K24" s="172">
        <f t="shared" si="2"/>
        <v>1.1507479861910242E-2</v>
      </c>
      <c r="L24" s="172">
        <f t="shared" si="6"/>
        <v>0.92807825086306095</v>
      </c>
      <c r="M24" s="173" t="str">
        <f t="shared" si="4"/>
        <v>B</v>
      </c>
    </row>
    <row r="25" spans="2:13" ht="15" outlineLevel="1" thickBot="1">
      <c r="B25" s="182" t="s">
        <v>166</v>
      </c>
      <c r="C25" s="171">
        <f>'Юнит 19'!AO47</f>
        <v>4410.2847362526491</v>
      </c>
      <c r="D25" s="172">
        <f t="shared" si="0"/>
        <v>7.0401345328925382E-3</v>
      </c>
      <c r="E25" s="172">
        <f t="shared" si="5"/>
        <v>0.99538801729477566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19'!U44</f>
        <v>17</v>
      </c>
      <c r="K25" s="172">
        <f t="shared" si="2"/>
        <v>9.781357882623706E-3</v>
      </c>
      <c r="L25" s="172">
        <f t="shared" si="6"/>
        <v>0.93785960874568464</v>
      </c>
      <c r="M25" s="173" t="str">
        <f t="shared" si="4"/>
        <v>B</v>
      </c>
    </row>
    <row r="26" spans="2:13" ht="26.5" outlineLevel="1" thickBot="1">
      <c r="B26" s="182" t="s">
        <v>208</v>
      </c>
      <c r="C26" s="171">
        <f>'Юнит 19'!AO89</f>
        <v>2591.8024000000005</v>
      </c>
      <c r="D26" s="172">
        <f t="shared" si="0"/>
        <v>4.1372924130467026E-3</v>
      </c>
      <c r="E26" s="172">
        <f t="shared" si="5"/>
        <v>0.99952530970782238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'Юнит 19'!U17</f>
        <v>16</v>
      </c>
      <c r="K26" s="172">
        <f t="shared" si="2"/>
        <v>9.2059838895281933E-3</v>
      </c>
      <c r="L26" s="172">
        <f t="shared" si="6"/>
        <v>0.94706559263521284</v>
      </c>
      <c r="M26" s="173" t="str">
        <f t="shared" si="4"/>
        <v>B</v>
      </c>
    </row>
    <row r="27" spans="2:13" ht="15" outlineLevel="1" thickBot="1">
      <c r="B27" s="182" t="s">
        <v>147</v>
      </c>
      <c r="C27" s="171">
        <f>'Юнит 19'!AO28</f>
        <v>2464.8840783166543</v>
      </c>
      <c r="D27" s="172">
        <f t="shared" si="0"/>
        <v>3.9346927822349054E-3</v>
      </c>
      <c r="E27" s="172">
        <f>E26+D27</f>
        <v>1.0034600024900573</v>
      </c>
      <c r="F27" s="173" t="str">
        <f t="shared" si="3"/>
        <v>C</v>
      </c>
      <c r="G27" s="173" t="str">
        <f t="shared" si="1"/>
        <v>B</v>
      </c>
      <c r="I27" s="182" t="s">
        <v>141</v>
      </c>
      <c r="J27" s="171">
        <f>'Юнит 19'!U22</f>
        <v>12</v>
      </c>
      <c r="K27" s="172">
        <f t="shared" si="2"/>
        <v>6.9044879171461446E-3</v>
      </c>
      <c r="L27" s="172">
        <f>L26+K27</f>
        <v>0.95397008055235899</v>
      </c>
      <c r="M27" s="173" t="str">
        <f t="shared" si="4"/>
        <v>C</v>
      </c>
    </row>
    <row r="28" spans="2:13" ht="15" outlineLevel="1" thickBot="1">
      <c r="B28" s="182" t="s">
        <v>145</v>
      </c>
      <c r="C28" s="171">
        <f>'Юнит 19'!AO26</f>
        <v>2078.8322464321036</v>
      </c>
      <c r="D28" s="172">
        <f t="shared" si="0"/>
        <v>3.3184385048645581E-3</v>
      </c>
      <c r="E28" s="172">
        <f>E27+D28</f>
        <v>1.0067784409949219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19'!U47</f>
        <v>10</v>
      </c>
      <c r="K28" s="172">
        <f t="shared" si="2"/>
        <v>5.7537399309551211E-3</v>
      </c>
      <c r="L28" s="172">
        <f t="shared" si="6"/>
        <v>0.95972382048331406</v>
      </c>
      <c r="M28" s="173" t="str">
        <f t="shared" si="4"/>
        <v>C</v>
      </c>
    </row>
    <row r="29" spans="2:13" ht="26.5" outlineLevel="1" thickBot="1">
      <c r="B29" s="182" t="s">
        <v>198</v>
      </c>
      <c r="C29" s="171">
        <f>'Юнит 19'!AO79</f>
        <v>1587.6387000000009</v>
      </c>
      <c r="D29" s="172">
        <f t="shared" si="0"/>
        <v>2.5343465798817579E-3</v>
      </c>
      <c r="E29" s="172">
        <f t="shared" si="5"/>
        <v>1.0093127875748036</v>
      </c>
      <c r="F29" s="173" t="str">
        <f t="shared" si="3"/>
        <v>C</v>
      </c>
      <c r="G29" s="173" t="str">
        <f t="shared" si="1"/>
        <v>C</v>
      </c>
      <c r="I29" s="182" t="s">
        <v>139</v>
      </c>
      <c r="J29" s="171">
        <f>'Юнит 19'!U20</f>
        <v>9</v>
      </c>
      <c r="K29" s="172">
        <f t="shared" si="2"/>
        <v>5.1783659378596084E-3</v>
      </c>
      <c r="L29" s="172">
        <f t="shared" si="6"/>
        <v>0.96490218642117365</v>
      </c>
      <c r="M29" s="173" t="str">
        <f t="shared" si="4"/>
        <v>C</v>
      </c>
    </row>
    <row r="30" spans="2:13" ht="15" outlineLevel="1" thickBot="1">
      <c r="B30" s="182" t="s">
        <v>338</v>
      </c>
      <c r="C30" s="171">
        <f>'Юнит 19'!AO104</f>
        <v>916.89114097909123</v>
      </c>
      <c r="D30" s="172">
        <f t="shared" si="0"/>
        <v>1.4636327063986545E-3</v>
      </c>
      <c r="E30" s="172">
        <f t="shared" si="5"/>
        <v>1.0107764202812022</v>
      </c>
      <c r="F30" s="173" t="str">
        <f t="shared" si="3"/>
        <v>C</v>
      </c>
      <c r="G30" s="173" t="str">
        <f t="shared" si="1"/>
        <v>B</v>
      </c>
      <c r="I30" s="182" t="s">
        <v>140</v>
      </c>
      <c r="J30" s="171">
        <f>'Юнит 19'!U21</f>
        <v>7</v>
      </c>
      <c r="K30" s="172">
        <f t="shared" si="2"/>
        <v>4.0276179516685849E-3</v>
      </c>
      <c r="L30" s="172">
        <f t="shared" si="6"/>
        <v>0.96892980437284226</v>
      </c>
      <c r="M30" s="173" t="str">
        <f t="shared" si="4"/>
        <v>C</v>
      </c>
    </row>
    <row r="31" spans="2:13" ht="26.5" outlineLevel="1" thickBot="1">
      <c r="B31" s="182" t="s">
        <v>152</v>
      </c>
      <c r="C31" s="171">
        <f>'Юнит 19'!AO33</f>
        <v>897.03230210541255</v>
      </c>
      <c r="D31" s="172">
        <f t="shared" si="0"/>
        <v>1.4319320553752633E-3</v>
      </c>
      <c r="E31" s="172">
        <f t="shared" si="5"/>
        <v>1.0122083523365775</v>
      </c>
      <c r="F31" s="173" t="str">
        <f t="shared" si="3"/>
        <v>C</v>
      </c>
      <c r="G31" s="173" t="str">
        <f t="shared" si="1"/>
        <v>C</v>
      </c>
      <c r="I31" s="182" t="s">
        <v>198</v>
      </c>
      <c r="J31" s="171">
        <f>'Юнит 19'!U79</f>
        <v>7</v>
      </c>
      <c r="K31" s="172">
        <f t="shared" si="2"/>
        <v>4.0276179516685849E-3</v>
      </c>
      <c r="L31" s="172">
        <f t="shared" si="6"/>
        <v>0.97295742232451088</v>
      </c>
      <c r="M31" s="173" t="str">
        <f t="shared" si="4"/>
        <v>C</v>
      </c>
    </row>
    <row r="32" spans="2:13" ht="15" outlineLevel="1" thickBot="1">
      <c r="B32" s="182" t="s">
        <v>162</v>
      </c>
      <c r="C32" s="171">
        <f>'Юнит 19'!AO43</f>
        <v>843.79959999999983</v>
      </c>
      <c r="D32" s="172">
        <f t="shared" si="0"/>
        <v>1.3469567291132384E-3</v>
      </c>
      <c r="E32" s="172">
        <f t="shared" si="5"/>
        <v>1.0135553090656908</v>
      </c>
      <c r="F32" s="173" t="str">
        <f t="shared" si="3"/>
        <v>C</v>
      </c>
      <c r="G32" s="173" t="str">
        <f t="shared" si="1"/>
        <v>C</v>
      </c>
      <c r="I32" s="182" t="s">
        <v>152</v>
      </c>
      <c r="J32" s="171">
        <f>'Юнит 19'!U33</f>
        <v>6</v>
      </c>
      <c r="K32" s="172">
        <f t="shared" si="2"/>
        <v>3.4522439585730723E-3</v>
      </c>
      <c r="L32" s="172">
        <f t="shared" si="6"/>
        <v>0.9764096662830839</v>
      </c>
      <c r="M32" s="173" t="str">
        <f t="shared" si="4"/>
        <v>C</v>
      </c>
    </row>
    <row r="33" spans="2:13" ht="15" outlineLevel="1" thickBot="1">
      <c r="B33" s="182" t="s">
        <v>143</v>
      </c>
      <c r="C33" s="171">
        <f>'Юнит 19'!AO24</f>
        <v>684.51776042108247</v>
      </c>
      <c r="D33" s="172">
        <f t="shared" si="0"/>
        <v>1.0926952366375863E-3</v>
      </c>
      <c r="E33" s="172">
        <f t="shared" si="5"/>
        <v>1.0146480043023285</v>
      </c>
      <c r="F33" s="173" t="str">
        <f t="shared" si="3"/>
        <v>C</v>
      </c>
      <c r="G33" s="173" t="str">
        <f t="shared" si="1"/>
        <v>C</v>
      </c>
      <c r="I33" s="182" t="s">
        <v>145</v>
      </c>
      <c r="J33" s="171">
        <f>'Юнит 19'!U26</f>
        <v>5</v>
      </c>
      <c r="K33" s="172">
        <f t="shared" si="2"/>
        <v>2.8768699654775605E-3</v>
      </c>
      <c r="L33" s="172">
        <f t="shared" si="6"/>
        <v>0.97928653624856143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'Юнит 19'!AO54</f>
        <v>551.10210833686597</v>
      </c>
      <c r="D34" s="172">
        <f t="shared" si="0"/>
        <v>8.7972392171415423E-4</v>
      </c>
      <c r="E34" s="172">
        <f t="shared" si="5"/>
        <v>1.0155277282240427</v>
      </c>
      <c r="F34" s="173" t="str">
        <f t="shared" si="3"/>
        <v>C</v>
      </c>
      <c r="G34" s="173" t="str">
        <f t="shared" si="1"/>
        <v>C</v>
      </c>
      <c r="I34" s="182" t="s">
        <v>208</v>
      </c>
      <c r="J34" s="171">
        <f>'Юнит 19'!U89</f>
        <v>4</v>
      </c>
      <c r="K34" s="172">
        <f t="shared" si="2"/>
        <v>2.3014959723820483E-3</v>
      </c>
      <c r="L34" s="172">
        <f t="shared" si="6"/>
        <v>0.98158803222094348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19'!AO40</f>
        <v>486.31296458951545</v>
      </c>
      <c r="D35" s="172">
        <f t="shared" si="0"/>
        <v>7.7630105549807789E-4</v>
      </c>
      <c r="E35" s="172">
        <f t="shared" si="5"/>
        <v>1.0163040292795407</v>
      </c>
      <c r="F35" s="173" t="str">
        <f t="shared" si="3"/>
        <v>C</v>
      </c>
      <c r="G35" s="173" t="str">
        <f t="shared" si="1"/>
        <v>C</v>
      </c>
      <c r="I35" s="182" t="s">
        <v>171</v>
      </c>
      <c r="J35" s="171">
        <f>'Юнит 19'!U52</f>
        <v>3</v>
      </c>
      <c r="K35" s="172">
        <f t="shared" si="2"/>
        <v>1.7261219792865361E-3</v>
      </c>
      <c r="L35" s="172">
        <f t="shared" si="6"/>
        <v>0.98331415420023005</v>
      </c>
      <c r="M35" s="173" t="str">
        <f t="shared" si="4"/>
        <v>C</v>
      </c>
    </row>
    <row r="36" spans="2:13" ht="26.5" outlineLevel="1" thickBot="1">
      <c r="B36" s="182" t="s">
        <v>199</v>
      </c>
      <c r="C36" s="171">
        <f>'Юнит 19'!AO80</f>
        <v>450.87083437897417</v>
      </c>
      <c r="D36" s="172">
        <f t="shared" ref="D36:D67" si="7">C36/C$110</f>
        <v>7.1972480708412255E-4</v>
      </c>
      <c r="E36" s="172">
        <f t="shared" si="5"/>
        <v>1.0170237540866247</v>
      </c>
      <c r="F36" s="173" t="str">
        <f t="shared" si="3"/>
        <v>C</v>
      </c>
      <c r="G36" s="173" t="str">
        <f t="shared" si="1"/>
        <v>C</v>
      </c>
      <c r="I36" s="182" t="s">
        <v>195</v>
      </c>
      <c r="J36" s="171">
        <f>'Юнит 19'!U76</f>
        <v>3</v>
      </c>
      <c r="K36" s="172">
        <f t="shared" ref="K36:K67" si="8">J36/J$110</f>
        <v>1.7261219792865361E-3</v>
      </c>
      <c r="L36" s="172">
        <f t="shared" si="6"/>
        <v>0.98504027617951662</v>
      </c>
      <c r="M36" s="173" t="str">
        <f t="shared" si="4"/>
        <v>C</v>
      </c>
    </row>
    <row r="37" spans="2:13" ht="26.5" outlineLevel="1" thickBot="1">
      <c r="B37" s="182" t="s">
        <v>203</v>
      </c>
      <c r="C37" s="171">
        <f>'Юнит 19'!AO84</f>
        <v>445.4465796947859</v>
      </c>
      <c r="D37" s="172">
        <f t="shared" si="7"/>
        <v>7.1106607301113717E-4</v>
      </c>
      <c r="E37" s="172">
        <f t="shared" si="5"/>
        <v>1.0177348201596359</v>
      </c>
      <c r="F37" s="173" t="str">
        <f t="shared" si="3"/>
        <v>C</v>
      </c>
      <c r="G37" s="173" t="str">
        <f t="shared" si="1"/>
        <v>C</v>
      </c>
      <c r="I37" s="182" t="s">
        <v>205</v>
      </c>
      <c r="J37" s="171">
        <f>'Юнит 19'!U86</f>
        <v>3</v>
      </c>
      <c r="K37" s="172">
        <f t="shared" si="8"/>
        <v>1.7261219792865361E-3</v>
      </c>
      <c r="L37" s="172">
        <f t="shared" si="6"/>
        <v>0.98676639815880318</v>
      </c>
      <c r="M37" s="173" t="str">
        <f t="shared" si="4"/>
        <v>C</v>
      </c>
    </row>
    <row r="38" spans="2:13" ht="15" outlineLevel="1" thickBot="1">
      <c r="B38" s="182" t="s">
        <v>194</v>
      </c>
      <c r="C38" s="171">
        <f>'Юнит 19'!AO75</f>
        <v>435.08966302105415</v>
      </c>
      <c r="D38" s="172">
        <f t="shared" si="7"/>
        <v>6.9453333395017047E-4</v>
      </c>
      <c r="E38" s="172">
        <f t="shared" si="5"/>
        <v>1.018429353493586</v>
      </c>
      <c r="F38" s="173" t="str">
        <f t="shared" si="3"/>
        <v>C</v>
      </c>
      <c r="G38" s="173" t="str">
        <f t="shared" si="1"/>
        <v>C</v>
      </c>
      <c r="I38" s="182" t="s">
        <v>143</v>
      </c>
      <c r="J38" s="171">
        <f>'Юнит 19'!U24</f>
        <v>2</v>
      </c>
      <c r="K38" s="172">
        <f t="shared" si="8"/>
        <v>1.1507479861910242E-3</v>
      </c>
      <c r="L38" s="172">
        <f t="shared" si="6"/>
        <v>0.98791714614499415</v>
      </c>
      <c r="M38" s="173" t="str">
        <f t="shared" si="4"/>
        <v>C</v>
      </c>
    </row>
    <row r="39" spans="2:13" ht="15" outlineLevel="1" thickBot="1">
      <c r="B39" s="182" t="s">
        <v>184</v>
      </c>
      <c r="C39" s="171">
        <f>'Юнит 19'!AO65</f>
        <v>423.32549999999992</v>
      </c>
      <c r="D39" s="172">
        <f t="shared" si="7"/>
        <v>6.7575420849953728E-4</v>
      </c>
      <c r="E39" s="172">
        <f>E35+D39</f>
        <v>1.0169797834880403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'Юнит 19'!U43</f>
        <v>2</v>
      </c>
      <c r="K39" s="172">
        <f t="shared" si="8"/>
        <v>1.1507479861910242E-3</v>
      </c>
      <c r="L39" s="172">
        <f>L35+K39</f>
        <v>0.98446490218642102</v>
      </c>
      <c r="M39" s="173" t="str">
        <f t="shared" si="4"/>
        <v>C</v>
      </c>
    </row>
    <row r="40" spans="2:13" ht="15" outlineLevel="1" thickBot="1">
      <c r="B40" s="182" t="s">
        <v>158</v>
      </c>
      <c r="C40" s="171">
        <f>'Юнит 19'!AO39</f>
        <v>377.03591510527059</v>
      </c>
      <c r="D40" s="172">
        <f t="shared" si="7"/>
        <v>6.0186217553126595E-4</v>
      </c>
      <c r="E40" s="172">
        <f t="shared" si="5"/>
        <v>1.0175816456635716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19'!U54</f>
        <v>2</v>
      </c>
      <c r="K40" s="172">
        <f t="shared" si="8"/>
        <v>1.1507479861910242E-3</v>
      </c>
      <c r="L40" s="172">
        <f t="shared" si="6"/>
        <v>0.98561565017261199</v>
      </c>
      <c r="M40" s="173" t="str">
        <f t="shared" si="4"/>
        <v>C</v>
      </c>
    </row>
    <row r="41" spans="2:13" ht="26.5" outlineLevel="1" thickBot="1">
      <c r="B41" s="182" t="s">
        <v>206</v>
      </c>
      <c r="C41" s="171">
        <f>'Юнит 19'!AO87</f>
        <v>253.4616</v>
      </c>
      <c r="D41" s="172">
        <f t="shared" si="7"/>
        <v>4.0460058015174226E-4</v>
      </c>
      <c r="E41" s="172">
        <f t="shared" si="5"/>
        <v>1.0179862462437232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'Юнит 19'!U75</f>
        <v>2</v>
      </c>
      <c r="K41" s="172">
        <f t="shared" si="8"/>
        <v>1.1507479861910242E-3</v>
      </c>
      <c r="L41" s="172">
        <f t="shared" si="6"/>
        <v>0.98676639815880296</v>
      </c>
      <c r="M41" s="173" t="str">
        <f t="shared" si="4"/>
        <v>C</v>
      </c>
    </row>
    <row r="42" spans="2:13" ht="26.5" outlineLevel="1" thickBot="1">
      <c r="B42" s="182" t="s">
        <v>211</v>
      </c>
      <c r="C42" s="171">
        <f>'Юнит 19'!AO92</f>
        <v>231.10277292638119</v>
      </c>
      <c r="D42" s="172">
        <f t="shared" si="7"/>
        <v>3.6890919966058044E-4</v>
      </c>
      <c r="E42" s="172">
        <f t="shared" si="5"/>
        <v>1.0183551554433838</v>
      </c>
      <c r="F42" s="173" t="str">
        <f t="shared" si="3"/>
        <v>C</v>
      </c>
      <c r="G42" s="173" t="str">
        <f t="shared" si="1"/>
        <v>C</v>
      </c>
      <c r="I42" s="182" t="s">
        <v>196</v>
      </c>
      <c r="J42" s="171">
        <f>'Юнит 19'!U77</f>
        <v>2</v>
      </c>
      <c r="K42" s="172">
        <f t="shared" si="8"/>
        <v>1.1507479861910242E-3</v>
      </c>
      <c r="L42" s="172">
        <f t="shared" si="6"/>
        <v>0.98791714614499393</v>
      </c>
      <c r="M42" s="173" t="str">
        <f t="shared" si="4"/>
        <v>C</v>
      </c>
    </row>
    <row r="43" spans="2:13" ht="26.5" outlineLevel="1" thickBot="1">
      <c r="B43" s="182" t="s">
        <v>190</v>
      </c>
      <c r="C43" s="171">
        <f>'Юнит 19'!AO71</f>
        <v>66.461663021054065</v>
      </c>
      <c r="D43" s="172">
        <f t="shared" si="7"/>
        <v>1.0609270759818477E-4</v>
      </c>
      <c r="E43" s="172">
        <f t="shared" si="5"/>
        <v>1.018461248150982</v>
      </c>
      <c r="F43" s="173" t="str">
        <f t="shared" si="3"/>
        <v>C</v>
      </c>
      <c r="G43" s="173" t="str">
        <f t="shared" si="1"/>
        <v>C</v>
      </c>
      <c r="I43" s="182" t="s">
        <v>199</v>
      </c>
      <c r="J43" s="171">
        <f>'Юнит 19'!U80</f>
        <v>2</v>
      </c>
      <c r="K43" s="172">
        <f t="shared" si="8"/>
        <v>1.1507479861910242E-3</v>
      </c>
      <c r="L43" s="172">
        <f t="shared" si="6"/>
        <v>0.9890678941311849</v>
      </c>
      <c r="M43" s="173" t="str">
        <f t="shared" si="4"/>
        <v>C</v>
      </c>
    </row>
    <row r="44" spans="2:13" ht="26.5" outlineLevel="1" thickBot="1">
      <c r="B44" s="182" t="s">
        <v>138</v>
      </c>
      <c r="C44" s="171">
        <f>'Юнит 19'!AO19</f>
        <v>0</v>
      </c>
      <c r="D44" s="172">
        <f t="shared" si="7"/>
        <v>0</v>
      </c>
      <c r="E44" s="172">
        <f t="shared" si="5"/>
        <v>1.018461248150982</v>
      </c>
      <c r="F44" s="173" t="str">
        <f t="shared" si="3"/>
        <v>C</v>
      </c>
      <c r="G44" s="173" t="str">
        <f t="shared" si="1"/>
        <v>C</v>
      </c>
      <c r="I44" s="182" t="s">
        <v>158</v>
      </c>
      <c r="J44" s="171">
        <f>'Юнит 19'!U39</f>
        <v>1</v>
      </c>
      <c r="K44" s="172">
        <f t="shared" si="8"/>
        <v>5.7537399309551208E-4</v>
      </c>
      <c r="L44" s="172">
        <f t="shared" si="6"/>
        <v>0.98964326812428038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19'!AO23</f>
        <v>0</v>
      </c>
      <c r="D45" s="172">
        <f t="shared" si="7"/>
        <v>0</v>
      </c>
      <c r="E45" s="172">
        <f t="shared" si="5"/>
        <v>1.018461248150982</v>
      </c>
      <c r="F45" s="173" t="str">
        <f t="shared" si="3"/>
        <v>C</v>
      </c>
      <c r="G45" s="173" t="str">
        <f t="shared" si="1"/>
        <v>C</v>
      </c>
      <c r="I45" s="182" t="s">
        <v>159</v>
      </c>
      <c r="J45" s="171">
        <f>'Юнит 19'!U40</f>
        <v>1</v>
      </c>
      <c r="K45" s="172">
        <f t="shared" si="8"/>
        <v>5.7537399309551208E-4</v>
      </c>
      <c r="L45" s="172">
        <f t="shared" si="6"/>
        <v>0.99021864211737587</v>
      </c>
      <c r="M45" s="173" t="str">
        <f t="shared" si="4"/>
        <v>C</v>
      </c>
    </row>
    <row r="46" spans="2:13" ht="26.5" outlineLevel="1" thickBot="1">
      <c r="B46" s="182" t="s">
        <v>144</v>
      </c>
      <c r="C46" s="171">
        <f>'Юнит 19'!AO25</f>
        <v>0</v>
      </c>
      <c r="D46" s="172">
        <f t="shared" si="7"/>
        <v>0</v>
      </c>
      <c r="E46" s="172">
        <f t="shared" si="5"/>
        <v>1.018461248150982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19'!U53</f>
        <v>1</v>
      </c>
      <c r="K46" s="172">
        <f t="shared" si="8"/>
        <v>5.7537399309551208E-4</v>
      </c>
      <c r="L46" s="172">
        <f t="shared" si="6"/>
        <v>0.99079401611047135</v>
      </c>
      <c r="M46" s="173" t="str">
        <f t="shared" si="4"/>
        <v>C</v>
      </c>
    </row>
    <row r="47" spans="2:13" ht="15" outlineLevel="1" thickBot="1">
      <c r="B47" s="182" t="s">
        <v>148</v>
      </c>
      <c r="C47" s="171">
        <f>'Юнит 19'!AO29</f>
        <v>0</v>
      </c>
      <c r="D47" s="172">
        <f t="shared" si="7"/>
        <v>0</v>
      </c>
      <c r="E47" s="172">
        <f t="shared" si="5"/>
        <v>1.018461248150982</v>
      </c>
      <c r="F47" s="173" t="str">
        <f t="shared" si="3"/>
        <v>C</v>
      </c>
      <c r="G47" s="173" t="str">
        <f t="shared" si="1"/>
        <v>C</v>
      </c>
      <c r="I47" s="182" t="s">
        <v>184</v>
      </c>
      <c r="J47" s="171">
        <f>'Юнит 19'!U65</f>
        <v>1</v>
      </c>
      <c r="K47" s="172">
        <f t="shared" si="8"/>
        <v>5.7537399309551208E-4</v>
      </c>
      <c r="L47" s="172">
        <f t="shared" si="6"/>
        <v>0.99136939010356684</v>
      </c>
      <c r="M47" s="173" t="str">
        <f t="shared" si="4"/>
        <v>C</v>
      </c>
    </row>
    <row r="48" spans="2:13" ht="15" outlineLevel="1" thickBot="1">
      <c r="B48" s="182" t="s">
        <v>149</v>
      </c>
      <c r="C48" s="171">
        <f>'Юнит 19'!AO30</f>
        <v>0</v>
      </c>
      <c r="D48" s="172">
        <f t="shared" si="7"/>
        <v>0</v>
      </c>
      <c r="E48" s="172">
        <f t="shared" si="5"/>
        <v>1.018461248150982</v>
      </c>
      <c r="F48" s="173" t="str">
        <f t="shared" si="3"/>
        <v>C</v>
      </c>
      <c r="G48" s="173" t="str">
        <f t="shared" si="1"/>
        <v>C</v>
      </c>
      <c r="I48" s="182" t="s">
        <v>190</v>
      </c>
      <c r="J48" s="171">
        <f>'Юнит 19'!U71</f>
        <v>1</v>
      </c>
      <c r="K48" s="172">
        <f t="shared" si="8"/>
        <v>5.7537399309551208E-4</v>
      </c>
      <c r="L48" s="172">
        <f t="shared" si="6"/>
        <v>0.99194476409666232</v>
      </c>
      <c r="M48" s="173" t="str">
        <f t="shared" si="4"/>
        <v>C</v>
      </c>
    </row>
    <row r="49" spans="2:13" ht="15" outlineLevel="1" thickBot="1">
      <c r="B49" s="182" t="s">
        <v>150</v>
      </c>
      <c r="C49" s="171">
        <f>'Юнит 19'!AO31</f>
        <v>0</v>
      </c>
      <c r="D49" s="172">
        <f t="shared" si="7"/>
        <v>0</v>
      </c>
      <c r="E49" s="172">
        <f t="shared" si="5"/>
        <v>1.018461248150982</v>
      </c>
      <c r="F49" s="173" t="str">
        <f t="shared" si="3"/>
        <v>C</v>
      </c>
      <c r="G49" s="173" t="str">
        <f t="shared" si="1"/>
        <v>C</v>
      </c>
      <c r="I49" s="182" t="s">
        <v>197</v>
      </c>
      <c r="J49" s="171">
        <f>'Юнит 19'!U78</f>
        <v>1</v>
      </c>
      <c r="K49" s="172">
        <f t="shared" si="8"/>
        <v>5.7537399309551208E-4</v>
      </c>
      <c r="L49" s="172">
        <f t="shared" si="6"/>
        <v>0.99252013808975781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19'!AO32</f>
        <v>0</v>
      </c>
      <c r="D50" s="172">
        <f t="shared" si="7"/>
        <v>0</v>
      </c>
      <c r="E50" s="172">
        <f t="shared" si="5"/>
        <v>1.018461248150982</v>
      </c>
      <c r="F50" s="173" t="str">
        <f t="shared" si="3"/>
        <v>C</v>
      </c>
      <c r="G50" s="173" t="str">
        <f t="shared" si="1"/>
        <v>C</v>
      </c>
      <c r="I50" s="182" t="s">
        <v>203</v>
      </c>
      <c r="J50" s="171">
        <f>'Юнит 19'!U84</f>
        <v>1</v>
      </c>
      <c r="K50" s="172">
        <f t="shared" si="8"/>
        <v>5.7537399309551208E-4</v>
      </c>
      <c r="L50" s="172">
        <f t="shared" si="6"/>
        <v>0.99309551208285329</v>
      </c>
      <c r="M50" s="173" t="str">
        <f t="shared" si="4"/>
        <v>C</v>
      </c>
    </row>
    <row r="51" spans="2:13" ht="26.5" outlineLevel="1" thickBot="1">
      <c r="B51" s="182" t="s">
        <v>153</v>
      </c>
      <c r="C51" s="171">
        <f>'Юнит 19'!AO34</f>
        <v>0</v>
      </c>
      <c r="D51" s="172">
        <f t="shared" si="7"/>
        <v>0</v>
      </c>
      <c r="E51" s="172">
        <f t="shared" si="5"/>
        <v>1.018461248150982</v>
      </c>
      <c r="F51" s="173" t="str">
        <f t="shared" si="3"/>
        <v>C</v>
      </c>
      <c r="G51" s="173" t="str">
        <f t="shared" si="1"/>
        <v>C</v>
      </c>
      <c r="I51" s="182" t="s">
        <v>204</v>
      </c>
      <c r="J51" s="171">
        <f>'Юнит 19'!U85</f>
        <v>1</v>
      </c>
      <c r="K51" s="172">
        <f t="shared" si="8"/>
        <v>5.7537399309551208E-4</v>
      </c>
      <c r="L51" s="172">
        <f t="shared" si="6"/>
        <v>0.99367088607594878</v>
      </c>
      <c r="M51" s="173" t="str">
        <f t="shared" si="4"/>
        <v>C</v>
      </c>
    </row>
    <row r="52" spans="2:13" ht="26.5" outlineLevel="1" thickBot="1">
      <c r="B52" s="182" t="s">
        <v>154</v>
      </c>
      <c r="C52" s="171">
        <f>'Юнит 19'!AO35</f>
        <v>0</v>
      </c>
      <c r="D52" s="172">
        <f t="shared" si="7"/>
        <v>0</v>
      </c>
      <c r="E52" s="172">
        <f t="shared" si="5"/>
        <v>1.018461248150982</v>
      </c>
      <c r="F52" s="173" t="str">
        <f t="shared" si="3"/>
        <v>C</v>
      </c>
      <c r="G52" s="173" t="str">
        <f t="shared" si="1"/>
        <v>C</v>
      </c>
      <c r="I52" s="182" t="s">
        <v>206</v>
      </c>
      <c r="J52" s="171">
        <f>'Юнит 19'!U87</f>
        <v>1</v>
      </c>
      <c r="K52" s="172">
        <f t="shared" si="8"/>
        <v>5.7537399309551208E-4</v>
      </c>
      <c r="L52" s="172">
        <f t="shared" si="6"/>
        <v>0.99424626006904426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19'!AO36</f>
        <v>0</v>
      </c>
      <c r="D53" s="172">
        <f t="shared" si="7"/>
        <v>0</v>
      </c>
      <c r="E53" s="172">
        <f t="shared" si="5"/>
        <v>1.018461248150982</v>
      </c>
      <c r="F53" s="173" t="str">
        <f t="shared" si="3"/>
        <v>C</v>
      </c>
      <c r="G53" s="173" t="str">
        <f t="shared" si="1"/>
        <v>C</v>
      </c>
      <c r="I53" s="182" t="s">
        <v>211</v>
      </c>
      <c r="J53" s="171">
        <f>'Юнит 19'!U92</f>
        <v>1</v>
      </c>
      <c r="K53" s="172">
        <f t="shared" si="8"/>
        <v>5.7537399309551208E-4</v>
      </c>
      <c r="L53" s="172">
        <f t="shared" si="6"/>
        <v>0.99482163406213975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19'!AO46</f>
        <v>0</v>
      </c>
      <c r="D54" s="172">
        <f t="shared" si="7"/>
        <v>0</v>
      </c>
      <c r="E54" s="172">
        <f t="shared" si="5"/>
        <v>1.018461248150982</v>
      </c>
      <c r="F54" s="173" t="str">
        <f t="shared" si="3"/>
        <v>C</v>
      </c>
      <c r="G54" s="173" t="str">
        <f t="shared" si="1"/>
        <v>C</v>
      </c>
      <c r="I54" s="182" t="s">
        <v>259</v>
      </c>
      <c r="J54" s="171">
        <f>'Юнит 19'!U102</f>
        <v>1</v>
      </c>
      <c r="K54" s="172">
        <f t="shared" si="8"/>
        <v>5.7537399309551208E-4</v>
      </c>
      <c r="L54" s="172">
        <f t="shared" si="6"/>
        <v>0.99539700805523523</v>
      </c>
      <c r="M54" s="173" t="str">
        <f t="shared" si="4"/>
        <v>C</v>
      </c>
    </row>
    <row r="55" spans="2:13" ht="26.5" outlineLevel="1" thickBot="1">
      <c r="B55" s="182" t="s">
        <v>174</v>
      </c>
      <c r="C55" s="171">
        <f>'Юнит 19'!AO55</f>
        <v>0</v>
      </c>
      <c r="D55" s="172">
        <f t="shared" si="7"/>
        <v>0</v>
      </c>
      <c r="E55" s="172">
        <f t="shared" si="5"/>
        <v>1.018461248150982</v>
      </c>
      <c r="F55" s="173" t="str">
        <f t="shared" si="3"/>
        <v>C</v>
      </c>
      <c r="G55" s="173" t="str">
        <f t="shared" si="1"/>
        <v>C</v>
      </c>
      <c r="I55" s="182" t="s">
        <v>138</v>
      </c>
      <c r="J55" s="171">
        <f>'Юнит 19'!U19</f>
        <v>0</v>
      </c>
      <c r="K55" s="172">
        <f t="shared" si="8"/>
        <v>0</v>
      </c>
      <c r="L55" s="172">
        <f t="shared" si="6"/>
        <v>0.99539700805523523</v>
      </c>
      <c r="M55" s="173" t="str">
        <f t="shared" si="4"/>
        <v>C</v>
      </c>
    </row>
    <row r="56" spans="2:13" ht="15" outlineLevel="1" thickBot="1">
      <c r="B56" s="182" t="s">
        <v>175</v>
      </c>
      <c r="C56" s="171">
        <f>'Юнит 19'!AO56</f>
        <v>0</v>
      </c>
      <c r="D56" s="172">
        <f t="shared" si="7"/>
        <v>0</v>
      </c>
      <c r="E56" s="172">
        <f t="shared" si="5"/>
        <v>1.018461248150982</v>
      </c>
      <c r="F56" s="173" t="str">
        <f t="shared" si="3"/>
        <v>C</v>
      </c>
      <c r="G56" s="173" t="str">
        <f t="shared" si="1"/>
        <v>C</v>
      </c>
      <c r="I56" s="182" t="s">
        <v>142</v>
      </c>
      <c r="J56" s="171">
        <f>'Юнит 19'!U23</f>
        <v>0</v>
      </c>
      <c r="K56" s="172">
        <f t="shared" si="8"/>
        <v>0</v>
      </c>
      <c r="L56" s="172">
        <f t="shared" si="6"/>
        <v>0.99539700805523523</v>
      </c>
      <c r="M56" s="173" t="str">
        <f t="shared" si="4"/>
        <v>C</v>
      </c>
    </row>
    <row r="57" spans="2:13" ht="15" outlineLevel="1" thickBot="1">
      <c r="B57" s="182" t="s">
        <v>176</v>
      </c>
      <c r="C57" s="171">
        <f>'Юнит 19'!AO57</f>
        <v>0</v>
      </c>
      <c r="D57" s="172">
        <f t="shared" si="7"/>
        <v>0</v>
      </c>
      <c r="E57" s="172">
        <f t="shared" si="5"/>
        <v>1.018461248150982</v>
      </c>
      <c r="F57" s="173" t="str">
        <f t="shared" si="3"/>
        <v>C</v>
      </c>
      <c r="G57" s="173" t="str">
        <f t="shared" si="1"/>
        <v>C</v>
      </c>
      <c r="I57" s="182" t="s">
        <v>144</v>
      </c>
      <c r="J57" s="171">
        <f>'Юнит 19'!U25</f>
        <v>0</v>
      </c>
      <c r="K57" s="172">
        <f t="shared" si="8"/>
        <v>0</v>
      </c>
      <c r="L57" s="172">
        <f t="shared" si="6"/>
        <v>0.99539700805523523</v>
      </c>
      <c r="M57" s="173" t="str">
        <f t="shared" si="4"/>
        <v>C</v>
      </c>
    </row>
    <row r="58" spans="2:13" ht="15" outlineLevel="1" thickBot="1">
      <c r="B58" s="182" t="s">
        <v>178</v>
      </c>
      <c r="C58" s="171">
        <f>'Юнит 19'!AO59</f>
        <v>0</v>
      </c>
      <c r="D58" s="172">
        <f t="shared" si="7"/>
        <v>0</v>
      </c>
      <c r="E58" s="172">
        <f t="shared" si="5"/>
        <v>1.018461248150982</v>
      </c>
      <c r="F58" s="173" t="str">
        <f t="shared" si="3"/>
        <v>C</v>
      </c>
      <c r="G58" s="173" t="str">
        <f t="shared" si="1"/>
        <v>C</v>
      </c>
      <c r="I58" s="182" t="s">
        <v>146</v>
      </c>
      <c r="J58" s="171">
        <f>'Юнит 19'!U27</f>
        <v>0</v>
      </c>
      <c r="K58" s="172">
        <f t="shared" si="8"/>
        <v>0</v>
      </c>
      <c r="L58" s="172">
        <f t="shared" si="6"/>
        <v>0.99539700805523523</v>
      </c>
      <c r="M58" s="173" t="str">
        <f t="shared" si="4"/>
        <v>C</v>
      </c>
    </row>
    <row r="59" spans="2:13" ht="15" outlineLevel="1" thickBot="1">
      <c r="B59" s="182" t="s">
        <v>181</v>
      </c>
      <c r="C59" s="171">
        <f>'Юнит 19'!AO62</f>
        <v>0</v>
      </c>
      <c r="D59" s="172">
        <f t="shared" si="7"/>
        <v>0</v>
      </c>
      <c r="E59" s="172">
        <f t="shared" si="5"/>
        <v>1.018461248150982</v>
      </c>
      <c r="F59" s="173" t="str">
        <f t="shared" si="3"/>
        <v>C</v>
      </c>
      <c r="G59" s="173" t="str">
        <f t="shared" si="1"/>
        <v>C</v>
      </c>
      <c r="I59" s="182" t="s">
        <v>148</v>
      </c>
      <c r="J59" s="171">
        <f>'Юнит 19'!U29</f>
        <v>0</v>
      </c>
      <c r="K59" s="172">
        <f t="shared" si="8"/>
        <v>0</v>
      </c>
      <c r="L59" s="172">
        <f t="shared" si="6"/>
        <v>0.99539700805523523</v>
      </c>
      <c r="M59" s="173" t="str">
        <f t="shared" si="4"/>
        <v>C</v>
      </c>
    </row>
    <row r="60" spans="2:13" ht="15" outlineLevel="1" thickBot="1">
      <c r="B60" s="182" t="s">
        <v>182</v>
      </c>
      <c r="C60" s="171">
        <f>'Юнит 19'!AO63</f>
        <v>0</v>
      </c>
      <c r="D60" s="172">
        <f t="shared" si="7"/>
        <v>0</v>
      </c>
      <c r="E60" s="172">
        <f t="shared" si="5"/>
        <v>1.018461248150982</v>
      </c>
      <c r="F60" s="173" t="str">
        <f t="shared" si="3"/>
        <v>C</v>
      </c>
      <c r="G60" s="173" t="str">
        <f t="shared" si="1"/>
        <v>C</v>
      </c>
      <c r="I60" s="182" t="s">
        <v>149</v>
      </c>
      <c r="J60" s="171">
        <f>'Юнит 19'!U30</f>
        <v>0</v>
      </c>
      <c r="K60" s="172">
        <f t="shared" si="8"/>
        <v>0</v>
      </c>
      <c r="L60" s="172">
        <f t="shared" si="6"/>
        <v>0.99539700805523523</v>
      </c>
      <c r="M60" s="173" t="str">
        <f t="shared" si="4"/>
        <v>C</v>
      </c>
    </row>
    <row r="61" spans="2:13" ht="15" outlineLevel="1" thickBot="1">
      <c r="B61" s="182" t="s">
        <v>183</v>
      </c>
      <c r="C61" s="171">
        <f>'Юнит 19'!AO64</f>
        <v>0</v>
      </c>
      <c r="D61" s="172">
        <f t="shared" si="7"/>
        <v>0</v>
      </c>
      <c r="E61" s="172">
        <f t="shared" si="5"/>
        <v>1.018461248150982</v>
      </c>
      <c r="F61" s="173" t="str">
        <f t="shared" si="3"/>
        <v>C</v>
      </c>
      <c r="G61" s="173" t="str">
        <f t="shared" si="1"/>
        <v>C</v>
      </c>
      <c r="I61" s="182" t="s">
        <v>150</v>
      </c>
      <c r="J61" s="171">
        <f>'Юнит 19'!U31</f>
        <v>0</v>
      </c>
      <c r="K61" s="172">
        <f t="shared" si="8"/>
        <v>0</v>
      </c>
      <c r="L61" s="172">
        <f t="shared" si="6"/>
        <v>0.99539700805523523</v>
      </c>
      <c r="M61" s="173" t="str">
        <f t="shared" si="4"/>
        <v>C</v>
      </c>
    </row>
    <row r="62" spans="2:13" ht="15" outlineLevel="1" thickBot="1">
      <c r="B62" s="182" t="s">
        <v>186</v>
      </c>
      <c r="C62" s="171">
        <f>'Юнит 19'!AO67</f>
        <v>0</v>
      </c>
      <c r="D62" s="172">
        <f t="shared" si="7"/>
        <v>0</v>
      </c>
      <c r="E62" s="172">
        <f t="shared" si="5"/>
        <v>1.018461248150982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'Юнит 19'!U32</f>
        <v>0</v>
      </c>
      <c r="K62" s="172">
        <f t="shared" si="8"/>
        <v>0</v>
      </c>
      <c r="L62" s="172">
        <f t="shared" si="6"/>
        <v>0.99539700805523523</v>
      </c>
      <c r="M62" s="173" t="str">
        <f t="shared" si="4"/>
        <v>C</v>
      </c>
    </row>
    <row r="63" spans="2:13" ht="15" outlineLevel="1" thickBot="1">
      <c r="B63" s="182" t="s">
        <v>187</v>
      </c>
      <c r="C63" s="171">
        <f>'Юнит 19'!AO68</f>
        <v>0</v>
      </c>
      <c r="D63" s="172">
        <f t="shared" si="7"/>
        <v>0</v>
      </c>
      <c r="E63" s="172">
        <f t="shared" si="5"/>
        <v>1.018461248150982</v>
      </c>
      <c r="F63" s="173" t="str">
        <f t="shared" si="3"/>
        <v>C</v>
      </c>
      <c r="G63" s="173" t="str">
        <f t="shared" si="1"/>
        <v>C</v>
      </c>
      <c r="I63" s="182" t="s">
        <v>153</v>
      </c>
      <c r="J63" s="171">
        <f>'Юнит 19'!U34</f>
        <v>0</v>
      </c>
      <c r="K63" s="172">
        <f t="shared" si="8"/>
        <v>0</v>
      </c>
      <c r="L63" s="172">
        <f t="shared" si="6"/>
        <v>0.99539700805523523</v>
      </c>
      <c r="M63" s="173" t="str">
        <f t="shared" si="4"/>
        <v>C</v>
      </c>
    </row>
    <row r="64" spans="2:13" ht="15" outlineLevel="1" thickBot="1">
      <c r="B64" s="182" t="s">
        <v>189</v>
      </c>
      <c r="C64" s="171">
        <f>'Юнит 19'!AO70</f>
        <v>0</v>
      </c>
      <c r="D64" s="172">
        <f t="shared" si="7"/>
        <v>0</v>
      </c>
      <c r="E64" s="172">
        <f t="shared" si="5"/>
        <v>1.018461248150982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19'!U35</f>
        <v>0</v>
      </c>
      <c r="K64" s="172">
        <f t="shared" si="8"/>
        <v>0</v>
      </c>
      <c r="L64" s="172">
        <f t="shared" si="6"/>
        <v>0.99539700805523523</v>
      </c>
      <c r="M64" s="173" t="str">
        <f t="shared" si="4"/>
        <v>C</v>
      </c>
    </row>
    <row r="65" spans="2:13" ht="15" outlineLevel="1" thickBot="1">
      <c r="B65" s="182" t="s">
        <v>191</v>
      </c>
      <c r="C65" s="171">
        <f>'Юнит 19'!AO72</f>
        <v>0</v>
      </c>
      <c r="D65" s="172">
        <f t="shared" si="7"/>
        <v>0</v>
      </c>
      <c r="E65" s="172">
        <f t="shared" si="5"/>
        <v>1.018461248150982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19'!U36</f>
        <v>0</v>
      </c>
      <c r="K65" s="172">
        <f t="shared" si="8"/>
        <v>0</v>
      </c>
      <c r="L65" s="172">
        <f t="shared" si="6"/>
        <v>0.99539700805523523</v>
      </c>
      <c r="M65" s="173" t="str">
        <f t="shared" si="4"/>
        <v>C</v>
      </c>
    </row>
    <row r="66" spans="2:13" ht="15" outlineLevel="1" thickBot="1">
      <c r="B66" s="182" t="s">
        <v>193</v>
      </c>
      <c r="C66" s="171">
        <f>'Юнит 19'!AO74</f>
        <v>0</v>
      </c>
      <c r="D66" s="172">
        <f t="shared" si="7"/>
        <v>0</v>
      </c>
      <c r="E66" s="172">
        <f t="shared" si="5"/>
        <v>1.018461248150982</v>
      </c>
      <c r="F66" s="173" t="str">
        <f t="shared" si="3"/>
        <v>C</v>
      </c>
      <c r="G66" s="173" t="str">
        <f t="shared" si="1"/>
        <v>C</v>
      </c>
      <c r="I66" s="182" t="s">
        <v>156</v>
      </c>
      <c r="J66" s="171">
        <f>'Юнит 19'!U37</f>
        <v>0</v>
      </c>
      <c r="K66" s="172">
        <f t="shared" si="8"/>
        <v>0</v>
      </c>
      <c r="L66" s="172">
        <f t="shared" si="6"/>
        <v>0.99539700805523523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19'!AO94</f>
        <v>0</v>
      </c>
      <c r="D67" s="172">
        <f t="shared" si="7"/>
        <v>0</v>
      </c>
      <c r="E67" s="172">
        <f t="shared" si="5"/>
        <v>1.018461248150982</v>
      </c>
      <c r="F67" s="173" t="str">
        <f t="shared" si="3"/>
        <v>C</v>
      </c>
      <c r="G67" s="173" t="str">
        <f t="shared" si="1"/>
        <v>C</v>
      </c>
      <c r="I67" s="182" t="s">
        <v>157</v>
      </c>
      <c r="J67" s="171">
        <f>'Юнит 19'!U38</f>
        <v>0</v>
      </c>
      <c r="K67" s="172">
        <f t="shared" si="8"/>
        <v>0</v>
      </c>
      <c r="L67" s="172">
        <f t="shared" si="6"/>
        <v>0.99539700805523523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19'!AO95</f>
        <v>0</v>
      </c>
      <c r="D68" s="172">
        <f t="shared" ref="D68:D99" si="9">C68/C$110</f>
        <v>0</v>
      </c>
      <c r="E68" s="172">
        <f t="shared" si="5"/>
        <v>1.018461248150982</v>
      </c>
      <c r="F68" s="173" t="str">
        <f t="shared" si="3"/>
        <v>C</v>
      </c>
      <c r="G68" s="173" t="str">
        <f t="shared" ref="G68:G105" si="10">VLOOKUP(B$4:B$104,I$4:M$104,5,0)</f>
        <v>C</v>
      </c>
      <c r="I68" s="182" t="s">
        <v>160</v>
      </c>
      <c r="J68" s="171">
        <f>'Юнит 19'!U41</f>
        <v>0</v>
      </c>
      <c r="K68" s="172">
        <f t="shared" ref="K68:K99" si="11">J68/J$110</f>
        <v>0</v>
      </c>
      <c r="L68" s="172">
        <f t="shared" si="6"/>
        <v>0.99539700805523523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19'!AO96</f>
        <v>0</v>
      </c>
      <c r="D69" s="172">
        <f t="shared" si="9"/>
        <v>0</v>
      </c>
      <c r="E69" s="172">
        <f t="shared" si="5"/>
        <v>1.018461248150982</v>
      </c>
      <c r="F69" s="173" t="str">
        <f t="shared" si="3"/>
        <v>C</v>
      </c>
      <c r="G69" s="173" t="str">
        <f t="shared" si="10"/>
        <v>C</v>
      </c>
      <c r="I69" s="182" t="s">
        <v>161</v>
      </c>
      <c r="J69" s="171">
        <f>'Юнит 19'!U42</f>
        <v>0</v>
      </c>
      <c r="K69" s="172">
        <f t="shared" si="11"/>
        <v>0</v>
      </c>
      <c r="L69" s="172">
        <f t="shared" si="6"/>
        <v>0.99539700805523523</v>
      </c>
      <c r="M69" s="173" t="str">
        <f t="shared" si="4"/>
        <v>C</v>
      </c>
    </row>
    <row r="70" spans="2:13" ht="26.5" outlineLevel="1" thickBot="1">
      <c r="B70" s="182" t="s">
        <v>256</v>
      </c>
      <c r="C70" s="171">
        <f>'Юнит 19'!AO99</f>
        <v>0</v>
      </c>
      <c r="D70" s="172">
        <f t="shared" si="9"/>
        <v>0</v>
      </c>
      <c r="E70" s="172">
        <f t="shared" ref="E70:E75" si="12">E69+D70</f>
        <v>1.018461248150982</v>
      </c>
      <c r="F70" s="173" t="str">
        <f t="shared" si="3"/>
        <v>C</v>
      </c>
      <c r="G70" s="173" t="str">
        <f t="shared" si="10"/>
        <v>C</v>
      </c>
      <c r="I70" s="182" t="s">
        <v>165</v>
      </c>
      <c r="J70" s="171">
        <f>'Юнит 19'!U46</f>
        <v>0</v>
      </c>
      <c r="K70" s="172">
        <f t="shared" si="11"/>
        <v>0</v>
      </c>
      <c r="L70" s="172">
        <f t="shared" ref="L70:L75" si="13">L69+K70</f>
        <v>0.99539700805523523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19'!AO101</f>
        <v>0</v>
      </c>
      <c r="D71" s="172">
        <f t="shared" si="9"/>
        <v>0</v>
      </c>
      <c r="E71" s="172">
        <f t="shared" si="12"/>
        <v>1.018461248150982</v>
      </c>
      <c r="F71" s="173" t="str">
        <f t="shared" si="3"/>
        <v>C</v>
      </c>
      <c r="G71" s="173" t="str">
        <f t="shared" si="10"/>
        <v>C</v>
      </c>
      <c r="I71" s="182" t="s">
        <v>170</v>
      </c>
      <c r="J71" s="171">
        <f>'Юнит 19'!U51</f>
        <v>0</v>
      </c>
      <c r="K71" s="172">
        <f t="shared" si="11"/>
        <v>0</v>
      </c>
      <c r="L71" s="172">
        <f t="shared" si="13"/>
        <v>0.99539700805523523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19'!AO103</f>
        <v>0</v>
      </c>
      <c r="D72" s="172">
        <f t="shared" si="9"/>
        <v>0</v>
      </c>
      <c r="E72" s="172">
        <f t="shared" si="12"/>
        <v>1.018461248150982</v>
      </c>
      <c r="F72" s="173" t="str">
        <f t="shared" si="3"/>
        <v>C</v>
      </c>
      <c r="G72" s="173" t="e">
        <f t="shared" si="10"/>
        <v>#N/A</v>
      </c>
      <c r="I72" s="182" t="s">
        <v>174</v>
      </c>
      <c r="J72" s="171">
        <f>'Юнит 19'!U55</f>
        <v>0</v>
      </c>
      <c r="K72" s="172">
        <f t="shared" si="11"/>
        <v>0</v>
      </c>
      <c r="L72" s="172">
        <f t="shared" si="13"/>
        <v>0.99539700805523523</v>
      </c>
      <c r="M72" s="173" t="str">
        <f t="shared" si="4"/>
        <v>C</v>
      </c>
    </row>
    <row r="73" spans="2:13" ht="15" outlineLevel="1" thickBot="1">
      <c r="B73" s="182" t="s">
        <v>372</v>
      </c>
      <c r="C73" s="171">
        <f>'Юнит 19'!AO105</f>
        <v>0</v>
      </c>
      <c r="D73" s="172">
        <f t="shared" si="9"/>
        <v>0</v>
      </c>
      <c r="E73" s="172">
        <f t="shared" si="12"/>
        <v>1.018461248150982</v>
      </c>
      <c r="F73" s="173" t="str">
        <f t="shared" si="3"/>
        <v>C</v>
      </c>
      <c r="G73" s="173" t="e">
        <f t="shared" si="10"/>
        <v>#N/A</v>
      </c>
      <c r="I73" s="182" t="s">
        <v>175</v>
      </c>
      <c r="J73" s="171">
        <f>'Юнит 19'!U56</f>
        <v>0</v>
      </c>
      <c r="K73" s="172">
        <f t="shared" si="11"/>
        <v>0</v>
      </c>
      <c r="L73" s="172">
        <f t="shared" si="13"/>
        <v>0.99539700805523523</v>
      </c>
      <c r="M73" s="173" t="str">
        <f t="shared" si="4"/>
        <v>C</v>
      </c>
    </row>
    <row r="74" spans="2:13" ht="15" outlineLevel="1" thickBot="1">
      <c r="B74" s="182" t="s">
        <v>370</v>
      </c>
      <c r="C74" s="171">
        <f>'Юнит 19'!AO106</f>
        <v>0</v>
      </c>
      <c r="D74" s="172">
        <f t="shared" si="9"/>
        <v>0</v>
      </c>
      <c r="E74" s="172">
        <f t="shared" si="12"/>
        <v>1.018461248150982</v>
      </c>
      <c r="F74" s="173" t="str">
        <f t="shared" si="3"/>
        <v>C</v>
      </c>
      <c r="G74" s="173" t="e">
        <f t="shared" si="10"/>
        <v>#N/A</v>
      </c>
      <c r="I74" s="182" t="s">
        <v>176</v>
      </c>
      <c r="J74" s="171">
        <f>'Юнит 19'!U57</f>
        <v>0</v>
      </c>
      <c r="K74" s="172">
        <f t="shared" si="11"/>
        <v>0</v>
      </c>
      <c r="L74" s="172">
        <f t="shared" si="13"/>
        <v>0.99539700805523523</v>
      </c>
      <c r="M74" s="173" t="str">
        <f t="shared" si="4"/>
        <v>C</v>
      </c>
    </row>
    <row r="75" spans="2:13" ht="15" outlineLevel="1" thickBot="1">
      <c r="B75" s="182" t="s">
        <v>369</v>
      </c>
      <c r="C75" s="171">
        <f>'Юнит 19'!AO107</f>
        <v>0</v>
      </c>
      <c r="D75" s="172">
        <f t="shared" si="9"/>
        <v>0</v>
      </c>
      <c r="E75" s="172">
        <f t="shared" si="12"/>
        <v>1.018461248150982</v>
      </c>
      <c r="F75" s="173" t="str">
        <f t="shared" si="3"/>
        <v>C</v>
      </c>
      <c r="G75" s="173" t="e">
        <f t="shared" si="10"/>
        <v>#N/A</v>
      </c>
      <c r="I75" s="182" t="s">
        <v>177</v>
      </c>
      <c r="J75" s="171">
        <f>'Юнит 19'!U58</f>
        <v>0</v>
      </c>
      <c r="K75" s="172">
        <f t="shared" si="11"/>
        <v>0</v>
      </c>
      <c r="L75" s="172">
        <f t="shared" si="13"/>
        <v>0.99539700805523523</v>
      </c>
      <c r="M75" s="173" t="str">
        <f t="shared" si="4"/>
        <v>C</v>
      </c>
    </row>
    <row r="76" spans="2:13" ht="26.5" outlineLevel="1" thickBot="1">
      <c r="B76" s="182" t="s">
        <v>371</v>
      </c>
      <c r="C76" s="171">
        <f>'Юнит 19'!AO108</f>
        <v>0</v>
      </c>
      <c r="D76" s="172">
        <f t="shared" si="9"/>
        <v>0</v>
      </c>
      <c r="E76" s="172">
        <f>E49+D76</f>
        <v>1.018461248150982</v>
      </c>
      <c r="F76" s="173" t="str">
        <f t="shared" si="3"/>
        <v>C</v>
      </c>
      <c r="G76" s="173" t="e">
        <f t="shared" si="10"/>
        <v>#N/A</v>
      </c>
      <c r="I76" s="182" t="s">
        <v>178</v>
      </c>
      <c r="J76" s="171">
        <f>'Юнит 19'!U59</f>
        <v>0</v>
      </c>
      <c r="K76" s="172">
        <f t="shared" si="11"/>
        <v>0</v>
      </c>
      <c r="L76" s="172">
        <f>L49+K76</f>
        <v>0.99252013808975781</v>
      </c>
      <c r="M76" s="173" t="str">
        <f t="shared" si="4"/>
        <v>C</v>
      </c>
    </row>
    <row r="77" spans="2:13" ht="15" outlineLevel="1" thickBot="1">
      <c r="B77" s="182" t="s">
        <v>170</v>
      </c>
      <c r="C77" s="171">
        <f>'Юнит 19'!AO51</f>
        <v>-1.057936978945881</v>
      </c>
      <c r="D77" s="172">
        <f t="shared" si="9"/>
        <v>-1.6887840818707251E-6</v>
      </c>
      <c r="E77" s="172">
        <f t="shared" ref="E77:E93" si="14">E76+D77</f>
        <v>1.0184595593669001</v>
      </c>
      <c r="F77" s="173" t="str">
        <f t="shared" si="3"/>
        <v>C</v>
      </c>
      <c r="G77" s="173" t="str">
        <f t="shared" si="10"/>
        <v>C</v>
      </c>
      <c r="I77" s="182" t="s">
        <v>179</v>
      </c>
      <c r="J77" s="171">
        <f>'Юнит 19'!U60</f>
        <v>0</v>
      </c>
      <c r="K77" s="172">
        <f t="shared" si="11"/>
        <v>0</v>
      </c>
      <c r="L77" s="172">
        <f t="shared" ref="L77:L94" si="15">L76+K77</f>
        <v>0.99252013808975781</v>
      </c>
      <c r="M77" s="173" t="str">
        <f t="shared" si="4"/>
        <v>C</v>
      </c>
    </row>
    <row r="78" spans="2:13" ht="15" outlineLevel="1" thickBot="1">
      <c r="B78" s="182" t="s">
        <v>192</v>
      </c>
      <c r="C78" s="171">
        <f>'Юнит 19'!AO73</f>
        <v>-1.057936978945881</v>
      </c>
      <c r="D78" s="172">
        <f t="shared" si="9"/>
        <v>-1.6887840818707251E-6</v>
      </c>
      <c r="E78" s="172">
        <f t="shared" si="14"/>
        <v>1.0184578705828182</v>
      </c>
      <c r="F78" s="173" t="str">
        <f t="shared" si="3"/>
        <v>C</v>
      </c>
      <c r="G78" s="173" t="str">
        <f t="shared" si="10"/>
        <v>C</v>
      </c>
      <c r="I78" s="182" t="s">
        <v>180</v>
      </c>
      <c r="J78" s="171">
        <f>'Юнит 19'!U61</f>
        <v>0</v>
      </c>
      <c r="K78" s="172">
        <f t="shared" si="11"/>
        <v>0</v>
      </c>
      <c r="L78" s="172">
        <f t="shared" si="15"/>
        <v>0.99252013808975781</v>
      </c>
      <c r="M78" s="173" t="str">
        <f t="shared" si="4"/>
        <v>C</v>
      </c>
    </row>
    <row r="79" spans="2:13" ht="15" outlineLevel="1" thickBot="1">
      <c r="B79" s="182" t="s">
        <v>185</v>
      </c>
      <c r="C79" s="171">
        <f>'Юнит 19'!AO66</f>
        <v>-2.115873957891762</v>
      </c>
      <c r="D79" s="172">
        <f t="shared" si="9"/>
        <v>-3.3775681637414502E-6</v>
      </c>
      <c r="E79" s="172">
        <f t="shared" si="14"/>
        <v>1.0184544930146544</v>
      </c>
      <c r="F79" s="173" t="str">
        <f t="shared" si="3"/>
        <v>C</v>
      </c>
      <c r="G79" s="173" t="str">
        <f t="shared" si="10"/>
        <v>C</v>
      </c>
      <c r="I79" s="182" t="s">
        <v>181</v>
      </c>
      <c r="J79" s="171">
        <f>'Юнит 19'!U62</f>
        <v>0</v>
      </c>
      <c r="K79" s="172">
        <f t="shared" si="11"/>
        <v>0</v>
      </c>
      <c r="L79" s="172">
        <f t="shared" si="15"/>
        <v>0.99252013808975781</v>
      </c>
      <c r="M79" s="173" t="str">
        <f t="shared" si="4"/>
        <v>C</v>
      </c>
    </row>
    <row r="80" spans="2:13" ht="15" outlineLevel="1" thickBot="1">
      <c r="B80" s="182" t="s">
        <v>217</v>
      </c>
      <c r="C80" s="171">
        <f>'Юнит 19'!AO98</f>
        <v>-5.2896848947294055</v>
      </c>
      <c r="D80" s="172">
        <f t="shared" si="9"/>
        <v>-8.4439204093536256E-6</v>
      </c>
      <c r="E80" s="172">
        <f t="shared" si="14"/>
        <v>1.0184460490942451</v>
      </c>
      <c r="F80" s="173" t="str">
        <f t="shared" si="3"/>
        <v>C</v>
      </c>
      <c r="G80" s="173" t="str">
        <f t="shared" si="10"/>
        <v>C</v>
      </c>
      <c r="I80" s="182" t="s">
        <v>182</v>
      </c>
      <c r="J80" s="171">
        <f>'Юнит 19'!U63</f>
        <v>0</v>
      </c>
      <c r="K80" s="172">
        <f t="shared" si="11"/>
        <v>0</v>
      </c>
      <c r="L80" s="172">
        <f t="shared" si="15"/>
        <v>0.99252013808975781</v>
      </c>
      <c r="M80" s="173" t="str">
        <f t="shared" si="4"/>
        <v>C</v>
      </c>
    </row>
    <row r="81" spans="2:13" ht="15" outlineLevel="1" thickBot="1">
      <c r="B81" s="182" t="s">
        <v>195</v>
      </c>
      <c r="C81" s="171">
        <f>'Юнит 19'!AO76</f>
        <v>-11.836796410484666</v>
      </c>
      <c r="D81" s="172">
        <f t="shared" si="9"/>
        <v>-1.889507008091228E-5</v>
      </c>
      <c r="E81" s="172">
        <f t="shared" si="14"/>
        <v>1.0184271540241641</v>
      </c>
      <c r="F81" s="173" t="str">
        <f t="shared" si="3"/>
        <v>C</v>
      </c>
      <c r="G81" s="173" t="str">
        <f t="shared" si="10"/>
        <v>C</v>
      </c>
      <c r="I81" s="182" t="s">
        <v>183</v>
      </c>
      <c r="J81" s="171">
        <f>'Юнит 19'!U64</f>
        <v>0</v>
      </c>
      <c r="K81" s="172">
        <f t="shared" si="11"/>
        <v>0</v>
      </c>
      <c r="L81" s="172">
        <f t="shared" si="15"/>
        <v>0.99252013808975781</v>
      </c>
      <c r="M81" s="173" t="str">
        <f t="shared" si="4"/>
        <v>C</v>
      </c>
    </row>
    <row r="82" spans="2:13" ht="26.5" outlineLevel="1" thickBot="1">
      <c r="B82" s="182" t="s">
        <v>200</v>
      </c>
      <c r="C82" s="171">
        <f>'Юнит 19'!AO81</f>
        <v>-13.753180726296454</v>
      </c>
      <c r="D82" s="172">
        <f t="shared" si="9"/>
        <v>-2.1954193064319428E-5</v>
      </c>
      <c r="E82" s="172">
        <f t="shared" si="14"/>
        <v>1.0184051998310997</v>
      </c>
      <c r="F82" s="173" t="str">
        <f t="shared" si="3"/>
        <v>C</v>
      </c>
      <c r="G82" s="173" t="str">
        <f t="shared" si="10"/>
        <v>C</v>
      </c>
      <c r="I82" s="182" t="s">
        <v>185</v>
      </c>
      <c r="J82" s="171">
        <f>'Юнит 19'!U66</f>
        <v>0</v>
      </c>
      <c r="K82" s="172">
        <f t="shared" si="11"/>
        <v>0</v>
      </c>
      <c r="L82" s="172">
        <f t="shared" si="15"/>
        <v>0.99252013808975781</v>
      </c>
      <c r="M82" s="173" t="str">
        <f t="shared" si="4"/>
        <v>C</v>
      </c>
    </row>
    <row r="83" spans="2:13" ht="15" outlineLevel="1" thickBot="1">
      <c r="B83" s="182" t="s">
        <v>197</v>
      </c>
      <c r="C83" s="171">
        <f>'Юнит 19'!AO78</f>
        <v>-19.941823810512819</v>
      </c>
      <c r="D83" s="172">
        <f t="shared" si="9"/>
        <v>-3.1833119821769109E-5</v>
      </c>
      <c r="E83" s="172">
        <f t="shared" si="14"/>
        <v>1.018373366711278</v>
      </c>
      <c r="F83" s="173" t="str">
        <f t="shared" si="3"/>
        <v>C</v>
      </c>
      <c r="G83" s="173" t="str">
        <f t="shared" si="10"/>
        <v>C</v>
      </c>
      <c r="I83" s="182" t="s">
        <v>186</v>
      </c>
      <c r="J83" s="171">
        <f>'Юнит 19'!U67</f>
        <v>0</v>
      </c>
      <c r="K83" s="172">
        <f t="shared" si="11"/>
        <v>0</v>
      </c>
      <c r="L83" s="172">
        <f t="shared" si="15"/>
        <v>0.99252013808975781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19'!AO41</f>
        <v>-42.317479157835244</v>
      </c>
      <c r="D84" s="172">
        <f t="shared" si="9"/>
        <v>-6.7551363274829005E-5</v>
      </c>
      <c r="E84" s="172">
        <f t="shared" si="14"/>
        <v>1.0183058153480031</v>
      </c>
      <c r="F84" s="173" t="str">
        <f t="shared" si="3"/>
        <v>C</v>
      </c>
      <c r="G84" s="173" t="str">
        <f t="shared" si="10"/>
        <v>C</v>
      </c>
      <c r="I84" s="182" t="s">
        <v>187</v>
      </c>
      <c r="J84" s="171">
        <f>'Юнит 19'!U68</f>
        <v>0</v>
      </c>
      <c r="K84" s="172">
        <f t="shared" si="11"/>
        <v>0</v>
      </c>
      <c r="L84" s="172">
        <f t="shared" si="15"/>
        <v>0.99252013808975781</v>
      </c>
      <c r="M84" s="173" t="str">
        <f t="shared" si="4"/>
        <v>C</v>
      </c>
    </row>
    <row r="85" spans="2:13" ht="15" outlineLevel="1" thickBot="1">
      <c r="B85" s="182" t="s">
        <v>202</v>
      </c>
      <c r="C85" s="171">
        <f>'Юнит 19'!AO83</f>
        <v>-44.433353115727009</v>
      </c>
      <c r="D85" s="172">
        <f t="shared" si="9"/>
        <v>-7.0928931438570461E-5</v>
      </c>
      <c r="E85" s="172">
        <f t="shared" si="14"/>
        <v>1.0182348864165645</v>
      </c>
      <c r="F85" s="173" t="str">
        <f t="shared" si="3"/>
        <v>C</v>
      </c>
      <c r="G85" s="173" t="str">
        <f t="shared" si="10"/>
        <v>C</v>
      </c>
      <c r="I85" s="182" t="s">
        <v>188</v>
      </c>
      <c r="J85" s="171">
        <f>'Юнит 19'!U69</f>
        <v>0</v>
      </c>
      <c r="K85" s="172">
        <f t="shared" si="11"/>
        <v>0</v>
      </c>
      <c r="L85" s="172">
        <f t="shared" si="15"/>
        <v>0.99252013808975781</v>
      </c>
      <c r="M85" s="173" t="str">
        <f t="shared" si="4"/>
        <v>C</v>
      </c>
    </row>
    <row r="86" spans="2:13" ht="15" outlineLevel="1" thickBot="1">
      <c r="B86" s="182" t="s">
        <v>157</v>
      </c>
      <c r="C86" s="171">
        <f>'Юнит 19'!AO38</f>
        <v>-45.491290094672891</v>
      </c>
      <c r="D86" s="172">
        <f t="shared" si="9"/>
        <v>-7.2617715520441195E-5</v>
      </c>
      <c r="E86" s="172">
        <f t="shared" si="14"/>
        <v>1.0181622687010441</v>
      </c>
      <c r="F86" s="173" t="str">
        <f t="shared" si="3"/>
        <v>C</v>
      </c>
      <c r="G86" s="173" t="str">
        <f t="shared" si="10"/>
        <v>C</v>
      </c>
      <c r="I86" s="182" t="s">
        <v>189</v>
      </c>
      <c r="J86" s="171">
        <f>'Юнит 19'!U70</f>
        <v>0</v>
      </c>
      <c r="K86" s="172">
        <f t="shared" si="11"/>
        <v>0</v>
      </c>
      <c r="L86" s="172">
        <f t="shared" si="15"/>
        <v>0.99252013808975781</v>
      </c>
      <c r="M86" s="173" t="str">
        <f t="shared" si="4"/>
        <v>C</v>
      </c>
    </row>
    <row r="87" spans="2:13" ht="26.5" outlineLevel="1" thickBot="1">
      <c r="B87" s="182" t="s">
        <v>209</v>
      </c>
      <c r="C87" s="171">
        <f>'Юнит 19'!AO90</f>
        <v>-50.780974989402289</v>
      </c>
      <c r="D87" s="172">
        <f t="shared" si="9"/>
        <v>-8.1061635929794801E-5</v>
      </c>
      <c r="E87" s="172">
        <f t="shared" si="14"/>
        <v>1.0180812070651144</v>
      </c>
      <c r="F87" s="173" t="str">
        <f t="shared" si="3"/>
        <v>C</v>
      </c>
      <c r="G87" s="173" t="str">
        <f t="shared" si="10"/>
        <v>C</v>
      </c>
      <c r="I87" s="182" t="s">
        <v>191</v>
      </c>
      <c r="J87" s="171">
        <f>'Юнит 19'!U72</f>
        <v>0</v>
      </c>
      <c r="K87" s="172">
        <f t="shared" si="11"/>
        <v>0</v>
      </c>
      <c r="L87" s="172">
        <f t="shared" si="15"/>
        <v>0.99252013808975781</v>
      </c>
      <c r="M87" s="173" t="str">
        <f t="shared" si="4"/>
        <v>C</v>
      </c>
    </row>
    <row r="88" spans="2:13" ht="26.5" outlineLevel="1" thickBot="1">
      <c r="B88" s="182" t="s">
        <v>205</v>
      </c>
      <c r="C88" s="171">
        <f>'Юнит 19'!AO86</f>
        <v>-65.111299999999886</v>
      </c>
      <c r="D88" s="172">
        <f t="shared" si="9"/>
        <v>-1.0393712402365521E-4</v>
      </c>
      <c r="E88" s="172">
        <f t="shared" si="14"/>
        <v>1.0179772699410907</v>
      </c>
      <c r="F88" s="173" t="str">
        <f t="shared" si="3"/>
        <v>C</v>
      </c>
      <c r="G88" s="173" t="str">
        <f t="shared" si="10"/>
        <v>C</v>
      </c>
      <c r="I88" s="182" t="s">
        <v>192</v>
      </c>
      <c r="J88" s="171">
        <f>'Юнит 19'!U73</f>
        <v>0</v>
      </c>
      <c r="K88" s="172">
        <f t="shared" si="11"/>
        <v>0</v>
      </c>
      <c r="L88" s="172">
        <f t="shared" si="15"/>
        <v>0.99252013808975781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19'!AO97</f>
        <v>-71.56</v>
      </c>
      <c r="D89" s="172">
        <f t="shared" si="9"/>
        <v>-1.1423117945936851E-4</v>
      </c>
      <c r="E89" s="172">
        <f t="shared" si="14"/>
        <v>1.0178630387616314</v>
      </c>
      <c r="F89" s="173" t="str">
        <f t="shared" si="3"/>
        <v>C</v>
      </c>
      <c r="G89" s="173" t="str">
        <f t="shared" si="10"/>
        <v>C</v>
      </c>
      <c r="I89" s="182" t="s">
        <v>193</v>
      </c>
      <c r="J89" s="171">
        <f>'Юнит 19'!U74</f>
        <v>0</v>
      </c>
      <c r="K89" s="172">
        <f t="shared" si="11"/>
        <v>0</v>
      </c>
      <c r="L89" s="172">
        <f t="shared" si="15"/>
        <v>0.99252013808975781</v>
      </c>
      <c r="M89" s="173" t="str">
        <f t="shared" si="4"/>
        <v>C</v>
      </c>
    </row>
    <row r="90" spans="2:13" ht="26.5" outlineLevel="1" thickBot="1">
      <c r="B90" s="182" t="s">
        <v>161</v>
      </c>
      <c r="C90" s="171">
        <f>'Юнит 19'!AO42</f>
        <v>-87.026361452592909</v>
      </c>
      <c r="D90" s="172">
        <f t="shared" si="9"/>
        <v>-1.3892012175498896E-4</v>
      </c>
      <c r="E90" s="172">
        <f t="shared" si="14"/>
        <v>1.0177241186398764</v>
      </c>
      <c r="F90" s="173" t="str">
        <f t="shared" si="3"/>
        <v>C</v>
      </c>
      <c r="G90" s="173" t="str">
        <f t="shared" si="10"/>
        <v>C</v>
      </c>
      <c r="I90" s="182" t="s">
        <v>200</v>
      </c>
      <c r="J90" s="171">
        <f>'Юнит 19'!U81</f>
        <v>0</v>
      </c>
      <c r="K90" s="172">
        <f t="shared" si="11"/>
        <v>0</v>
      </c>
      <c r="L90" s="172">
        <f t="shared" si="15"/>
        <v>0.99252013808975781</v>
      </c>
      <c r="M90" s="173" t="str">
        <f t="shared" si="4"/>
        <v>C</v>
      </c>
    </row>
    <row r="91" spans="2:13" ht="26.5" outlineLevel="1" thickBot="1">
      <c r="B91" s="182" t="s">
        <v>156</v>
      </c>
      <c r="C91" s="171">
        <f>'Юнит 19'!AO37</f>
        <v>-87.897936978945879</v>
      </c>
      <c r="D91" s="172">
        <f t="shared" si="9"/>
        <v>-1.4031141717649846E-4</v>
      </c>
      <c r="E91" s="172">
        <f t="shared" si="14"/>
        <v>1.0175838072226999</v>
      </c>
      <c r="F91" s="173" t="str">
        <f t="shared" si="3"/>
        <v>C</v>
      </c>
      <c r="G91" s="173" t="str">
        <f t="shared" si="10"/>
        <v>C</v>
      </c>
      <c r="I91" s="182" t="s">
        <v>201</v>
      </c>
      <c r="J91" s="171">
        <f>'Юнит 19'!U82</f>
        <v>0</v>
      </c>
      <c r="K91" s="172">
        <f t="shared" si="11"/>
        <v>0</v>
      </c>
      <c r="L91" s="172">
        <f t="shared" si="15"/>
        <v>0.99252013808975781</v>
      </c>
      <c r="M91" s="173" t="str">
        <f t="shared" si="4"/>
        <v>C</v>
      </c>
    </row>
    <row r="92" spans="2:13" ht="15" outlineLevel="1" thickBot="1">
      <c r="B92" s="182" t="s">
        <v>188</v>
      </c>
      <c r="C92" s="171">
        <f>'Юнит 19'!AO69</f>
        <v>-87.897936978945879</v>
      </c>
      <c r="D92" s="172">
        <f t="shared" si="9"/>
        <v>-1.4031141717649846E-4</v>
      </c>
      <c r="E92" s="172">
        <f t="shared" si="14"/>
        <v>1.0174434958055234</v>
      </c>
      <c r="F92" s="173" t="str">
        <f t="shared" si="3"/>
        <v>C</v>
      </c>
      <c r="G92" s="173" t="str">
        <f t="shared" si="10"/>
        <v>C</v>
      </c>
      <c r="I92" s="182" t="s">
        <v>202</v>
      </c>
      <c r="J92" s="171">
        <f>'Юнит 19'!U83</f>
        <v>0</v>
      </c>
      <c r="K92" s="172">
        <f t="shared" si="11"/>
        <v>0</v>
      </c>
      <c r="L92" s="172">
        <f t="shared" si="15"/>
        <v>0.99252013808975781</v>
      </c>
      <c r="M92" s="173" t="str">
        <f t="shared" si="4"/>
        <v>C</v>
      </c>
    </row>
    <row r="93" spans="2:13" ht="26.5" outlineLevel="1" thickBot="1">
      <c r="B93" s="182" t="s">
        <v>204</v>
      </c>
      <c r="C93" s="171">
        <f>'Юнит 19'!AO85</f>
        <v>-94.124583326268265</v>
      </c>
      <c r="D93" s="172">
        <f t="shared" si="9"/>
        <v>-1.5025100851706589E-4</v>
      </c>
      <c r="E93" s="172">
        <f t="shared" si="14"/>
        <v>1.0172932447970064</v>
      </c>
      <c r="F93" s="173" t="str">
        <f t="shared" si="3"/>
        <v>C</v>
      </c>
      <c r="G93" s="173" t="str">
        <f t="shared" si="10"/>
        <v>C</v>
      </c>
      <c r="I93" s="182" t="s">
        <v>207</v>
      </c>
      <c r="J93" s="171">
        <f>'Юнит 19'!U88</f>
        <v>0</v>
      </c>
      <c r="K93" s="172">
        <f t="shared" si="11"/>
        <v>0</v>
      </c>
      <c r="L93" s="172">
        <f t="shared" si="15"/>
        <v>0.99252013808975781</v>
      </c>
      <c r="M93" s="173" t="str">
        <f t="shared" si="4"/>
        <v>C</v>
      </c>
    </row>
    <row r="94" spans="2:13" ht="26.5" outlineLevel="1" thickBot="1">
      <c r="B94" s="182" t="s">
        <v>259</v>
      </c>
      <c r="C94" s="171">
        <f>'Юнит 19'!AO102</f>
        <v>-95.28786768404683</v>
      </c>
      <c r="D94" s="172">
        <f t="shared" si="9"/>
        <v>-1.5210795854830791E-4</v>
      </c>
      <c r="E94" s="172">
        <f>E93+D94</f>
        <v>1.0171411368384582</v>
      </c>
      <c r="F94" s="173" t="str">
        <f t="shared" si="3"/>
        <v>C</v>
      </c>
      <c r="G94" s="173" t="str">
        <f t="shared" si="10"/>
        <v>C</v>
      </c>
      <c r="I94" s="182" t="s">
        <v>209</v>
      </c>
      <c r="J94" s="171">
        <f>'Юнит 19'!U90</f>
        <v>0</v>
      </c>
      <c r="K94" s="172">
        <f t="shared" si="11"/>
        <v>0</v>
      </c>
      <c r="L94" s="172">
        <f t="shared" si="15"/>
        <v>0.99252013808975781</v>
      </c>
      <c r="M94" s="173" t="str">
        <f t="shared" si="4"/>
        <v>C</v>
      </c>
    </row>
    <row r="95" spans="2:13" ht="15" outlineLevel="1" thickBot="1">
      <c r="B95" s="182" t="s">
        <v>179</v>
      </c>
      <c r="C95" s="171">
        <f>'Юнит 19'!AO60</f>
        <v>-97.320802599971742</v>
      </c>
      <c r="D95" s="172">
        <f t="shared" si="9"/>
        <v>-1.5535313117561695E-4</v>
      </c>
      <c r="E95" s="172">
        <f>E94+D95</f>
        <v>1.0169857837072827</v>
      </c>
      <c r="F95" s="173" t="str">
        <f t="shared" si="3"/>
        <v>C</v>
      </c>
      <c r="G95" s="173" t="str">
        <f t="shared" si="10"/>
        <v>C</v>
      </c>
      <c r="I95" s="182" t="s">
        <v>210</v>
      </c>
      <c r="J95" s="171">
        <f>'Юнит 19'!U91</f>
        <v>0</v>
      </c>
      <c r="K95" s="172">
        <f t="shared" si="11"/>
        <v>0</v>
      </c>
      <c r="L95" s="172">
        <f>L94+K95</f>
        <v>0.99252013808975781</v>
      </c>
      <c r="M95" s="173" t="str">
        <f t="shared" si="4"/>
        <v>C</v>
      </c>
    </row>
    <row r="96" spans="2:13" ht="26.5" outlineLevel="1" thickBot="1">
      <c r="B96" s="182" t="s">
        <v>146</v>
      </c>
      <c r="C96" s="171">
        <f>'Юнит 19'!AO27</f>
        <v>-150.2379369789459</v>
      </c>
      <c r="D96" s="172">
        <f t="shared" si="9"/>
        <v>-2.3982471688998412E-4</v>
      </c>
      <c r="E96" s="172">
        <f t="shared" ref="E96:E98" si="16">E95+D96</f>
        <v>1.0167459589903927</v>
      </c>
      <c r="F96" s="173" t="str">
        <f t="shared" si="3"/>
        <v>C</v>
      </c>
      <c r="G96" s="173" t="str">
        <f t="shared" si="10"/>
        <v>C</v>
      </c>
      <c r="I96" s="182" t="s">
        <v>212</v>
      </c>
      <c r="J96" s="171">
        <f>'Юнит 19'!U93</f>
        <v>0</v>
      </c>
      <c r="K96" s="172">
        <f t="shared" si="11"/>
        <v>0</v>
      </c>
      <c r="L96" s="172">
        <f t="shared" ref="L96:L98" si="17">L95+K96</f>
        <v>0.99252013808975781</v>
      </c>
      <c r="M96" s="173" t="str">
        <f t="shared" si="4"/>
        <v>C</v>
      </c>
    </row>
    <row r="97" spans="2:13" ht="26.5" outlineLevel="1" thickBot="1">
      <c r="B97" s="182" t="s">
        <v>207</v>
      </c>
      <c r="C97" s="171">
        <f>'Юнит 19'!AO88</f>
        <v>-154.02000000000001</v>
      </c>
      <c r="D97" s="172">
        <f t="shared" si="9"/>
        <v>-2.4586202152504104E-4</v>
      </c>
      <c r="E97" s="172">
        <f t="shared" si="16"/>
        <v>1.0165000969688676</v>
      </c>
      <c r="F97" s="173" t="str">
        <f t="shared" ref="F97:F105" si="18">IF(AND(E97&lt;=0),"C",IF(E97&lt;=0.8,"A",IF(E97&lt;=0.95,"B","C")))</f>
        <v>C</v>
      </c>
      <c r="G97" s="173" t="str">
        <f t="shared" si="10"/>
        <v>C</v>
      </c>
      <c r="I97" s="182" t="s">
        <v>213</v>
      </c>
      <c r="J97" s="171">
        <f>'Юнит 19'!U94</f>
        <v>0</v>
      </c>
      <c r="K97" s="172">
        <f t="shared" si="11"/>
        <v>0</v>
      </c>
      <c r="L97" s="172">
        <f t="shared" si="17"/>
        <v>0.99252013808975781</v>
      </c>
      <c r="M97" s="173" t="str">
        <f t="shared" si="4"/>
        <v>C</v>
      </c>
    </row>
    <row r="98" spans="2:13" ht="26.5" outlineLevel="1" thickBot="1">
      <c r="B98" s="182" t="s">
        <v>180</v>
      </c>
      <c r="C98" s="171">
        <f>'Юнит 19'!AO61</f>
        <v>-165.03816871555745</v>
      </c>
      <c r="D98" s="172">
        <f t="shared" si="9"/>
        <v>-2.6345031677183314E-4</v>
      </c>
      <c r="E98" s="172">
        <f t="shared" si="16"/>
        <v>1.0162366466520958</v>
      </c>
      <c r="F98" s="173" t="str">
        <f t="shared" si="18"/>
        <v>C</v>
      </c>
      <c r="G98" s="173" t="str">
        <f t="shared" si="10"/>
        <v>C</v>
      </c>
      <c r="I98" s="182" t="s">
        <v>214</v>
      </c>
      <c r="J98" s="171">
        <f>'Юнит 19'!U95</f>
        <v>0</v>
      </c>
      <c r="K98" s="172">
        <f t="shared" si="11"/>
        <v>0</v>
      </c>
      <c r="L98" s="172">
        <f t="shared" si="17"/>
        <v>0.99252013808975781</v>
      </c>
      <c r="M98" s="173" t="str">
        <f t="shared" si="4"/>
        <v>C</v>
      </c>
    </row>
    <row r="99" spans="2:13" ht="26.5" outlineLevel="1" thickBot="1">
      <c r="B99" s="182" t="s">
        <v>212</v>
      </c>
      <c r="C99" s="171">
        <f>'Юнит 19'!AO93</f>
        <v>-233.76954217888937</v>
      </c>
      <c r="D99" s="172">
        <f t="shared" si="9"/>
        <v>-3.7316616160943441E-4</v>
      </c>
      <c r="E99" s="172">
        <f>E93+D99</f>
        <v>1.0169200786353969</v>
      </c>
      <c r="F99" s="173" t="str">
        <f t="shared" si="18"/>
        <v>C</v>
      </c>
      <c r="G99" s="173" t="str">
        <f t="shared" si="10"/>
        <v>C</v>
      </c>
      <c r="I99" s="182" t="s">
        <v>215</v>
      </c>
      <c r="J99" s="171">
        <f>'Юнит 19'!U96</f>
        <v>0</v>
      </c>
      <c r="K99" s="172">
        <f t="shared" si="11"/>
        <v>0</v>
      </c>
      <c r="L99" s="172">
        <f>L93+K99</f>
        <v>0.99252013808975781</v>
      </c>
      <c r="M99" s="173" t="str">
        <f t="shared" ref="M99:M105" si="19">_xlfn.IFS(L99&lt;80%,"A",L99&lt;=95%,"B",L99&gt;95%,"C")</f>
        <v>C</v>
      </c>
    </row>
    <row r="100" spans="2:13" ht="26.5" outlineLevel="1" thickBot="1">
      <c r="B100" s="182" t="s">
        <v>257</v>
      </c>
      <c r="C100" s="171">
        <f>'Юнит 19'!AO100</f>
        <v>-280.79604634732232</v>
      </c>
      <c r="D100" s="172">
        <f t="shared" ref="D100:D105" si="20">C100/C$110</f>
        <v>-4.4823453831445122E-4</v>
      </c>
      <c r="E100" s="172">
        <f t="shared" ref="E100:E105" si="21">E94+D100</f>
        <v>1.0166929023001436</v>
      </c>
      <c r="F100" s="173" t="str">
        <f t="shared" si="18"/>
        <v>C</v>
      </c>
      <c r="G100" s="173" t="str">
        <f t="shared" si="10"/>
        <v>C</v>
      </c>
      <c r="I100" s="182" t="s">
        <v>216</v>
      </c>
      <c r="J100" s="171">
        <f>'Юнит 19'!U97</f>
        <v>0</v>
      </c>
      <c r="K100" s="172">
        <f t="shared" ref="K100:K105" si="22">J100/J$110</f>
        <v>0</v>
      </c>
      <c r="L100" s="172">
        <f t="shared" ref="L100:L105" si="23">L94+K100</f>
        <v>0.99252013808975781</v>
      </c>
      <c r="M100" s="173" t="str">
        <f t="shared" si="19"/>
        <v>C</v>
      </c>
    </row>
    <row r="101" spans="2:13" ht="15" outlineLevel="1" thickBot="1">
      <c r="B101" s="182" t="s">
        <v>210</v>
      </c>
      <c r="C101" s="171">
        <f>'Юнит 19'!AO91</f>
        <v>-324.05461353680937</v>
      </c>
      <c r="D101" s="172">
        <f t="shared" si="20"/>
        <v>-5.172881597758465E-4</v>
      </c>
      <c r="E101" s="172">
        <f t="shared" si="21"/>
        <v>1.0164684955475067</v>
      </c>
      <c r="F101" s="173" t="str">
        <f t="shared" si="18"/>
        <v>C</v>
      </c>
      <c r="G101" s="173" t="str">
        <f t="shared" si="10"/>
        <v>C</v>
      </c>
      <c r="I101" s="182" t="s">
        <v>217</v>
      </c>
      <c r="J101" s="171">
        <f>'Юнит 19'!U98</f>
        <v>0</v>
      </c>
      <c r="K101" s="172">
        <f t="shared" si="22"/>
        <v>0</v>
      </c>
      <c r="L101" s="172">
        <f t="shared" si="23"/>
        <v>0.99252013808975781</v>
      </c>
      <c r="M101" s="173" t="str">
        <f t="shared" si="19"/>
        <v>C</v>
      </c>
    </row>
    <row r="102" spans="2:13" ht="26.5" outlineLevel="1" thickBot="1">
      <c r="B102" s="182" t="s">
        <v>201</v>
      </c>
      <c r="C102" s="171">
        <f>'Юнит 19'!AO82</f>
        <v>-557.37541613678115</v>
      </c>
      <c r="D102" s="172">
        <f t="shared" si="20"/>
        <v>-8.8973799869984411E-4</v>
      </c>
      <c r="E102" s="172">
        <f t="shared" si="21"/>
        <v>1.0158562209916928</v>
      </c>
      <c r="F102" s="173" t="str">
        <f t="shared" si="18"/>
        <v>C</v>
      </c>
      <c r="G102" s="173" t="str">
        <f t="shared" si="10"/>
        <v>C</v>
      </c>
      <c r="I102" s="182" t="s">
        <v>256</v>
      </c>
      <c r="J102" s="171">
        <f>'Юнит 19'!U99</f>
        <v>0</v>
      </c>
      <c r="K102" s="172">
        <f t="shared" si="22"/>
        <v>0</v>
      </c>
      <c r="L102" s="172">
        <f t="shared" si="23"/>
        <v>0.99252013808975781</v>
      </c>
      <c r="M102" s="173" t="str">
        <f t="shared" si="19"/>
        <v>C</v>
      </c>
    </row>
    <row r="103" spans="2:13" ht="15" outlineLevel="1" thickBot="1">
      <c r="B103" s="182" t="s">
        <v>171</v>
      </c>
      <c r="C103" s="171">
        <f>'Юнит 19'!AO52</f>
        <v>-656.12800000000038</v>
      </c>
      <c r="D103" s="172">
        <f t="shared" si="20"/>
        <v>-1.0473766813347762E-3</v>
      </c>
      <c r="E103" s="172">
        <f t="shared" si="21"/>
        <v>1.0154527202875328</v>
      </c>
      <c r="F103" s="173" t="str">
        <f t="shared" si="18"/>
        <v>C</v>
      </c>
      <c r="G103" s="173" t="str">
        <f t="shared" si="10"/>
        <v>C</v>
      </c>
      <c r="I103" s="182" t="s">
        <v>257</v>
      </c>
      <c r="J103" s="171">
        <f>'Юнит 19'!U100</f>
        <v>0</v>
      </c>
      <c r="K103" s="172">
        <f t="shared" si="22"/>
        <v>0</v>
      </c>
      <c r="L103" s="172">
        <f t="shared" si="23"/>
        <v>0.99252013808975781</v>
      </c>
      <c r="M103" s="173" t="str">
        <f t="shared" si="19"/>
        <v>C</v>
      </c>
    </row>
    <row r="104" spans="2:13" ht="15" outlineLevel="1" thickBot="1">
      <c r="B104" s="182" t="s">
        <v>177</v>
      </c>
      <c r="C104" s="171">
        <f>'Юнит 19'!AO58</f>
        <v>-904.06318072629642</v>
      </c>
      <c r="D104" s="172">
        <f t="shared" si="20"/>
        <v>-1.4431554421485894E-3</v>
      </c>
      <c r="E104" s="172">
        <f t="shared" si="21"/>
        <v>1.0147934912099472</v>
      </c>
      <c r="F104" s="173" t="str">
        <f t="shared" si="18"/>
        <v>C</v>
      </c>
      <c r="G104" s="173" t="str">
        <f t="shared" si="10"/>
        <v>C</v>
      </c>
      <c r="I104" s="182" t="s">
        <v>258</v>
      </c>
      <c r="J104" s="171">
        <f>'Юнит 19'!U101</f>
        <v>0</v>
      </c>
      <c r="K104" s="172">
        <f t="shared" si="22"/>
        <v>0</v>
      </c>
      <c r="L104" s="172">
        <f t="shared" si="23"/>
        <v>0.99252013808975781</v>
      </c>
      <c r="M104" s="173" t="str">
        <f t="shared" si="19"/>
        <v>C</v>
      </c>
    </row>
    <row r="105" spans="2:13" ht="26.5" outlineLevel="1" thickBot="1">
      <c r="B105" s="182" t="s">
        <v>141</v>
      </c>
      <c r="C105" s="171">
        <f>'Юнит 19'!AO22</f>
        <v>-1205.4574567472068</v>
      </c>
      <c r="D105" s="172">
        <f t="shared" si="20"/>
        <v>-1.9242709205187832E-3</v>
      </c>
      <c r="E105" s="172">
        <f t="shared" si="21"/>
        <v>1.0149958077148782</v>
      </c>
      <c r="F105" s="173" t="str">
        <f t="shared" si="18"/>
        <v>C</v>
      </c>
      <c r="G105" s="173" t="e">
        <f t="shared" si="10"/>
        <v>#VALUE!</v>
      </c>
      <c r="I105" s="182" t="s">
        <v>260</v>
      </c>
      <c r="J105" s="171">
        <f>'Юнит 19'!U103</f>
        <v>0</v>
      </c>
      <c r="K105" s="172">
        <f t="shared" si="22"/>
        <v>0</v>
      </c>
      <c r="L105" s="172">
        <f t="shared" si="23"/>
        <v>0.99252013808975781</v>
      </c>
      <c r="M105" s="173" t="str">
        <f t="shared" si="19"/>
        <v>C</v>
      </c>
    </row>
    <row r="106" spans="2:13" ht="15" outlineLevel="1" thickBot="1">
      <c r="B106" s="182" t="s">
        <v>139</v>
      </c>
      <c r="C106" s="171">
        <f>'Юнит 19'!AO20</f>
        <v>-1440.4031744524509</v>
      </c>
      <c r="D106" s="172">
        <f t="shared" ref="D106:D109" si="24">C106/C$110</f>
        <v>-2.2993146103231134E-3</v>
      </c>
      <c r="E106" s="172">
        <f t="shared" ref="E106:E109" si="25">E100+D106</f>
        <v>1.0143935876898205</v>
      </c>
      <c r="F106" s="173" t="str">
        <f t="shared" ref="F106:F109" si="26">IF(AND(E106&lt;=0),"C",IF(E106&lt;=0.8,"A",IF(E106&lt;=0.95,"B","C")))</f>
        <v>C</v>
      </c>
      <c r="G106" s="173" t="e">
        <f t="shared" ref="G106:G109" si="27">VLOOKUP(B$4:B$104,I$4:M$104,5,0)</f>
        <v>#VALUE!</v>
      </c>
      <c r="I106" s="182" t="s">
        <v>372</v>
      </c>
      <c r="J106" s="171">
        <f>'Юнит 19'!U105</f>
        <v>0</v>
      </c>
      <c r="K106" s="172">
        <f t="shared" ref="K106:K109" si="28">J106/J$110</f>
        <v>0</v>
      </c>
      <c r="L106" s="172">
        <f t="shared" ref="L106:L109" si="29">L100+K106</f>
        <v>0.99252013808975781</v>
      </c>
      <c r="M106" s="173" t="str">
        <f t="shared" ref="M106:M109" si="30">_xlfn.IFS(L106&lt;80%,"A",L106&lt;=95%,"B",L106&gt;95%,"C")</f>
        <v>C</v>
      </c>
    </row>
    <row r="107" spans="2:13" ht="26.5" outlineLevel="1" thickBot="1">
      <c r="B107" s="182" t="s">
        <v>196</v>
      </c>
      <c r="C107" s="171">
        <f>'Юнит 19'!AO77</f>
        <v>-1582.4584555789179</v>
      </c>
      <c r="D107" s="172">
        <f t="shared" si="24"/>
        <v>-2.5260773592262506E-3</v>
      </c>
      <c r="E107" s="172">
        <f t="shared" si="25"/>
        <v>1.0139424181882806</v>
      </c>
      <c r="F107" s="173" t="str">
        <f t="shared" si="26"/>
        <v>C</v>
      </c>
      <c r="G107" s="173" t="e">
        <f t="shared" si="27"/>
        <v>#VALUE!</v>
      </c>
      <c r="I107" s="182" t="s">
        <v>370</v>
      </c>
      <c r="J107" s="171">
        <f>'Юнит 19'!U106</f>
        <v>0</v>
      </c>
      <c r="K107" s="172">
        <f t="shared" si="28"/>
        <v>0</v>
      </c>
      <c r="L107" s="172">
        <f t="shared" si="29"/>
        <v>0.99252013808975781</v>
      </c>
      <c r="M107" s="173" t="str">
        <f t="shared" si="30"/>
        <v>C</v>
      </c>
    </row>
    <row r="108" spans="2:13" ht="26.5" outlineLevel="1" thickBot="1">
      <c r="B108" s="182" t="s">
        <v>172</v>
      </c>
      <c r="C108" s="171">
        <f>'Юнит 19'!AO53</f>
        <v>-1981.6439093683766</v>
      </c>
      <c r="D108" s="172">
        <f t="shared" si="24"/>
        <v>-3.1632968283345948E-3</v>
      </c>
      <c r="E108" s="172">
        <f t="shared" si="25"/>
        <v>1.0126929241633582</v>
      </c>
      <c r="F108" s="173" t="str">
        <f t="shared" si="26"/>
        <v>C</v>
      </c>
      <c r="G108" s="173" t="e">
        <f t="shared" si="27"/>
        <v>#VALUE!</v>
      </c>
      <c r="I108" s="182" t="s">
        <v>369</v>
      </c>
      <c r="J108" s="171">
        <f>'Юнит 19'!U107</f>
        <v>0</v>
      </c>
      <c r="K108" s="172">
        <f t="shared" si="28"/>
        <v>0</v>
      </c>
      <c r="L108" s="172">
        <f t="shared" si="29"/>
        <v>0.99252013808975781</v>
      </c>
      <c r="M108" s="173" t="str">
        <f t="shared" si="30"/>
        <v>C</v>
      </c>
    </row>
    <row r="109" spans="2:13" ht="26.5" outlineLevel="1" thickBot="1">
      <c r="B109" s="182" t="s">
        <v>140</v>
      </c>
      <c r="C109" s="171">
        <f>'Юнит 19'!AO21</f>
        <v>-2336.687183410344</v>
      </c>
      <c r="D109" s="172">
        <f t="shared" si="24"/>
        <v>-3.7300521658545742E-3</v>
      </c>
      <c r="E109" s="172">
        <f t="shared" si="25"/>
        <v>1.0117226681216782</v>
      </c>
      <c r="F109" s="173" t="str">
        <f t="shared" si="26"/>
        <v>C</v>
      </c>
      <c r="G109" s="173" t="e">
        <f t="shared" si="27"/>
        <v>#VALUE!</v>
      </c>
      <c r="I109" s="182" t="s">
        <v>371</v>
      </c>
      <c r="J109" s="171">
        <f>'Юнит 19'!U108</f>
        <v>0</v>
      </c>
      <c r="K109" s="172">
        <f t="shared" si="28"/>
        <v>0</v>
      </c>
      <c r="L109" s="172">
        <f t="shared" si="29"/>
        <v>0.99252013808975781</v>
      </c>
      <c r="M109" s="173" t="str">
        <f t="shared" si="30"/>
        <v>C</v>
      </c>
    </row>
    <row r="110" spans="2:13" outlineLevel="1">
      <c r="C110" s="178">
        <f>SUM(C4:C109)</f>
        <v>626448.92873099993</v>
      </c>
      <c r="D110" s="179">
        <f>SUM(D4:D109)</f>
        <v>1.0000000000000007</v>
      </c>
      <c r="J110" s="178">
        <f>SUM(J4:J109)</f>
        <v>1738</v>
      </c>
      <c r="K110" s="179">
        <f>SUM(K4:K109)</f>
        <v>0.99999999999999933</v>
      </c>
    </row>
  </sheetData>
  <sortState xmlns:xlrd2="http://schemas.microsoft.com/office/spreadsheetml/2017/richdata2" ref="B4:C109">
    <sortCondition descending="1" ref="C4:C109"/>
  </sortState>
  <mergeCells count="1">
    <mergeCell ref="B2:M2"/>
  </mergeCells>
  <conditionalFormatting sqref="D4:D98 F4:G98 K4:K98 M4:M98">
    <cfRule type="cellIs" dxfId="250" priority="4" operator="equal">
      <formula>"C"</formula>
    </cfRule>
    <cfRule type="cellIs" dxfId="249" priority="5" operator="equal">
      <formula>"B"</formula>
    </cfRule>
    <cfRule type="cellIs" dxfId="248" priority="6" operator="equal">
      <formula>"A"</formula>
    </cfRule>
  </conditionalFormatting>
  <conditionalFormatting sqref="F99:G109 D99:D109 M99:M109 K99:K109">
    <cfRule type="cellIs" dxfId="247" priority="1" operator="equal">
      <formula>"C"</formula>
    </cfRule>
    <cfRule type="cellIs" dxfId="246" priority="2" operator="equal">
      <formula>"B"</formula>
    </cfRule>
    <cfRule type="cellIs" dxfId="24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EBE3-E418-4781-BBE6-3368C6A8EE7F}">
  <sheetPr codeName="Лист5"/>
  <dimension ref="B1:Q106"/>
  <sheetViews>
    <sheetView zoomScale="80" zoomScaleNormal="80" workbookViewId="0">
      <selection activeCell="N12" sqref="N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АПРЕЛЬ!AO4</f>
        <v>881964.35053664038</v>
      </c>
      <c r="D4" s="172">
        <f t="shared" ref="D4:D67" si="0">C4/C$106</f>
        <v>0.20324945861003593</v>
      </c>
      <c r="E4" s="172">
        <f>D4</f>
        <v>0.20324945861003593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АПРЕЛЬ!U4</f>
        <v>1719</v>
      </c>
      <c r="K4" s="172">
        <f t="shared" ref="K4:K67" si="2">J4/J$106</f>
        <v>0.16757652563852604</v>
      </c>
      <c r="L4" s="172">
        <f>K4</f>
        <v>0.16757652563852604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АПРЕЛЬ!AO13</f>
        <v>422668.32768478413</v>
      </c>
      <c r="D5" s="172">
        <f t="shared" si="0"/>
        <v>9.7404287056807412E-2</v>
      </c>
      <c r="E5" s="172">
        <f>E4+D5</f>
        <v>0.30065374566684333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АПРЕЛЬ!U13</f>
        <v>989</v>
      </c>
      <c r="K5" s="172">
        <f t="shared" si="2"/>
        <v>9.641255605381166E-2</v>
      </c>
      <c r="L5" s="172">
        <f>L4+K5</f>
        <v>0.2639890816923377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135</v>
      </c>
      <c r="C6" s="171">
        <f>АПРЕЛЬ!AO16</f>
        <v>402050.94853449735</v>
      </c>
      <c r="D6" s="172">
        <f t="shared" si="0"/>
        <v>9.2652993937415579E-2</v>
      </c>
      <c r="E6" s="172">
        <f t="shared" ref="E6:E69" si="5">E5+D6</f>
        <v>0.39330673960425888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АПРЕЛЬ!U9</f>
        <v>899</v>
      </c>
      <c r="K6" s="172">
        <f t="shared" si="2"/>
        <v>8.763891596802495E-2</v>
      </c>
      <c r="L6" s="172">
        <f t="shared" ref="L6:L69" si="6">L5+K6</f>
        <v>0.35162799766036268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АПРЕЛЬ!AO9</f>
        <v>368738.71234735748</v>
      </c>
      <c r="D7" s="172">
        <f t="shared" si="0"/>
        <v>8.497615987263038E-2</v>
      </c>
      <c r="E7" s="172">
        <f t="shared" si="5"/>
        <v>0.47828289947688929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АПРЕЛЬ!U16</f>
        <v>777</v>
      </c>
      <c r="K7" s="172">
        <f t="shared" si="2"/>
        <v>7.5745759407291877E-2</v>
      </c>
      <c r="L7" s="172">
        <f t="shared" si="6"/>
        <v>0.42737375706765457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АПРЕЛЬ!AO7</f>
        <v>267745.77528129</v>
      </c>
      <c r="D8" s="172">
        <f t="shared" si="0"/>
        <v>6.1702248892412277E-2</v>
      </c>
      <c r="E8" s="172">
        <f t="shared" si="5"/>
        <v>0.53998514836930156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АПРЕЛЬ!U10</f>
        <v>686</v>
      </c>
      <c r="K8" s="172">
        <f t="shared" si="2"/>
        <v>6.6874634431663096E-2</v>
      </c>
      <c r="L8" s="172">
        <f t="shared" si="6"/>
        <v>0.49424839149931765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АПРЕЛЬ!AO5</f>
        <v>266086.62968376256</v>
      </c>
      <c r="D9" s="172">
        <f t="shared" si="0"/>
        <v>6.1319897333364008E-2</v>
      </c>
      <c r="E9" s="172">
        <f t="shared" si="5"/>
        <v>0.60130504570266552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АПРЕЛЬ!U7</f>
        <v>607</v>
      </c>
      <c r="K9" s="172">
        <f t="shared" si="2"/>
        <v>5.9173328134139211E-2</v>
      </c>
      <c r="L9" s="172">
        <f t="shared" si="6"/>
        <v>0.55342171963345688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АПРЕЛЬ!AO3</f>
        <v>258843.84341481826</v>
      </c>
      <c r="D10" s="172">
        <f t="shared" si="0"/>
        <v>5.9650790881277345E-2</v>
      </c>
      <c r="E10" s="172">
        <f t="shared" si="5"/>
        <v>0.66095583658394286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АПРЕЛЬ!U3</f>
        <v>597</v>
      </c>
      <c r="K10" s="172">
        <f t="shared" si="2"/>
        <v>5.8198479235718463E-2</v>
      </c>
      <c r="L10" s="172">
        <f t="shared" si="6"/>
        <v>0.61162019886917529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АПРЕЛЬ!AO10</f>
        <v>223194.84808012587</v>
      </c>
      <c r="D11" s="172">
        <f t="shared" si="0"/>
        <v>5.1435448620153937E-2</v>
      </c>
      <c r="E11" s="172">
        <f t="shared" si="5"/>
        <v>0.71239128520409678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АПРЕЛЬ!U5</f>
        <v>586</v>
      </c>
      <c r="K11" s="172">
        <f t="shared" si="2"/>
        <v>5.7126145447455645E-2</v>
      </c>
      <c r="L11" s="172">
        <f t="shared" si="6"/>
        <v>0.66874634431663094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АПРЕЛЬ!AO12</f>
        <v>175321.55037937325</v>
      </c>
      <c r="D12" s="172">
        <f t="shared" si="0"/>
        <v>4.040300515048921E-2</v>
      </c>
      <c r="E12" s="172">
        <f t="shared" si="5"/>
        <v>0.752794290354586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АПРЕЛЬ!U12</f>
        <v>476</v>
      </c>
      <c r="K12" s="172">
        <f t="shared" si="2"/>
        <v>4.6402807564827453E-2</v>
      </c>
      <c r="L12" s="172">
        <f t="shared" si="6"/>
        <v>0.71514915188145833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АПРЕЛЬ!AO11</f>
        <v>154503.16905540341</v>
      </c>
      <c r="D13" s="172">
        <f t="shared" si="0"/>
        <v>3.5605390903768741E-2</v>
      </c>
      <c r="E13" s="172">
        <f t="shared" si="5"/>
        <v>0.78839968125835469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АПРЕЛЬ!U11</f>
        <v>382</v>
      </c>
      <c r="K13" s="172">
        <f t="shared" si="2"/>
        <v>3.7239227919672449E-2</v>
      </c>
      <c r="L13" s="172">
        <f t="shared" si="6"/>
        <v>0.75238837980113082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АПРЕЛЬ!AO6</f>
        <v>145425.82372185373</v>
      </c>
      <c r="D14" s="172">
        <f t="shared" si="0"/>
        <v>3.3513508705199466E-2</v>
      </c>
      <c r="E14" s="172">
        <f t="shared" si="5"/>
        <v>0.82191318996355411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АПРЕЛЬ!U6</f>
        <v>313</v>
      </c>
      <c r="K14" s="172">
        <f t="shared" si="2"/>
        <v>3.0512770520569311E-2</v>
      </c>
      <c r="L14" s="172">
        <f t="shared" si="6"/>
        <v>0.78290115032170016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АПРЕЛЬ!AO15</f>
        <v>109930.18073217981</v>
      </c>
      <c r="D15" s="172">
        <f t="shared" si="0"/>
        <v>2.5333506626570527E-2</v>
      </c>
      <c r="E15" s="172">
        <f t="shared" si="5"/>
        <v>0.84724669659012464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АПРЕЛЬ!U15</f>
        <v>244</v>
      </c>
      <c r="K15" s="172">
        <f t="shared" si="2"/>
        <v>2.3786313121466174E-2</v>
      </c>
      <c r="L15" s="172">
        <f t="shared" si="6"/>
        <v>0.80668746344316633</v>
      </c>
      <c r="M15" s="173" t="str">
        <f t="shared" si="4"/>
        <v>B</v>
      </c>
    </row>
    <row r="16" spans="2:17" ht="15" outlineLevel="1" thickBot="1">
      <c r="B16" s="182" t="s">
        <v>169</v>
      </c>
      <c r="C16" s="171">
        <f>АПРЕЛЬ!AO50</f>
        <v>88151.131043160945</v>
      </c>
      <c r="D16" s="172">
        <f t="shared" si="0"/>
        <v>2.0314505512023486E-2</v>
      </c>
      <c r="E16" s="172">
        <f t="shared" si="5"/>
        <v>0.86756120210214815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АПРЕЛЬ!U28</f>
        <v>213</v>
      </c>
      <c r="K16" s="172">
        <f t="shared" si="2"/>
        <v>2.0764281536361864E-2</v>
      </c>
      <c r="L16" s="172">
        <f t="shared" si="6"/>
        <v>0.82745174497952823</v>
      </c>
      <c r="M16" s="173" t="str">
        <f t="shared" si="4"/>
        <v>B</v>
      </c>
    </row>
    <row r="17" spans="2:13" ht="26.5" outlineLevel="1" thickBot="1">
      <c r="B17" s="182" t="s">
        <v>167</v>
      </c>
      <c r="C17" s="171">
        <f>АПРЕЛЬ!AO48</f>
        <v>82151.035919185626</v>
      </c>
      <c r="D17" s="172">
        <f t="shared" si="0"/>
        <v>1.8931778324904558E-2</v>
      </c>
      <c r="E17" s="172">
        <f t="shared" si="5"/>
        <v>0.88649298042705271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АПРЕЛЬ!U48</f>
        <v>207</v>
      </c>
      <c r="K17" s="172">
        <f t="shared" si="2"/>
        <v>2.0179372197309416E-2</v>
      </c>
      <c r="L17" s="172">
        <f t="shared" si="6"/>
        <v>0.84763111717683759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АПРЕЛЬ!AO14</f>
        <v>74371.195009266405</v>
      </c>
      <c r="D18" s="172">
        <f t="shared" si="0"/>
        <v>1.7138907159475747E-2</v>
      </c>
      <c r="E18" s="172">
        <f t="shared" si="5"/>
        <v>0.90363188758652846</v>
      </c>
      <c r="F18" s="173" t="str">
        <f t="shared" si="3"/>
        <v>B</v>
      </c>
      <c r="G18" s="173" t="str">
        <f t="shared" si="1"/>
        <v>B</v>
      </c>
      <c r="I18" s="182" t="s">
        <v>133</v>
      </c>
      <c r="J18" s="171">
        <f>АПРЕЛЬ!U14</f>
        <v>183</v>
      </c>
      <c r="K18" s="172">
        <f t="shared" si="2"/>
        <v>1.783973484109963E-2</v>
      </c>
      <c r="L18" s="172">
        <f t="shared" si="6"/>
        <v>0.86547085201793728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АПРЕЛЬ!AO28</f>
        <v>64977.062549146634</v>
      </c>
      <c r="D19" s="172">
        <f t="shared" si="0"/>
        <v>1.4974021089569925E-2</v>
      </c>
      <c r="E19" s="172">
        <f t="shared" si="5"/>
        <v>0.91860590867609837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АПРЕЛЬ!U50</f>
        <v>177</v>
      </c>
      <c r="K19" s="172">
        <f t="shared" si="2"/>
        <v>1.7254825502047183E-2</v>
      </c>
      <c r="L19" s="172">
        <f t="shared" si="6"/>
        <v>0.88272567751998443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АПРЕЛЬ!AO49</f>
        <v>62024.494521574139</v>
      </c>
      <c r="D20" s="172">
        <f t="shared" si="0"/>
        <v>1.4293599196385388E-2</v>
      </c>
      <c r="E20" s="172">
        <f t="shared" si="5"/>
        <v>0.93289950787248377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АПРЕЛЬ!U49</f>
        <v>160</v>
      </c>
      <c r="K20" s="172">
        <f t="shared" si="2"/>
        <v>1.5597582374731916E-2</v>
      </c>
      <c r="L20" s="172">
        <f t="shared" si="6"/>
        <v>0.8983232598947164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АПРЕЛЬ!AO8</f>
        <v>60560.952442916321</v>
      </c>
      <c r="D21" s="172">
        <f t="shared" si="0"/>
        <v>1.3956324639926033E-2</v>
      </c>
      <c r="E21" s="172">
        <f t="shared" si="5"/>
        <v>0.94685583251240979</v>
      </c>
      <c r="F21" s="173" t="str">
        <f t="shared" si="3"/>
        <v>B</v>
      </c>
      <c r="G21" s="173" t="str">
        <f t="shared" si="1"/>
        <v>B</v>
      </c>
      <c r="I21" s="182" t="s">
        <v>127</v>
      </c>
      <c r="J21" s="171">
        <f>АПРЕЛЬ!U8</f>
        <v>135</v>
      </c>
      <c r="K21" s="172">
        <f t="shared" si="2"/>
        <v>1.3160460128680055E-2</v>
      </c>
      <c r="L21" s="172">
        <f t="shared" si="6"/>
        <v>0.9114837200233965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АПРЕЛЬ!AO17</f>
        <v>58207.399002501443</v>
      </c>
      <c r="D22" s="172">
        <f t="shared" si="0"/>
        <v>1.3413946184058684E-2</v>
      </c>
      <c r="E22" s="172">
        <f t="shared" si="5"/>
        <v>0.96026977869646846</v>
      </c>
      <c r="F22" s="173" t="str">
        <f t="shared" si="3"/>
        <v>C</v>
      </c>
      <c r="G22" s="173" t="str">
        <f t="shared" si="1"/>
        <v>B</v>
      </c>
      <c r="I22" s="182" t="s">
        <v>137</v>
      </c>
      <c r="J22" s="171">
        <f>АПРЕЛЬ!U18</f>
        <v>134</v>
      </c>
      <c r="K22" s="172">
        <f t="shared" si="2"/>
        <v>1.306297523883798E-2</v>
      </c>
      <c r="L22" s="172">
        <f t="shared" si="6"/>
        <v>0.92454669526223443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АПРЕЛЬ!AO18</f>
        <v>50040.417332930141</v>
      </c>
      <c r="D23" s="172">
        <f t="shared" si="0"/>
        <v>1.1531858090805879E-2</v>
      </c>
      <c r="E23" s="172">
        <f t="shared" si="5"/>
        <v>0.97180163678727438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АПРЕЛЬ!U17</f>
        <v>131</v>
      </c>
      <c r="K23" s="172">
        <f t="shared" si="2"/>
        <v>1.2770520569311756E-2</v>
      </c>
      <c r="L23" s="172">
        <f t="shared" si="6"/>
        <v>0.93731721583154615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АПРЕЛЬ!AO44</f>
        <v>39046.117663777943</v>
      </c>
      <c r="D24" s="172">
        <f t="shared" si="0"/>
        <v>8.9982120832410341E-3</v>
      </c>
      <c r="E24" s="172">
        <f t="shared" si="5"/>
        <v>0.98079984887051541</v>
      </c>
      <c r="F24" s="173" t="str">
        <f t="shared" si="3"/>
        <v>C</v>
      </c>
      <c r="G24" s="173" t="str">
        <f t="shared" si="1"/>
        <v>B</v>
      </c>
      <c r="I24" s="182" t="s">
        <v>163</v>
      </c>
      <c r="J24" s="171">
        <f>АПРЕЛЬ!U44</f>
        <v>117</v>
      </c>
      <c r="K24" s="172">
        <f t="shared" si="2"/>
        <v>1.1405732111522715E-2</v>
      </c>
      <c r="L24" s="172">
        <f t="shared" si="6"/>
        <v>0.94872294794306888</v>
      </c>
      <c r="M24" s="173" t="str">
        <f t="shared" si="4"/>
        <v>B</v>
      </c>
    </row>
    <row r="25" spans="2:13" ht="15" outlineLevel="1" thickBot="1">
      <c r="B25" s="182" t="s">
        <v>164</v>
      </c>
      <c r="C25" s="171">
        <f>АПРЕЛЬ!AO45</f>
        <v>35787.050595455999</v>
      </c>
      <c r="D25" s="172">
        <f t="shared" si="0"/>
        <v>8.2471572171263358E-3</v>
      </c>
      <c r="E25" s="172">
        <f t="shared" si="5"/>
        <v>0.98904700608764173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АПРЕЛЬ!U45</f>
        <v>94</v>
      </c>
      <c r="K25" s="172">
        <f t="shared" si="2"/>
        <v>9.1635796451550004E-3</v>
      </c>
      <c r="L25" s="172">
        <f t="shared" si="6"/>
        <v>0.9578865275882239</v>
      </c>
      <c r="M25" s="173" t="str">
        <f t="shared" si="4"/>
        <v>C</v>
      </c>
    </row>
    <row r="26" spans="2:13" ht="15" outlineLevel="1" thickBot="1">
      <c r="B26" s="182" t="s">
        <v>338</v>
      </c>
      <c r="C26" s="171">
        <f>АПРЕЛЬ!AO104</f>
        <v>32598.173819070573</v>
      </c>
      <c r="D26" s="172">
        <f t="shared" si="0"/>
        <v>7.5122777653887597E-3</v>
      </c>
      <c r="E26" s="172">
        <f t="shared" si="5"/>
        <v>0.9965592838530305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АПРЕЛЬ!U26</f>
        <v>33</v>
      </c>
      <c r="K26" s="172">
        <f t="shared" si="2"/>
        <v>3.2170013647884578E-3</v>
      </c>
      <c r="L26" s="172">
        <f t="shared" si="6"/>
        <v>0.96110352895301232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АПРЕЛЬ!AO47</f>
        <v>10766.435519012415</v>
      </c>
      <c r="D27" s="172">
        <f t="shared" si="0"/>
        <v>2.4811345141871749E-3</v>
      </c>
      <c r="E27" s="172">
        <f>E26+D27</f>
        <v>0.99904041836721769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АПРЕЛЬ!U102</f>
        <v>33</v>
      </c>
      <c r="K27" s="172">
        <f t="shared" si="2"/>
        <v>3.2170013647884578E-3</v>
      </c>
      <c r="L27" s="172">
        <f>L26+K27</f>
        <v>0.96432053031780074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АПРЕЛЬ!AO22</f>
        <v>8499.3629827248096</v>
      </c>
      <c r="D28" s="172">
        <f t="shared" si="0"/>
        <v>1.958685658573261E-3</v>
      </c>
      <c r="E28" s="172">
        <f>E27+D28</f>
        <v>1.0009991040257908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АПРЕЛЬ!U22</f>
        <v>32</v>
      </c>
      <c r="K28" s="172">
        <f t="shared" si="2"/>
        <v>3.1195164749463831E-3</v>
      </c>
      <c r="L28" s="172">
        <f t="shared" si="6"/>
        <v>0.96744004679274709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АПРЕЛЬ!AO89</f>
        <v>7751.1643000611311</v>
      </c>
      <c r="D29" s="172">
        <f t="shared" si="0"/>
        <v>1.7862626155198704E-3</v>
      </c>
      <c r="E29" s="172">
        <f t="shared" si="5"/>
        <v>1.0027853666413107</v>
      </c>
      <c r="F29" s="173" t="str">
        <f t="shared" si="3"/>
        <v>C</v>
      </c>
      <c r="G29" s="173" t="str">
        <f t="shared" si="1"/>
        <v>C</v>
      </c>
      <c r="I29" s="182" t="s">
        <v>338</v>
      </c>
      <c r="J29" s="171">
        <f>АПРЕЛЬ!U104</f>
        <v>30</v>
      </c>
      <c r="K29" s="172">
        <f t="shared" si="2"/>
        <v>2.9245466952622342E-3</v>
      </c>
      <c r="L29" s="172">
        <f t="shared" si="6"/>
        <v>0.9703645934880093</v>
      </c>
      <c r="M29" s="173" t="str">
        <f t="shared" si="4"/>
        <v>C</v>
      </c>
    </row>
    <row r="30" spans="2:13" ht="15" outlineLevel="1" thickBot="1">
      <c r="B30" s="182" t="s">
        <v>145</v>
      </c>
      <c r="C30" s="171">
        <f>АПРЕЛЬ!AO26</f>
        <v>5601.103401460753</v>
      </c>
      <c r="D30" s="172">
        <f t="shared" si="0"/>
        <v>1.2907791945026401E-3</v>
      </c>
      <c r="E30" s="172">
        <f t="shared" si="5"/>
        <v>1.0040761458358134</v>
      </c>
      <c r="F30" s="173" t="str">
        <f t="shared" si="3"/>
        <v>C</v>
      </c>
      <c r="G30" s="173" t="str">
        <f t="shared" si="1"/>
        <v>C</v>
      </c>
      <c r="I30" s="182" t="s">
        <v>139</v>
      </c>
      <c r="J30" s="171">
        <f>АПРЕЛЬ!U20</f>
        <v>25</v>
      </c>
      <c r="K30" s="172">
        <f t="shared" si="2"/>
        <v>2.4371222460518619E-3</v>
      </c>
      <c r="L30" s="172">
        <f t="shared" si="6"/>
        <v>0.97280171573406116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АПРЕЛЬ!AO20</f>
        <v>5342.2679873258139</v>
      </c>
      <c r="D31" s="172">
        <f t="shared" si="0"/>
        <v>1.2311303461563087E-3</v>
      </c>
      <c r="E31" s="172">
        <f t="shared" si="5"/>
        <v>1.0053072761819697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АПРЕЛЬ!U47</f>
        <v>23</v>
      </c>
      <c r="K31" s="172">
        <f t="shared" si="2"/>
        <v>2.242152466367713E-3</v>
      </c>
      <c r="L31" s="172">
        <f t="shared" si="6"/>
        <v>0.97504386820042888</v>
      </c>
      <c r="M31" s="173" t="str">
        <f t="shared" si="4"/>
        <v>C</v>
      </c>
    </row>
    <row r="32" spans="2:13" ht="15" outlineLevel="1" thickBot="1">
      <c r="B32" s="182" t="s">
        <v>257</v>
      </c>
      <c r="C32" s="171">
        <f>АПРЕЛЬ!AO100</f>
        <v>3898.5128051793099</v>
      </c>
      <c r="D32" s="172">
        <f t="shared" si="0"/>
        <v>8.9841569736334704E-4</v>
      </c>
      <c r="E32" s="172">
        <f t="shared" si="5"/>
        <v>1.006205691879333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АПРЕЛЬ!U21</f>
        <v>22</v>
      </c>
      <c r="K32" s="172">
        <f t="shared" si="2"/>
        <v>2.1446675765256387E-3</v>
      </c>
      <c r="L32" s="172">
        <f t="shared" si="6"/>
        <v>0.97718853577695453</v>
      </c>
      <c r="M32" s="173" t="str">
        <f t="shared" si="4"/>
        <v>C</v>
      </c>
    </row>
    <row r="33" spans="2:13" ht="26.5" outlineLevel="1" thickBot="1">
      <c r="B33" s="182" t="s">
        <v>173</v>
      </c>
      <c r="C33" s="171">
        <f>АПРЕЛЬ!AO54</f>
        <v>2596.5336284131636</v>
      </c>
      <c r="D33" s="172">
        <f t="shared" si="0"/>
        <v>5.9837345343563639E-4</v>
      </c>
      <c r="E33" s="172">
        <f t="shared" si="5"/>
        <v>1.0068040653327686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АПРЕЛЬ!U79</f>
        <v>15</v>
      </c>
      <c r="K33" s="172">
        <f t="shared" si="2"/>
        <v>1.4622733476311171E-3</v>
      </c>
      <c r="L33" s="172">
        <f t="shared" si="6"/>
        <v>0.97865080912458569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АПРЕЛЬ!AO33</f>
        <v>2256.3424507376671</v>
      </c>
      <c r="D34" s="172">
        <f t="shared" si="0"/>
        <v>5.1997609798200154E-4</v>
      </c>
      <c r="E34" s="172">
        <f t="shared" si="5"/>
        <v>1.0073240414307505</v>
      </c>
      <c r="F34" s="173" t="str">
        <f t="shared" si="3"/>
        <v>C</v>
      </c>
      <c r="G34" s="173" t="str">
        <f t="shared" si="1"/>
        <v>C</v>
      </c>
      <c r="I34" s="182" t="s">
        <v>208</v>
      </c>
      <c r="J34" s="171">
        <f>АПРЕЛЬ!U89</f>
        <v>15</v>
      </c>
      <c r="K34" s="172">
        <f t="shared" si="2"/>
        <v>1.4622733476311171E-3</v>
      </c>
      <c r="L34" s="172">
        <f t="shared" si="6"/>
        <v>0.98011308247221685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АПРЕЛЬ!AO87</f>
        <v>1995.9190132989347</v>
      </c>
      <c r="D35" s="172">
        <f t="shared" si="0"/>
        <v>4.5996128827163112E-4</v>
      </c>
      <c r="E35" s="172">
        <f t="shared" si="5"/>
        <v>1.0077840027190221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АПРЕЛЬ!U75</f>
        <v>14</v>
      </c>
      <c r="K35" s="172">
        <f t="shared" si="2"/>
        <v>1.3647884577890426E-3</v>
      </c>
      <c r="L35" s="172">
        <f t="shared" si="6"/>
        <v>0.98147787093000594</v>
      </c>
      <c r="M35" s="173" t="str">
        <f t="shared" si="4"/>
        <v>C</v>
      </c>
    </row>
    <row r="36" spans="2:13" ht="15" outlineLevel="1" thickBot="1">
      <c r="B36" s="182" t="s">
        <v>259</v>
      </c>
      <c r="C36" s="171">
        <f>АПРЕЛЬ!AO102</f>
        <v>1714.2004089027735</v>
      </c>
      <c r="D36" s="172">
        <f t="shared" si="0"/>
        <v>3.9503898864687336E-4</v>
      </c>
      <c r="E36" s="172">
        <f t="shared" si="5"/>
        <v>1.008179041707669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АПРЕЛЬ!U33</f>
        <v>13</v>
      </c>
      <c r="K36" s="172">
        <f t="shared" si="2"/>
        <v>1.2673035679469683E-3</v>
      </c>
      <c r="L36" s="172">
        <f t="shared" si="6"/>
        <v>0.98274517449795296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АПРЕЛЬ!AO69</f>
        <v>1340.3831665305097</v>
      </c>
      <c r="D37" s="172">
        <f t="shared" si="0"/>
        <v>3.0889247707298773E-4</v>
      </c>
      <c r="E37" s="172">
        <f t="shared" si="5"/>
        <v>1.0084879341847419</v>
      </c>
      <c r="F37" s="173" t="str">
        <f t="shared" si="3"/>
        <v>C</v>
      </c>
      <c r="G37" s="173" t="str">
        <f t="shared" si="1"/>
        <v>C</v>
      </c>
      <c r="I37" s="182" t="s">
        <v>173</v>
      </c>
      <c r="J37" s="171">
        <f>АПРЕЛЬ!U54</f>
        <v>11</v>
      </c>
      <c r="K37" s="172">
        <f t="shared" si="2"/>
        <v>1.0723337882628194E-3</v>
      </c>
      <c r="L37" s="172">
        <f t="shared" si="6"/>
        <v>0.98381750828621573</v>
      </c>
      <c r="M37" s="173" t="str">
        <f t="shared" si="4"/>
        <v>C</v>
      </c>
    </row>
    <row r="38" spans="2:13" ht="26.5" outlineLevel="1" thickBot="1">
      <c r="B38" s="182" t="s">
        <v>194</v>
      </c>
      <c r="C38" s="171">
        <f>АПРЕЛЬ!AO75</f>
        <v>1324.4372683243055</v>
      </c>
      <c r="D38" s="172">
        <f t="shared" si="0"/>
        <v>3.0521773083694119E-4</v>
      </c>
      <c r="E38" s="172">
        <f t="shared" si="5"/>
        <v>1.0087931519155788</v>
      </c>
      <c r="F38" s="173" t="str">
        <f t="shared" si="3"/>
        <v>C</v>
      </c>
      <c r="G38" s="173" t="str">
        <f t="shared" si="1"/>
        <v>C</v>
      </c>
      <c r="I38" s="182" t="s">
        <v>196</v>
      </c>
      <c r="J38" s="171">
        <f>АПРЕЛЬ!U77</f>
        <v>11</v>
      </c>
      <c r="K38" s="172">
        <f t="shared" si="2"/>
        <v>1.0723337882628194E-3</v>
      </c>
      <c r="L38" s="172">
        <f t="shared" si="6"/>
        <v>0.98488984207447849</v>
      </c>
      <c r="M38" s="173" t="str">
        <f t="shared" si="4"/>
        <v>C</v>
      </c>
    </row>
    <row r="39" spans="2:13" ht="26.5" outlineLevel="1" thickBot="1">
      <c r="B39" s="182" t="s">
        <v>159</v>
      </c>
      <c r="C39" s="171">
        <f>АПРЕЛЬ!AO40</f>
        <v>1229.2891607136703</v>
      </c>
      <c r="D39" s="172">
        <f t="shared" si="0"/>
        <v>2.8329076593426215E-4</v>
      </c>
      <c r="E39" s="172">
        <f>E35+D39</f>
        <v>1.0080672934849564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АПРЕЛЬ!U87</f>
        <v>11</v>
      </c>
      <c r="K39" s="172">
        <f t="shared" si="2"/>
        <v>1.0723337882628194E-3</v>
      </c>
      <c r="L39" s="172">
        <f>L35+K39</f>
        <v>0.9825502047182687</v>
      </c>
      <c r="M39" s="173" t="str">
        <f t="shared" si="4"/>
        <v>C</v>
      </c>
    </row>
    <row r="40" spans="2:13" ht="26.5" outlineLevel="1" thickBot="1">
      <c r="B40" s="182" t="s">
        <v>212</v>
      </c>
      <c r="C40" s="171">
        <f>АПРЕЛЬ!AO93</f>
        <v>1135.4263460484617</v>
      </c>
      <c r="D40" s="172">
        <f t="shared" si="0"/>
        <v>2.6165999791885445E-4</v>
      </c>
      <c r="E40" s="172">
        <f t="shared" si="5"/>
        <v>1.0083289534828752</v>
      </c>
      <c r="F40" s="173" t="str">
        <f t="shared" si="3"/>
        <v>C</v>
      </c>
      <c r="G40" s="173" t="str">
        <f t="shared" si="1"/>
        <v>C</v>
      </c>
      <c r="I40" s="182" t="s">
        <v>171</v>
      </c>
      <c r="J40" s="171">
        <f>АПРЕЛЬ!U52</f>
        <v>10</v>
      </c>
      <c r="K40" s="172">
        <f t="shared" si="2"/>
        <v>9.7484889842074476E-4</v>
      </c>
      <c r="L40" s="172">
        <f t="shared" si="6"/>
        <v>0.9835250536166894</v>
      </c>
      <c r="M40" s="173" t="str">
        <f t="shared" si="4"/>
        <v>C</v>
      </c>
    </row>
    <row r="41" spans="2:13" ht="26.5" outlineLevel="1" thickBot="1">
      <c r="B41" s="182" t="s">
        <v>162</v>
      </c>
      <c r="C41" s="171">
        <f>АПРЕЛЬ!AO43</f>
        <v>1052.1745284238013</v>
      </c>
      <c r="D41" s="172">
        <f t="shared" si="0"/>
        <v>2.4247454348385607E-4</v>
      </c>
      <c r="E41" s="172">
        <f t="shared" si="5"/>
        <v>1.0085714280263591</v>
      </c>
      <c r="F41" s="173" t="str">
        <f t="shared" si="3"/>
        <v>C</v>
      </c>
      <c r="G41" s="173" t="str">
        <f t="shared" si="1"/>
        <v>C</v>
      </c>
      <c r="I41" s="182" t="s">
        <v>199</v>
      </c>
      <c r="J41" s="171">
        <f>АПРЕЛЬ!U80</f>
        <v>10</v>
      </c>
      <c r="K41" s="172">
        <f t="shared" si="2"/>
        <v>9.7484889842074476E-4</v>
      </c>
      <c r="L41" s="172">
        <f t="shared" si="6"/>
        <v>0.9844999025151101</v>
      </c>
      <c r="M41" s="173" t="str">
        <f t="shared" si="4"/>
        <v>C</v>
      </c>
    </row>
    <row r="42" spans="2:13" ht="15" outlineLevel="1" thickBot="1">
      <c r="B42" s="182" t="s">
        <v>189</v>
      </c>
      <c r="C42" s="171">
        <f>АПРЕЛЬ!AO70</f>
        <v>880.52909999999997</v>
      </c>
      <c r="D42" s="172">
        <f t="shared" si="0"/>
        <v>2.0291870386426368E-4</v>
      </c>
      <c r="E42" s="172">
        <f t="shared" si="5"/>
        <v>1.0087743467302235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АПРЕЛЬ!U100</f>
        <v>9</v>
      </c>
      <c r="K42" s="172">
        <f t="shared" si="2"/>
        <v>8.7736400857867027E-4</v>
      </c>
      <c r="L42" s="172">
        <f t="shared" si="6"/>
        <v>0.98537726652368873</v>
      </c>
      <c r="M42" s="173" t="str">
        <f t="shared" si="4"/>
        <v>C</v>
      </c>
    </row>
    <row r="43" spans="2:13" ht="15" outlineLevel="1" thickBot="1">
      <c r="B43" s="182" t="s">
        <v>140</v>
      </c>
      <c r="C43" s="171">
        <f>АПРЕЛЬ!AO21</f>
        <v>814.75289071814996</v>
      </c>
      <c r="D43" s="172">
        <f t="shared" si="0"/>
        <v>1.8776051870879573E-4</v>
      </c>
      <c r="E43" s="172">
        <f t="shared" si="5"/>
        <v>1.0089621072489323</v>
      </c>
      <c r="F43" s="173" t="str">
        <f t="shared" si="3"/>
        <v>C</v>
      </c>
      <c r="G43" s="173" t="str">
        <f t="shared" si="1"/>
        <v>C</v>
      </c>
      <c r="I43" s="182" t="s">
        <v>146</v>
      </c>
      <c r="J43" s="171">
        <f>АПРЕЛЬ!U27</f>
        <v>8</v>
      </c>
      <c r="K43" s="172">
        <f t="shared" si="2"/>
        <v>7.7987911873659578E-4</v>
      </c>
      <c r="L43" s="172">
        <f t="shared" si="6"/>
        <v>0.98615714564242529</v>
      </c>
      <c r="M43" s="173" t="str">
        <f t="shared" si="4"/>
        <v>C</v>
      </c>
    </row>
    <row r="44" spans="2:13" ht="26.5" outlineLevel="1" thickBot="1">
      <c r="B44" s="182" t="s">
        <v>192</v>
      </c>
      <c r="C44" s="171">
        <f>АПРЕЛЬ!AO73</f>
        <v>760.77715807054233</v>
      </c>
      <c r="D44" s="172">
        <f t="shared" si="0"/>
        <v>1.7532176375001406E-4</v>
      </c>
      <c r="E44" s="172">
        <f t="shared" si="5"/>
        <v>1.0091374290126824</v>
      </c>
      <c r="F44" s="173" t="str">
        <f t="shared" si="3"/>
        <v>C</v>
      </c>
      <c r="G44" s="173" t="str">
        <f t="shared" si="1"/>
        <v>C</v>
      </c>
      <c r="I44" s="182" t="s">
        <v>205</v>
      </c>
      <c r="J44" s="171">
        <f>АПРЕЛЬ!U86</f>
        <v>8</v>
      </c>
      <c r="K44" s="172">
        <f t="shared" si="2"/>
        <v>7.7987911873659578E-4</v>
      </c>
      <c r="L44" s="172">
        <f t="shared" si="6"/>
        <v>0.98693702476116185</v>
      </c>
      <c r="M44" s="173" t="str">
        <f t="shared" si="4"/>
        <v>C</v>
      </c>
    </row>
    <row r="45" spans="2:13" ht="15" outlineLevel="1" thickBot="1">
      <c r="B45" s="182" t="s">
        <v>161</v>
      </c>
      <c r="C45" s="171">
        <f>АПРЕЛЬ!AO42</f>
        <v>752.13926916635535</v>
      </c>
      <c r="D45" s="172">
        <f t="shared" si="0"/>
        <v>1.7333115467126683E-4</v>
      </c>
      <c r="E45" s="172">
        <f t="shared" si="5"/>
        <v>1.0093107601673537</v>
      </c>
      <c r="F45" s="173" t="str">
        <f t="shared" si="3"/>
        <v>C</v>
      </c>
      <c r="G45" s="173" t="str">
        <f t="shared" si="1"/>
        <v>C</v>
      </c>
      <c r="I45" s="182" t="s">
        <v>203</v>
      </c>
      <c r="J45" s="171">
        <f>АПРЕЛЬ!U84</f>
        <v>7</v>
      </c>
      <c r="K45" s="172">
        <f t="shared" si="2"/>
        <v>6.823942288945213E-4</v>
      </c>
      <c r="L45" s="172">
        <f t="shared" si="6"/>
        <v>0.98761941899005634</v>
      </c>
      <c r="M45" s="173" t="str">
        <f t="shared" si="4"/>
        <v>C</v>
      </c>
    </row>
    <row r="46" spans="2:13" ht="26.5" outlineLevel="1" thickBot="1">
      <c r="B46" s="182" t="s">
        <v>209</v>
      </c>
      <c r="C46" s="171">
        <f>АПРЕЛЬ!AO90</f>
        <v>692.89410268039683</v>
      </c>
      <c r="D46" s="172">
        <f t="shared" si="0"/>
        <v>1.5967805405988077E-4</v>
      </c>
      <c r="E46" s="172">
        <f t="shared" si="5"/>
        <v>1.0094704382214135</v>
      </c>
      <c r="F46" s="173" t="str">
        <f t="shared" si="3"/>
        <v>C</v>
      </c>
      <c r="G46" s="173" t="str">
        <f t="shared" si="1"/>
        <v>C</v>
      </c>
      <c r="I46" s="182" t="s">
        <v>188</v>
      </c>
      <c r="J46" s="171">
        <f>АПРЕЛЬ!U69</f>
        <v>6</v>
      </c>
      <c r="K46" s="172">
        <f t="shared" si="2"/>
        <v>5.8490933905244692E-4</v>
      </c>
      <c r="L46" s="172">
        <f t="shared" si="6"/>
        <v>0.98820432832910876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АПРЕЛЬ!AO98</f>
        <v>684.00247187419313</v>
      </c>
      <c r="D47" s="172">
        <f t="shared" si="0"/>
        <v>1.5762896993712502E-4</v>
      </c>
      <c r="E47" s="172">
        <f t="shared" si="5"/>
        <v>1.0096280671913507</v>
      </c>
      <c r="F47" s="173" t="str">
        <f t="shared" si="3"/>
        <v>C</v>
      </c>
      <c r="G47" s="173" t="str">
        <f t="shared" si="1"/>
        <v>C</v>
      </c>
      <c r="I47" s="182" t="s">
        <v>197</v>
      </c>
      <c r="J47" s="171">
        <f>АПРЕЛЬ!U78</f>
        <v>6</v>
      </c>
      <c r="K47" s="172">
        <f t="shared" si="2"/>
        <v>5.8490933905244692E-4</v>
      </c>
      <c r="L47" s="172">
        <f t="shared" si="6"/>
        <v>0.98878923766816118</v>
      </c>
      <c r="M47" s="173" t="str">
        <f t="shared" si="4"/>
        <v>C</v>
      </c>
    </row>
    <row r="48" spans="2:13" ht="15" outlineLevel="1" thickBot="1">
      <c r="B48" s="182" t="s">
        <v>143</v>
      </c>
      <c r="C48" s="171">
        <f>АПРЕЛЬ!AO24</f>
        <v>562.6542684262896</v>
      </c>
      <c r="D48" s="172">
        <f t="shared" si="0"/>
        <v>1.2966416995503974E-4</v>
      </c>
      <c r="E48" s="172">
        <f t="shared" si="5"/>
        <v>1.0097577313613058</v>
      </c>
      <c r="F48" s="173" t="str">
        <f t="shared" si="3"/>
        <v>C</v>
      </c>
      <c r="G48" s="173" t="str">
        <f t="shared" si="1"/>
        <v>C</v>
      </c>
      <c r="I48" s="182" t="s">
        <v>217</v>
      </c>
      <c r="J48" s="171">
        <f>АПРЕЛЬ!U98</f>
        <v>6</v>
      </c>
      <c r="K48" s="172">
        <f t="shared" si="2"/>
        <v>5.8490933905244692E-4</v>
      </c>
      <c r="L48" s="172">
        <f t="shared" si="6"/>
        <v>0.9893741470072136</v>
      </c>
      <c r="M48" s="173" t="str">
        <f t="shared" si="4"/>
        <v>C</v>
      </c>
    </row>
    <row r="49" spans="2:13" ht="15" outlineLevel="1" thickBot="1">
      <c r="B49" s="182" t="s">
        <v>160</v>
      </c>
      <c r="C49" s="171">
        <f>АПРЕЛЬ!AO41</f>
        <v>495.69542686370818</v>
      </c>
      <c r="D49" s="172">
        <f t="shared" si="0"/>
        <v>1.1423344615257642E-4</v>
      </c>
      <c r="E49" s="172">
        <f t="shared" si="5"/>
        <v>1.0098719648074583</v>
      </c>
      <c r="F49" s="173" t="str">
        <f t="shared" si="3"/>
        <v>C</v>
      </c>
      <c r="G49" s="173" t="str">
        <f t="shared" si="1"/>
        <v>C</v>
      </c>
      <c r="I49" s="182" t="s">
        <v>161</v>
      </c>
      <c r="J49" s="171">
        <f>АПРЕЛЬ!U42</f>
        <v>5</v>
      </c>
      <c r="K49" s="172">
        <f t="shared" si="2"/>
        <v>4.8742444921037238E-4</v>
      </c>
      <c r="L49" s="172">
        <f t="shared" si="6"/>
        <v>0.98986157145642395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АПРЕЛЬ!AO81</f>
        <v>379.20416047896686</v>
      </c>
      <c r="D50" s="172">
        <f t="shared" si="0"/>
        <v>8.7387931579238211E-5</v>
      </c>
      <c r="E50" s="172">
        <f t="shared" si="5"/>
        <v>1.0099593527390376</v>
      </c>
      <c r="F50" s="173" t="str">
        <f t="shared" si="3"/>
        <v>C</v>
      </c>
      <c r="G50" s="173" t="str">
        <f t="shared" si="1"/>
        <v>C</v>
      </c>
      <c r="I50" s="182" t="s">
        <v>162</v>
      </c>
      <c r="J50" s="171">
        <f>АПРЕЛЬ!U43</f>
        <v>5</v>
      </c>
      <c r="K50" s="172">
        <f t="shared" si="2"/>
        <v>4.8742444921037238E-4</v>
      </c>
      <c r="L50" s="172">
        <f t="shared" si="6"/>
        <v>0.9903489959056343</v>
      </c>
      <c r="M50" s="173" t="str">
        <f t="shared" si="4"/>
        <v>C</v>
      </c>
    </row>
    <row r="51" spans="2:13" ht="26.5" outlineLevel="1" thickBot="1">
      <c r="B51" s="182" t="s">
        <v>153</v>
      </c>
      <c r="C51" s="171">
        <f>АПРЕЛЬ!AO34</f>
        <v>314.68040000000008</v>
      </c>
      <c r="D51" s="172">
        <f t="shared" si="0"/>
        <v>7.251837434956785E-5</v>
      </c>
      <c r="E51" s="172">
        <f t="shared" si="5"/>
        <v>1.0100318711133871</v>
      </c>
      <c r="F51" s="173" t="str">
        <f t="shared" si="3"/>
        <v>C</v>
      </c>
      <c r="G51" s="173" t="str">
        <f t="shared" si="1"/>
        <v>C</v>
      </c>
      <c r="I51" s="182" t="s">
        <v>172</v>
      </c>
      <c r="J51" s="171">
        <f>АПРЕЛЬ!U53</f>
        <v>5</v>
      </c>
      <c r="K51" s="172">
        <f t="shared" si="2"/>
        <v>4.8742444921037238E-4</v>
      </c>
      <c r="L51" s="172">
        <f t="shared" si="6"/>
        <v>0.99083642035484465</v>
      </c>
      <c r="M51" s="173" t="str">
        <f t="shared" si="4"/>
        <v>C</v>
      </c>
    </row>
    <row r="52" spans="2:13" ht="15" outlineLevel="1" thickBot="1">
      <c r="B52" s="182" t="s">
        <v>150</v>
      </c>
      <c r="C52" s="171">
        <f>АПРЕЛЬ!AO31</f>
        <v>313.14</v>
      </c>
      <c r="D52" s="172">
        <f t="shared" si="0"/>
        <v>7.216338781768318E-5</v>
      </c>
      <c r="E52" s="172">
        <f t="shared" si="5"/>
        <v>1.0101040345012049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АПРЕЛЬ!U76</f>
        <v>5</v>
      </c>
      <c r="K52" s="172">
        <f t="shared" si="2"/>
        <v>4.8742444921037238E-4</v>
      </c>
      <c r="L52" s="172">
        <f t="shared" si="6"/>
        <v>0.991323844804055</v>
      </c>
      <c r="M52" s="173" t="str">
        <f t="shared" si="4"/>
        <v>C</v>
      </c>
    </row>
    <row r="53" spans="2:13" ht="15" outlineLevel="1" thickBot="1">
      <c r="B53" s="182" t="s">
        <v>191</v>
      </c>
      <c r="C53" s="171">
        <f>АПРЕЛЬ!AO72</f>
        <v>303.57169999999996</v>
      </c>
      <c r="D53" s="172">
        <f t="shared" si="0"/>
        <v>6.9958364685359165E-5</v>
      </c>
      <c r="E53" s="172">
        <f t="shared" si="5"/>
        <v>1.0101739928658902</v>
      </c>
      <c r="F53" s="173" t="str">
        <f t="shared" si="3"/>
        <v>C</v>
      </c>
      <c r="G53" s="173" t="str">
        <f t="shared" si="1"/>
        <v>C</v>
      </c>
      <c r="I53" s="182" t="s">
        <v>159</v>
      </c>
      <c r="J53" s="171">
        <f>АПРЕЛЬ!U40</f>
        <v>4</v>
      </c>
      <c r="K53" s="172">
        <f t="shared" si="2"/>
        <v>3.8993955936829789E-4</v>
      </c>
      <c r="L53" s="172">
        <f t="shared" si="6"/>
        <v>0.99171378436342328</v>
      </c>
      <c r="M53" s="173" t="str">
        <f t="shared" si="4"/>
        <v>C</v>
      </c>
    </row>
    <row r="54" spans="2:13" ht="15" outlineLevel="1" thickBot="1">
      <c r="B54" s="182" t="s">
        <v>179</v>
      </c>
      <c r="C54" s="171">
        <f>АПРЕЛЬ!AO60</f>
        <v>291.87675126614033</v>
      </c>
      <c r="D54" s="172">
        <f t="shared" si="0"/>
        <v>6.7263253485929414E-5</v>
      </c>
      <c r="E54" s="172">
        <f t="shared" si="5"/>
        <v>1.0102412561193761</v>
      </c>
      <c r="F54" s="173" t="str">
        <f t="shared" si="3"/>
        <v>C</v>
      </c>
      <c r="G54" s="173" t="str">
        <f t="shared" si="1"/>
        <v>C</v>
      </c>
      <c r="I54" s="182" t="s">
        <v>177</v>
      </c>
      <c r="J54" s="171">
        <f>АПРЕЛЬ!U58</f>
        <v>4</v>
      </c>
      <c r="K54" s="172">
        <f t="shared" si="2"/>
        <v>3.8993955936829789E-4</v>
      </c>
      <c r="L54" s="172">
        <f t="shared" si="6"/>
        <v>0.99210372392279156</v>
      </c>
      <c r="M54" s="173" t="str">
        <f t="shared" si="4"/>
        <v>C</v>
      </c>
    </row>
    <row r="55" spans="2:13" ht="15" outlineLevel="1" thickBot="1">
      <c r="B55" s="182" t="s">
        <v>202</v>
      </c>
      <c r="C55" s="171">
        <f>АПРЕЛЬ!AO83</f>
        <v>137.58136127480486</v>
      </c>
      <c r="D55" s="172">
        <f t="shared" si="0"/>
        <v>3.1705745449826022E-5</v>
      </c>
      <c r="E55" s="172">
        <f t="shared" si="5"/>
        <v>1.0102729618648258</v>
      </c>
      <c r="F55" s="173" t="str">
        <f t="shared" si="3"/>
        <v>C</v>
      </c>
      <c r="G55" s="173" t="str">
        <f t="shared" si="1"/>
        <v>C</v>
      </c>
      <c r="I55" s="182" t="s">
        <v>180</v>
      </c>
      <c r="J55" s="171">
        <f>АПРЕЛЬ!U61</f>
        <v>4</v>
      </c>
      <c r="K55" s="172">
        <f t="shared" si="2"/>
        <v>3.8993955936829789E-4</v>
      </c>
      <c r="L55" s="172">
        <f t="shared" si="6"/>
        <v>0.99249366348215984</v>
      </c>
      <c r="M55" s="173" t="str">
        <f t="shared" si="4"/>
        <v>C</v>
      </c>
    </row>
    <row r="56" spans="2:13" ht="26.5" outlineLevel="1" thickBot="1">
      <c r="B56" s="182" t="s">
        <v>207</v>
      </c>
      <c r="C56" s="171">
        <f>АПРЕЛЬ!AO88</f>
        <v>96.973710697199436</v>
      </c>
      <c r="D56" s="172">
        <f t="shared" si="0"/>
        <v>2.2347676736162146E-5</v>
      </c>
      <c r="E56" s="172">
        <f t="shared" si="5"/>
        <v>1.0102953095415621</v>
      </c>
      <c r="F56" s="173" t="str">
        <f t="shared" si="3"/>
        <v>C</v>
      </c>
      <c r="G56" s="173" t="str">
        <f t="shared" si="1"/>
        <v>C</v>
      </c>
      <c r="I56" s="182" t="s">
        <v>192</v>
      </c>
      <c r="J56" s="171">
        <f>АПРЕЛЬ!U73</f>
        <v>4</v>
      </c>
      <c r="K56" s="172">
        <f t="shared" si="2"/>
        <v>3.8993955936829789E-4</v>
      </c>
      <c r="L56" s="172">
        <f t="shared" si="6"/>
        <v>0.99288360304152812</v>
      </c>
      <c r="M56" s="173" t="str">
        <f t="shared" si="4"/>
        <v>C</v>
      </c>
    </row>
    <row r="57" spans="2:13" ht="26.5" outlineLevel="1" thickBot="1">
      <c r="B57" s="182" t="s">
        <v>158</v>
      </c>
      <c r="C57" s="171">
        <f>АПРЕЛЬ!AO39</f>
        <v>75.812474063130608</v>
      </c>
      <c r="D57" s="172">
        <f t="shared" si="0"/>
        <v>1.7471051182332955E-5</v>
      </c>
      <c r="E57" s="172">
        <f t="shared" si="5"/>
        <v>1.0103127805927445</v>
      </c>
      <c r="F57" s="173" t="str">
        <f t="shared" si="3"/>
        <v>C</v>
      </c>
      <c r="G57" s="173" t="str">
        <f t="shared" si="1"/>
        <v>C</v>
      </c>
      <c r="I57" s="182" t="s">
        <v>201</v>
      </c>
      <c r="J57" s="171">
        <f>АПРЕЛЬ!U82</f>
        <v>4</v>
      </c>
      <c r="K57" s="172">
        <f t="shared" si="2"/>
        <v>3.8993955936829789E-4</v>
      </c>
      <c r="L57" s="172">
        <f t="shared" si="6"/>
        <v>0.9932735426008964</v>
      </c>
      <c r="M57" s="173" t="str">
        <f t="shared" si="4"/>
        <v>C</v>
      </c>
    </row>
    <row r="58" spans="2:13" ht="26.5" outlineLevel="1" thickBot="1">
      <c r="B58" s="182" t="s">
        <v>138</v>
      </c>
      <c r="C58" s="171">
        <f>АПРЕЛЬ!AO19</f>
        <v>0</v>
      </c>
      <c r="D58" s="172">
        <f t="shared" si="0"/>
        <v>0</v>
      </c>
      <c r="E58" s="172">
        <f t="shared" si="5"/>
        <v>1.0103127805927445</v>
      </c>
      <c r="F58" s="173" t="str">
        <f t="shared" si="3"/>
        <v>C</v>
      </c>
      <c r="G58" s="173" t="str">
        <f t="shared" si="1"/>
        <v>C</v>
      </c>
      <c r="I58" s="182" t="s">
        <v>211</v>
      </c>
      <c r="J58" s="171">
        <f>АПРЕЛЬ!U92</f>
        <v>4</v>
      </c>
      <c r="K58" s="172">
        <f t="shared" si="2"/>
        <v>3.8993955936829789E-4</v>
      </c>
      <c r="L58" s="172">
        <f t="shared" si="6"/>
        <v>0.99366348216026468</v>
      </c>
      <c r="M58" s="173" t="str">
        <f t="shared" si="4"/>
        <v>C</v>
      </c>
    </row>
    <row r="59" spans="2:13" ht="15" outlineLevel="1" thickBot="1">
      <c r="B59" s="182" t="s">
        <v>142</v>
      </c>
      <c r="C59" s="171">
        <f>АПРЕЛЬ!AO23</f>
        <v>0</v>
      </c>
      <c r="D59" s="172">
        <f t="shared" si="0"/>
        <v>0</v>
      </c>
      <c r="E59" s="172">
        <f t="shared" si="5"/>
        <v>1.0103127805927445</v>
      </c>
      <c r="F59" s="173" t="str">
        <f t="shared" si="3"/>
        <v>C</v>
      </c>
      <c r="G59" s="173" t="str">
        <f t="shared" si="1"/>
        <v>C</v>
      </c>
      <c r="I59" s="182" t="s">
        <v>158</v>
      </c>
      <c r="J59" s="171">
        <f>АПРЕЛЬ!U39</f>
        <v>3</v>
      </c>
      <c r="K59" s="172">
        <f t="shared" si="2"/>
        <v>2.9245466952622346E-4</v>
      </c>
      <c r="L59" s="172">
        <f t="shared" si="6"/>
        <v>0.99395593682979089</v>
      </c>
      <c r="M59" s="173" t="str">
        <f t="shared" si="4"/>
        <v>C</v>
      </c>
    </row>
    <row r="60" spans="2:13" ht="26.5" outlineLevel="1" thickBot="1">
      <c r="B60" s="182" t="s">
        <v>144</v>
      </c>
      <c r="C60" s="171">
        <f>АПРЕЛЬ!AO25</f>
        <v>0</v>
      </c>
      <c r="D60" s="172">
        <f t="shared" si="0"/>
        <v>0</v>
      </c>
      <c r="E60" s="172">
        <f t="shared" si="5"/>
        <v>1.0103127805927445</v>
      </c>
      <c r="F60" s="173" t="str">
        <f t="shared" si="3"/>
        <v>C</v>
      </c>
      <c r="G60" s="173" t="str">
        <f t="shared" si="1"/>
        <v>C</v>
      </c>
      <c r="I60" s="182" t="s">
        <v>212</v>
      </c>
      <c r="J60" s="171">
        <f>АПРЕЛЬ!U93</f>
        <v>3</v>
      </c>
      <c r="K60" s="172">
        <f t="shared" si="2"/>
        <v>2.9245466952622346E-4</v>
      </c>
      <c r="L60" s="172">
        <f t="shared" si="6"/>
        <v>0.9942483914993171</v>
      </c>
      <c r="M60" s="173" t="str">
        <f t="shared" si="4"/>
        <v>C</v>
      </c>
    </row>
    <row r="61" spans="2:13" ht="15" outlineLevel="1" thickBot="1">
      <c r="B61" s="182" t="s">
        <v>148</v>
      </c>
      <c r="C61" s="171">
        <f>АПРЕЛЬ!AO29</f>
        <v>0</v>
      </c>
      <c r="D61" s="172">
        <f t="shared" si="0"/>
        <v>0</v>
      </c>
      <c r="E61" s="172">
        <f t="shared" si="5"/>
        <v>1.0103127805927445</v>
      </c>
      <c r="F61" s="173" t="str">
        <f t="shared" si="3"/>
        <v>C</v>
      </c>
      <c r="G61" s="173" t="str">
        <f t="shared" si="1"/>
        <v>C</v>
      </c>
      <c r="I61" s="182" t="s">
        <v>143</v>
      </c>
      <c r="J61" s="171">
        <f>АПРЕЛЬ!U24</f>
        <v>2</v>
      </c>
      <c r="K61" s="172">
        <f t="shared" si="2"/>
        <v>1.9496977968414895E-4</v>
      </c>
      <c r="L61" s="172">
        <f t="shared" si="6"/>
        <v>0.99444336127900124</v>
      </c>
      <c r="M61" s="173" t="str">
        <f t="shared" si="4"/>
        <v>C</v>
      </c>
    </row>
    <row r="62" spans="2:13" ht="15" outlineLevel="1" thickBot="1">
      <c r="B62" s="182" t="s">
        <v>149</v>
      </c>
      <c r="C62" s="171">
        <f>АПРЕЛЬ!AO30</f>
        <v>0</v>
      </c>
      <c r="D62" s="172">
        <f t="shared" si="0"/>
        <v>0</v>
      </c>
      <c r="E62" s="172">
        <f t="shared" si="5"/>
        <v>1.0103127805927445</v>
      </c>
      <c r="F62" s="173" t="str">
        <f t="shared" si="3"/>
        <v>C</v>
      </c>
      <c r="G62" s="173" t="str">
        <f t="shared" si="1"/>
        <v>C</v>
      </c>
      <c r="I62" s="182" t="s">
        <v>153</v>
      </c>
      <c r="J62" s="171">
        <f>АПРЕЛЬ!U34</f>
        <v>2</v>
      </c>
      <c r="K62" s="172">
        <f t="shared" si="2"/>
        <v>1.9496977968414895E-4</v>
      </c>
      <c r="L62" s="172">
        <f t="shared" si="6"/>
        <v>0.99463833105868538</v>
      </c>
      <c r="M62" s="173" t="str">
        <f t="shared" si="4"/>
        <v>C</v>
      </c>
    </row>
    <row r="63" spans="2:13" ht="15" outlineLevel="1" thickBot="1">
      <c r="B63" s="182" t="s">
        <v>151</v>
      </c>
      <c r="C63" s="171">
        <f>АПРЕЛЬ!AO32</f>
        <v>0</v>
      </c>
      <c r="D63" s="172">
        <f t="shared" si="0"/>
        <v>0</v>
      </c>
      <c r="E63" s="172">
        <f t="shared" si="5"/>
        <v>1.0103127805927445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АПРЕЛЬ!U41</f>
        <v>2</v>
      </c>
      <c r="K63" s="172">
        <f t="shared" si="2"/>
        <v>1.9496977968414895E-4</v>
      </c>
      <c r="L63" s="172">
        <f t="shared" si="6"/>
        <v>0.99483330083836952</v>
      </c>
      <c r="M63" s="173" t="str">
        <f t="shared" si="4"/>
        <v>C</v>
      </c>
    </row>
    <row r="64" spans="2:13" ht="15" outlineLevel="1" thickBot="1">
      <c r="B64" s="182" t="s">
        <v>154</v>
      </c>
      <c r="C64" s="171">
        <f>АПРЕЛЬ!AO35</f>
        <v>0</v>
      </c>
      <c r="D64" s="172">
        <f t="shared" si="0"/>
        <v>0</v>
      </c>
      <c r="E64" s="172">
        <f t="shared" si="5"/>
        <v>1.0103127805927445</v>
      </c>
      <c r="F64" s="173" t="str">
        <f t="shared" si="3"/>
        <v>C</v>
      </c>
      <c r="G64" s="173" t="str">
        <f t="shared" si="1"/>
        <v>C</v>
      </c>
      <c r="I64" s="182" t="s">
        <v>179</v>
      </c>
      <c r="J64" s="171">
        <f>АПРЕЛЬ!U60</f>
        <v>2</v>
      </c>
      <c r="K64" s="172">
        <f t="shared" si="2"/>
        <v>1.9496977968414895E-4</v>
      </c>
      <c r="L64" s="172">
        <f t="shared" si="6"/>
        <v>0.99502827061805366</v>
      </c>
      <c r="M64" s="173" t="str">
        <f t="shared" si="4"/>
        <v>C</v>
      </c>
    </row>
    <row r="65" spans="2:13" ht="15" outlineLevel="1" thickBot="1">
      <c r="B65" s="182" t="s">
        <v>155</v>
      </c>
      <c r="C65" s="171">
        <f>АПРЕЛЬ!AO36</f>
        <v>0</v>
      </c>
      <c r="D65" s="172">
        <f t="shared" si="0"/>
        <v>0</v>
      </c>
      <c r="E65" s="172">
        <f t="shared" si="5"/>
        <v>1.0103127805927445</v>
      </c>
      <c r="F65" s="173" t="str">
        <f t="shared" si="3"/>
        <v>C</v>
      </c>
      <c r="G65" s="173" t="str">
        <f t="shared" si="1"/>
        <v>C</v>
      </c>
      <c r="I65" s="182" t="s">
        <v>189</v>
      </c>
      <c r="J65" s="171">
        <f>АПРЕЛЬ!U70</f>
        <v>2</v>
      </c>
      <c r="K65" s="172">
        <f t="shared" si="2"/>
        <v>1.9496977968414895E-4</v>
      </c>
      <c r="L65" s="172">
        <f t="shared" si="6"/>
        <v>0.9952232403977378</v>
      </c>
      <c r="M65" s="173" t="str">
        <f t="shared" si="4"/>
        <v>C</v>
      </c>
    </row>
    <row r="66" spans="2:13" ht="26.5" outlineLevel="1" thickBot="1">
      <c r="B66" s="182" t="s">
        <v>165</v>
      </c>
      <c r="C66" s="171">
        <f>АПРЕЛЬ!AO46</f>
        <v>0</v>
      </c>
      <c r="D66" s="172">
        <f t="shared" si="0"/>
        <v>0</v>
      </c>
      <c r="E66" s="172">
        <f t="shared" si="5"/>
        <v>1.0103127805927445</v>
      </c>
      <c r="F66" s="173" t="str">
        <f t="shared" si="3"/>
        <v>C</v>
      </c>
      <c r="G66" s="173" t="str">
        <f t="shared" si="1"/>
        <v>C</v>
      </c>
      <c r="I66" s="182" t="s">
        <v>200</v>
      </c>
      <c r="J66" s="171">
        <f>АПРЕЛЬ!U81</f>
        <v>2</v>
      </c>
      <c r="K66" s="172">
        <f t="shared" si="2"/>
        <v>1.9496977968414895E-4</v>
      </c>
      <c r="L66" s="172">
        <f t="shared" si="6"/>
        <v>0.99541821017742194</v>
      </c>
      <c r="M66" s="173" t="str">
        <f t="shared" si="4"/>
        <v>C</v>
      </c>
    </row>
    <row r="67" spans="2:13" ht="15" outlineLevel="1" thickBot="1">
      <c r="B67" s="182" t="s">
        <v>175</v>
      </c>
      <c r="C67" s="171">
        <f>АПРЕЛЬ!AO56</f>
        <v>0</v>
      </c>
      <c r="D67" s="172">
        <f t="shared" si="0"/>
        <v>0</v>
      </c>
      <c r="E67" s="172">
        <f t="shared" si="5"/>
        <v>1.0103127805927445</v>
      </c>
      <c r="F67" s="173" t="str">
        <f t="shared" si="3"/>
        <v>C</v>
      </c>
      <c r="G67" s="173" t="str">
        <f t="shared" si="1"/>
        <v>C</v>
      </c>
      <c r="I67" s="182" t="s">
        <v>202</v>
      </c>
      <c r="J67" s="171">
        <f>АПРЕЛЬ!U83</f>
        <v>2</v>
      </c>
      <c r="K67" s="172">
        <f t="shared" si="2"/>
        <v>1.9496977968414895E-4</v>
      </c>
      <c r="L67" s="172">
        <f t="shared" si="6"/>
        <v>0.99561317995710608</v>
      </c>
      <c r="M67" s="173" t="str">
        <f t="shared" si="4"/>
        <v>C</v>
      </c>
    </row>
    <row r="68" spans="2:13" ht="26.5" outlineLevel="1" thickBot="1">
      <c r="B68" s="182" t="s">
        <v>176</v>
      </c>
      <c r="C68" s="171">
        <f>АПРЕЛЬ!AO57</f>
        <v>0</v>
      </c>
      <c r="D68" s="172">
        <f t="shared" ref="D68:D105" si="7">C68/C$106</f>
        <v>0</v>
      </c>
      <c r="E68" s="172">
        <f t="shared" si="5"/>
        <v>1.0103127805927445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209</v>
      </c>
      <c r="J68" s="171">
        <f>АПРЕЛЬ!U90</f>
        <v>2</v>
      </c>
      <c r="K68" s="172">
        <f t="shared" ref="K68:K105" si="9">J68/J$106</f>
        <v>1.9496977968414895E-4</v>
      </c>
      <c r="L68" s="172">
        <f t="shared" si="6"/>
        <v>0.99580814973679022</v>
      </c>
      <c r="M68" s="173" t="str">
        <f t="shared" si="4"/>
        <v>C</v>
      </c>
    </row>
    <row r="69" spans="2:13" ht="15" outlineLevel="1" thickBot="1">
      <c r="B69" s="182" t="s">
        <v>178</v>
      </c>
      <c r="C69" s="171">
        <f>АПРЕЛЬ!AO59</f>
        <v>0</v>
      </c>
      <c r="D69" s="172">
        <f t="shared" si="7"/>
        <v>0</v>
      </c>
      <c r="E69" s="172">
        <f t="shared" si="5"/>
        <v>1.0103127805927445</v>
      </c>
      <c r="F69" s="173" t="str">
        <f t="shared" si="3"/>
        <v>C</v>
      </c>
      <c r="G69" s="173" t="str">
        <f t="shared" si="8"/>
        <v>C</v>
      </c>
      <c r="I69" s="182" t="s">
        <v>210</v>
      </c>
      <c r="J69" s="171">
        <f>АПРЕЛЬ!U91</f>
        <v>2</v>
      </c>
      <c r="K69" s="172">
        <f t="shared" si="9"/>
        <v>1.9496977968414895E-4</v>
      </c>
      <c r="L69" s="172">
        <f t="shared" si="6"/>
        <v>0.99600311951647436</v>
      </c>
      <c r="M69" s="173" t="str">
        <f t="shared" si="4"/>
        <v>C</v>
      </c>
    </row>
    <row r="70" spans="2:13" ht="15" outlineLevel="1" thickBot="1">
      <c r="B70" s="182" t="s">
        <v>181</v>
      </c>
      <c r="C70" s="171">
        <f>АПРЕЛЬ!AO62</f>
        <v>0</v>
      </c>
      <c r="D70" s="172">
        <f t="shared" si="7"/>
        <v>0</v>
      </c>
      <c r="E70" s="172">
        <f t="shared" ref="E70:E75" si="10">E69+D70</f>
        <v>1.0103127805927445</v>
      </c>
      <c r="F70" s="173" t="str">
        <f t="shared" si="3"/>
        <v>C</v>
      </c>
      <c r="G70" s="173" t="str">
        <f t="shared" si="8"/>
        <v>C</v>
      </c>
      <c r="I70" s="182" t="s">
        <v>150</v>
      </c>
      <c r="J70" s="171">
        <f>АПРЕЛЬ!U31</f>
        <v>1</v>
      </c>
      <c r="K70" s="172">
        <f t="shared" si="9"/>
        <v>9.7484889842074473E-5</v>
      </c>
      <c r="L70" s="172">
        <f t="shared" ref="L70:L75" si="11">L69+K70</f>
        <v>0.99610060440631643</v>
      </c>
      <c r="M70" s="173" t="str">
        <f t="shared" si="4"/>
        <v>C</v>
      </c>
    </row>
    <row r="71" spans="2:13" ht="15" outlineLevel="1" thickBot="1">
      <c r="B71" s="182" t="s">
        <v>182</v>
      </c>
      <c r="C71" s="171">
        <f>АПРЕЛЬ!AO63</f>
        <v>0</v>
      </c>
      <c r="D71" s="172">
        <f t="shared" si="7"/>
        <v>0</v>
      </c>
      <c r="E71" s="172">
        <f t="shared" si="10"/>
        <v>1.0103127805927445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АПРЕЛЬ!U38</f>
        <v>1</v>
      </c>
      <c r="K71" s="172">
        <f t="shared" si="9"/>
        <v>9.7484889842074473E-5</v>
      </c>
      <c r="L71" s="172">
        <f t="shared" si="11"/>
        <v>0.9961980892961585</v>
      </c>
      <c r="M71" s="173" t="str">
        <f t="shared" si="4"/>
        <v>C</v>
      </c>
    </row>
    <row r="72" spans="2:13" ht="15" outlineLevel="1" thickBot="1">
      <c r="B72" s="182" t="s">
        <v>183</v>
      </c>
      <c r="C72" s="171">
        <f>АПРЕЛЬ!AO64</f>
        <v>0</v>
      </c>
      <c r="D72" s="172">
        <f t="shared" si="7"/>
        <v>0</v>
      </c>
      <c r="E72" s="172">
        <f t="shared" si="10"/>
        <v>1.0103127805927445</v>
      </c>
      <c r="F72" s="173" t="str">
        <f t="shared" si="3"/>
        <v>C</v>
      </c>
      <c r="G72" s="173" t="str">
        <f t="shared" si="8"/>
        <v>C</v>
      </c>
      <c r="I72" s="182" t="s">
        <v>190</v>
      </c>
      <c r="J72" s="171">
        <f>АПРЕЛЬ!U71</f>
        <v>1</v>
      </c>
      <c r="K72" s="172">
        <f t="shared" si="9"/>
        <v>9.7484889842074473E-5</v>
      </c>
      <c r="L72" s="172">
        <f t="shared" si="11"/>
        <v>0.99629557418600057</v>
      </c>
      <c r="M72" s="173" t="str">
        <f t="shared" si="4"/>
        <v>C</v>
      </c>
    </row>
    <row r="73" spans="2:13" ht="15" outlineLevel="1" thickBot="1">
      <c r="B73" s="182" t="s">
        <v>186</v>
      </c>
      <c r="C73" s="171">
        <f>АПРЕЛЬ!AO67</f>
        <v>0</v>
      </c>
      <c r="D73" s="172">
        <f t="shared" si="7"/>
        <v>0</v>
      </c>
      <c r="E73" s="172">
        <f t="shared" si="10"/>
        <v>1.0103127805927445</v>
      </c>
      <c r="F73" s="173" t="str">
        <f t="shared" si="3"/>
        <v>C</v>
      </c>
      <c r="G73" s="173" t="str">
        <f t="shared" si="8"/>
        <v>C</v>
      </c>
      <c r="I73" s="182" t="s">
        <v>191</v>
      </c>
      <c r="J73" s="171">
        <f>АПРЕЛЬ!U72</f>
        <v>1</v>
      </c>
      <c r="K73" s="172">
        <f t="shared" si="9"/>
        <v>9.7484889842074473E-5</v>
      </c>
      <c r="L73" s="172">
        <f t="shared" si="11"/>
        <v>0.99639305907584264</v>
      </c>
      <c r="M73" s="173" t="str">
        <f t="shared" si="4"/>
        <v>C</v>
      </c>
    </row>
    <row r="74" spans="2:13" ht="26.5" outlineLevel="1" thickBot="1">
      <c r="B74" s="182" t="s">
        <v>187</v>
      </c>
      <c r="C74" s="171">
        <f>АПРЕЛЬ!AO68</f>
        <v>0</v>
      </c>
      <c r="D74" s="172">
        <f t="shared" si="7"/>
        <v>0</v>
      </c>
      <c r="E74" s="172">
        <f t="shared" si="10"/>
        <v>1.0103127805927445</v>
      </c>
      <c r="F74" s="173" t="str">
        <f t="shared" si="3"/>
        <v>C</v>
      </c>
      <c r="G74" s="173" t="str">
        <f t="shared" si="8"/>
        <v>C</v>
      </c>
      <c r="I74" s="182" t="s">
        <v>204</v>
      </c>
      <c r="J74" s="171">
        <f>АПРЕЛЬ!U85</f>
        <v>1</v>
      </c>
      <c r="K74" s="172">
        <f t="shared" si="9"/>
        <v>9.7484889842074473E-5</v>
      </c>
      <c r="L74" s="172">
        <f t="shared" si="11"/>
        <v>0.99649054396568471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АПРЕЛЬ!AO94</f>
        <v>0</v>
      </c>
      <c r="D75" s="172">
        <f t="shared" si="7"/>
        <v>0</v>
      </c>
      <c r="E75" s="172">
        <f t="shared" si="10"/>
        <v>1.0103127805927445</v>
      </c>
      <c r="F75" s="173" t="str">
        <f t="shared" si="3"/>
        <v>C</v>
      </c>
      <c r="G75" s="173" t="str">
        <f t="shared" si="8"/>
        <v>C</v>
      </c>
      <c r="I75" s="182" t="s">
        <v>207</v>
      </c>
      <c r="J75" s="171">
        <f>АПРЕЛЬ!U88</f>
        <v>1</v>
      </c>
      <c r="K75" s="172">
        <f t="shared" si="9"/>
        <v>9.7484889842074473E-5</v>
      </c>
      <c r="L75" s="172">
        <f t="shared" si="11"/>
        <v>0.99658802885552678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АПРЕЛЬ!AO95</f>
        <v>0</v>
      </c>
      <c r="D76" s="172">
        <f t="shared" si="7"/>
        <v>0</v>
      </c>
      <c r="E76" s="172">
        <f>E49+D76</f>
        <v>1.0098719648074583</v>
      </c>
      <c r="F76" s="173" t="str">
        <f t="shared" si="3"/>
        <v>C</v>
      </c>
      <c r="G76" s="173" t="str">
        <f t="shared" si="8"/>
        <v>C</v>
      </c>
      <c r="I76" s="182" t="s">
        <v>138</v>
      </c>
      <c r="J76" s="171">
        <f>АПРЕЛЬ!U19</f>
        <v>0</v>
      </c>
      <c r="K76" s="172">
        <f t="shared" si="9"/>
        <v>0</v>
      </c>
      <c r="L76" s="172">
        <f>L49+K76</f>
        <v>0.98986157145642395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АПРЕЛЬ!AO96</f>
        <v>0</v>
      </c>
      <c r="D77" s="172">
        <f t="shared" si="7"/>
        <v>0</v>
      </c>
      <c r="E77" s="172">
        <f t="shared" ref="E77:E93" si="12">E76+D77</f>
        <v>1.0098719648074583</v>
      </c>
      <c r="F77" s="173" t="str">
        <f t="shared" si="3"/>
        <v>C</v>
      </c>
      <c r="G77" s="173" t="str">
        <f t="shared" si="8"/>
        <v>C</v>
      </c>
      <c r="I77" s="182" t="s">
        <v>142</v>
      </c>
      <c r="J77" s="171">
        <f>АПРЕЛЬ!U23</f>
        <v>0</v>
      </c>
      <c r="K77" s="172">
        <f t="shared" si="9"/>
        <v>0</v>
      </c>
      <c r="L77" s="172">
        <f t="shared" ref="L77:L94" si="13">L76+K77</f>
        <v>0.98986157145642395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АПРЕЛЬ!AO99</f>
        <v>0</v>
      </c>
      <c r="D78" s="172">
        <f t="shared" si="7"/>
        <v>0</v>
      </c>
      <c r="E78" s="172">
        <f t="shared" si="12"/>
        <v>1.0098719648074583</v>
      </c>
      <c r="F78" s="173" t="str">
        <f t="shared" si="3"/>
        <v>C</v>
      </c>
      <c r="G78" s="173" t="str">
        <f t="shared" si="8"/>
        <v>C</v>
      </c>
      <c r="I78" s="182" t="s">
        <v>144</v>
      </c>
      <c r="J78" s="171">
        <f>АПРЕЛЬ!U25</f>
        <v>0</v>
      </c>
      <c r="K78" s="172">
        <f t="shared" si="9"/>
        <v>0</v>
      </c>
      <c r="L78" s="172">
        <f t="shared" si="13"/>
        <v>0.98986157145642395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АПРЕЛЬ!AO101</f>
        <v>0</v>
      </c>
      <c r="D79" s="172">
        <f t="shared" si="7"/>
        <v>0</v>
      </c>
      <c r="E79" s="172">
        <f t="shared" si="12"/>
        <v>1.0098719648074583</v>
      </c>
      <c r="F79" s="173" t="str">
        <f t="shared" si="3"/>
        <v>C</v>
      </c>
      <c r="G79" s="173" t="str">
        <f t="shared" si="8"/>
        <v>C</v>
      </c>
      <c r="I79" s="182" t="s">
        <v>148</v>
      </c>
      <c r="J79" s="171">
        <f>АПРЕЛЬ!U29</f>
        <v>0</v>
      </c>
      <c r="K79" s="172">
        <f t="shared" si="9"/>
        <v>0</v>
      </c>
      <c r="L79" s="172">
        <f t="shared" si="13"/>
        <v>0.98986157145642395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АПРЕЛЬ!AO103</f>
        <v>0</v>
      </c>
      <c r="D80" s="172">
        <f t="shared" si="7"/>
        <v>0</v>
      </c>
      <c r="E80" s="172">
        <f t="shared" si="12"/>
        <v>1.0098719648074583</v>
      </c>
      <c r="F80" s="173" t="str">
        <f t="shared" si="3"/>
        <v>C</v>
      </c>
      <c r="G80" s="173" t="e">
        <f t="shared" si="8"/>
        <v>#N/A</v>
      </c>
      <c r="I80" s="182" t="s">
        <v>149</v>
      </c>
      <c r="J80" s="171">
        <f>АПРЕЛЬ!U30</f>
        <v>0</v>
      </c>
      <c r="K80" s="172">
        <f t="shared" si="9"/>
        <v>0</v>
      </c>
      <c r="L80" s="172">
        <f t="shared" si="13"/>
        <v>0.98986157145642395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АПРЕЛЬ!AO65</f>
        <v>-5.0275997209441154</v>
      </c>
      <c r="D81" s="172">
        <f t="shared" si="7"/>
        <v>-1.1586147680097271E-6</v>
      </c>
      <c r="E81" s="172">
        <f t="shared" si="12"/>
        <v>1.0098708061926904</v>
      </c>
      <c r="F81" s="173" t="str">
        <f t="shared" si="3"/>
        <v>C</v>
      </c>
      <c r="G81" s="173" t="str">
        <f t="shared" si="8"/>
        <v>C</v>
      </c>
      <c r="I81" s="182" t="s">
        <v>151</v>
      </c>
      <c r="J81" s="171">
        <f>АПРЕЛЬ!U32</f>
        <v>0</v>
      </c>
      <c r="K81" s="172">
        <f t="shared" si="9"/>
        <v>0</v>
      </c>
      <c r="L81" s="172">
        <f t="shared" si="13"/>
        <v>0.98986157145642395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АПРЕЛЬ!AO66</f>
        <v>-9.6386748883168032</v>
      </c>
      <c r="D82" s="172">
        <f t="shared" si="7"/>
        <v>-2.221241087098964E-6</v>
      </c>
      <c r="E82" s="172">
        <f t="shared" si="12"/>
        <v>1.0098685849516034</v>
      </c>
      <c r="F82" s="173" t="str">
        <f t="shared" si="3"/>
        <v>C</v>
      </c>
      <c r="G82" s="173" t="str">
        <f t="shared" si="8"/>
        <v>C</v>
      </c>
      <c r="I82" s="182" t="s">
        <v>154</v>
      </c>
      <c r="J82" s="171">
        <f>АПРЕЛЬ!U35</f>
        <v>0</v>
      </c>
      <c r="K82" s="172">
        <f t="shared" si="9"/>
        <v>0</v>
      </c>
      <c r="L82" s="172">
        <f t="shared" si="13"/>
        <v>0.98986157145642395</v>
      </c>
      <c r="M82" s="173" t="str">
        <f t="shared" si="4"/>
        <v>C</v>
      </c>
    </row>
    <row r="83" spans="2:13" ht="15" outlineLevel="1" thickBot="1">
      <c r="B83" s="182" t="s">
        <v>193</v>
      </c>
      <c r="C83" s="171">
        <f>АПРЕЛЬ!AO74</f>
        <v>-59.3</v>
      </c>
      <c r="D83" s="172">
        <f t="shared" si="7"/>
        <v>-1.3665737042819865E-5</v>
      </c>
      <c r="E83" s="172">
        <f t="shared" si="12"/>
        <v>1.0098549192145605</v>
      </c>
      <c r="F83" s="173" t="str">
        <f t="shared" si="3"/>
        <v>C</v>
      </c>
      <c r="G83" s="173" t="str">
        <f t="shared" si="8"/>
        <v>C</v>
      </c>
      <c r="I83" s="182" t="s">
        <v>155</v>
      </c>
      <c r="J83" s="171">
        <f>АПРЕЛЬ!U36</f>
        <v>0</v>
      </c>
      <c r="K83" s="172">
        <f t="shared" si="9"/>
        <v>0</v>
      </c>
      <c r="L83" s="172">
        <f t="shared" si="13"/>
        <v>0.98986157145642395</v>
      </c>
      <c r="M83" s="173" t="str">
        <f t="shared" si="4"/>
        <v>C</v>
      </c>
    </row>
    <row r="84" spans="2:13" ht="15" outlineLevel="1" thickBot="1">
      <c r="B84" s="182" t="s">
        <v>190</v>
      </c>
      <c r="C84" s="171">
        <f>АПРЕЛЬ!AO71</f>
        <v>-65.135368869569376</v>
      </c>
      <c r="D84" s="172">
        <f t="shared" si="7"/>
        <v>-1.5010502920044014E-5</v>
      </c>
      <c r="E84" s="172">
        <f t="shared" si="12"/>
        <v>1.0098399087116405</v>
      </c>
      <c r="F84" s="173" t="str">
        <f t="shared" si="3"/>
        <v>C</v>
      </c>
      <c r="G84" s="173" t="str">
        <f t="shared" si="8"/>
        <v>C</v>
      </c>
      <c r="I84" s="182" t="s">
        <v>156</v>
      </c>
      <c r="J84" s="171">
        <f>АПРЕЛЬ!U37</f>
        <v>0</v>
      </c>
      <c r="K84" s="172">
        <f t="shared" si="9"/>
        <v>0</v>
      </c>
      <c r="L84" s="172">
        <f t="shared" si="13"/>
        <v>0.98986157145642395</v>
      </c>
      <c r="M84" s="173" t="str">
        <f t="shared" si="4"/>
        <v>C</v>
      </c>
    </row>
    <row r="85" spans="2:13" ht="26.5" outlineLevel="1" thickBot="1">
      <c r="B85" s="182" t="s">
        <v>174</v>
      </c>
      <c r="C85" s="171">
        <f>АПРЕЛЬ!AO55</f>
        <v>-97.181431073519107</v>
      </c>
      <c r="D85" s="172">
        <f t="shared" si="7"/>
        <v>-2.2395546079184409E-5</v>
      </c>
      <c r="E85" s="172">
        <f t="shared" si="12"/>
        <v>1.0098175131655613</v>
      </c>
      <c r="F85" s="173" t="str">
        <f t="shared" si="3"/>
        <v>C</v>
      </c>
      <c r="G85" s="173" t="str">
        <f t="shared" si="8"/>
        <v>C</v>
      </c>
      <c r="I85" s="182" t="s">
        <v>165</v>
      </c>
      <c r="J85" s="171">
        <f>АПРЕЛЬ!U46</f>
        <v>0</v>
      </c>
      <c r="K85" s="172">
        <f t="shared" si="9"/>
        <v>0</v>
      </c>
      <c r="L85" s="172">
        <f t="shared" si="13"/>
        <v>0.98986157145642395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АПРЕЛЬ!AO80</f>
        <v>-100.34234233987007</v>
      </c>
      <c r="D86" s="172">
        <f t="shared" si="7"/>
        <v>-2.3123980854591476E-5</v>
      </c>
      <c r="E86" s="172">
        <f t="shared" si="12"/>
        <v>1.0097943891847068</v>
      </c>
      <c r="F86" s="173" t="str">
        <f t="shared" si="3"/>
        <v>C</v>
      </c>
      <c r="G86" s="173" t="str">
        <f t="shared" si="8"/>
        <v>C</v>
      </c>
      <c r="I86" s="182" t="s">
        <v>170</v>
      </c>
      <c r="J86" s="171">
        <f>АПРЕЛЬ!U51</f>
        <v>0</v>
      </c>
      <c r="K86" s="172">
        <f t="shared" si="9"/>
        <v>0</v>
      </c>
      <c r="L86" s="172">
        <f t="shared" si="13"/>
        <v>0.98986157145642395</v>
      </c>
      <c r="M86" s="173" t="str">
        <f t="shared" si="4"/>
        <v>C</v>
      </c>
    </row>
    <row r="87" spans="2:13" ht="15" outlineLevel="1" thickBot="1">
      <c r="B87" s="182" t="s">
        <v>180</v>
      </c>
      <c r="C87" s="171">
        <f>АПРЕЛЬ!AO61</f>
        <v>-118.67301575889911</v>
      </c>
      <c r="D87" s="172">
        <f t="shared" si="7"/>
        <v>-2.7348300631358064E-5</v>
      </c>
      <c r="E87" s="172">
        <f t="shared" si="12"/>
        <v>1.0097670408840753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АПРЕЛЬ!U55</f>
        <v>0</v>
      </c>
      <c r="K87" s="172">
        <f t="shared" si="9"/>
        <v>0</v>
      </c>
      <c r="L87" s="172">
        <f t="shared" si="13"/>
        <v>0.98986157145642395</v>
      </c>
      <c r="M87" s="173" t="str">
        <f t="shared" si="4"/>
        <v>C</v>
      </c>
    </row>
    <row r="88" spans="2:13" ht="15" outlineLevel="1" thickBot="1">
      <c r="B88" s="182" t="s">
        <v>170</v>
      </c>
      <c r="C88" s="171">
        <f>АПРЕЛЬ!AO51</f>
        <v>-152.01274814135783</v>
      </c>
      <c r="D88" s="172">
        <f t="shared" si="7"/>
        <v>-3.503147121848567E-5</v>
      </c>
      <c r="E88" s="172">
        <f t="shared" si="12"/>
        <v>1.0097320094128568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АПРЕЛЬ!U56</f>
        <v>0</v>
      </c>
      <c r="K88" s="172">
        <f t="shared" si="9"/>
        <v>0</v>
      </c>
      <c r="L88" s="172">
        <f t="shared" si="13"/>
        <v>0.98986157145642395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АПРЕЛЬ!AO38</f>
        <v>-258.56554208233388</v>
      </c>
      <c r="D89" s="172">
        <f t="shared" si="7"/>
        <v>-5.9586656094963719E-5</v>
      </c>
      <c r="E89" s="172">
        <f t="shared" si="12"/>
        <v>1.0096724227567617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АПРЕЛЬ!U57</f>
        <v>0</v>
      </c>
      <c r="K89" s="172">
        <f t="shared" si="9"/>
        <v>0</v>
      </c>
      <c r="L89" s="172">
        <f t="shared" si="13"/>
        <v>0.98986157145642395</v>
      </c>
      <c r="M89" s="173" t="str">
        <f t="shared" si="4"/>
        <v>C</v>
      </c>
    </row>
    <row r="90" spans="2:13" ht="15" outlineLevel="1" thickBot="1">
      <c r="B90" s="182" t="s">
        <v>156</v>
      </c>
      <c r="C90" s="171">
        <f>АПРЕЛЬ!AO37</f>
        <v>-279.90408258026946</v>
      </c>
      <c r="D90" s="172">
        <f t="shared" si="7"/>
        <v>-6.4504141479826286E-5</v>
      </c>
      <c r="E90" s="172">
        <f t="shared" si="12"/>
        <v>1.009607918615282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АПРЕЛЬ!U59</f>
        <v>0</v>
      </c>
      <c r="K90" s="172">
        <f t="shared" si="9"/>
        <v>0</v>
      </c>
      <c r="L90" s="172">
        <f t="shared" si="13"/>
        <v>0.98986157145642395</v>
      </c>
      <c r="M90" s="173" t="str">
        <f t="shared" si="4"/>
        <v>C</v>
      </c>
    </row>
    <row r="91" spans="2:13" ht="15" outlineLevel="1" thickBot="1">
      <c r="B91" s="182" t="s">
        <v>146</v>
      </c>
      <c r="C91" s="171">
        <f>АПРЕЛЬ!AO27</f>
        <v>-282.52692778809995</v>
      </c>
      <c r="D91" s="172">
        <f t="shared" si="7"/>
        <v>-6.5108578459830194E-5</v>
      </c>
      <c r="E91" s="172">
        <f t="shared" si="12"/>
        <v>1.0095428100368222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АПРЕЛЬ!U62</f>
        <v>0</v>
      </c>
      <c r="K91" s="172">
        <f t="shared" si="9"/>
        <v>0</v>
      </c>
      <c r="L91" s="172">
        <f t="shared" si="13"/>
        <v>0.98986157145642395</v>
      </c>
      <c r="M91" s="173" t="str">
        <f t="shared" si="4"/>
        <v>C</v>
      </c>
    </row>
    <row r="92" spans="2:13" ht="15" outlineLevel="1" thickBot="1">
      <c r="B92" s="182" t="s">
        <v>216</v>
      </c>
      <c r="C92" s="171">
        <f>АПРЕЛЬ!AO97</f>
        <v>-473.14551365378861</v>
      </c>
      <c r="D92" s="172">
        <f t="shared" si="7"/>
        <v>-1.0903679886311317E-4</v>
      </c>
      <c r="E92" s="172">
        <f t="shared" si="12"/>
        <v>1.009433773237959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АПРЕЛЬ!U63</f>
        <v>0</v>
      </c>
      <c r="K92" s="172">
        <f t="shared" si="9"/>
        <v>0</v>
      </c>
      <c r="L92" s="172">
        <f t="shared" si="13"/>
        <v>0.98986157145642395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АПРЕЛЬ!AO79</f>
        <v>-1496.9952680504425</v>
      </c>
      <c r="D93" s="172">
        <f t="shared" si="7"/>
        <v>-3.4498387331404699E-4</v>
      </c>
      <c r="E93" s="172">
        <f t="shared" si="12"/>
        <v>1.009088789364645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АПРЕЛЬ!U64</f>
        <v>0</v>
      </c>
      <c r="K93" s="172">
        <f t="shared" si="9"/>
        <v>0</v>
      </c>
      <c r="L93" s="172">
        <f t="shared" si="13"/>
        <v>0.98986157145642395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АПРЕЛЬ!AO86</f>
        <v>-1901.371606895256</v>
      </c>
      <c r="D94" s="172">
        <f t="shared" si="7"/>
        <v>-4.3817275548928216E-4</v>
      </c>
      <c r="E94" s="172">
        <f>E93+D94</f>
        <v>1.0086506166091558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АПРЕЛЬ!U65</f>
        <v>0</v>
      </c>
      <c r="K94" s="172">
        <f t="shared" si="9"/>
        <v>0</v>
      </c>
      <c r="L94" s="172">
        <f t="shared" si="13"/>
        <v>0.98986157145642395</v>
      </c>
      <c r="M94" s="173" t="str">
        <f t="shared" si="4"/>
        <v>C</v>
      </c>
    </row>
    <row r="95" spans="2:13" ht="26.5" outlineLevel="1" thickBot="1">
      <c r="B95" s="182" t="s">
        <v>201</v>
      </c>
      <c r="C95" s="171">
        <f>АПРЕЛЬ!AO82</f>
        <v>-2280.2503608474858</v>
      </c>
      <c r="D95" s="172">
        <f t="shared" si="7"/>
        <v>-5.2548569684885077E-4</v>
      </c>
      <c r="E95" s="172">
        <f>E94+D95</f>
        <v>1.0081251309123069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АПРЕЛЬ!U66</f>
        <v>0</v>
      </c>
      <c r="K95" s="172">
        <f t="shared" si="9"/>
        <v>0</v>
      </c>
      <c r="L95" s="172">
        <f>L94+K95</f>
        <v>0.98986157145642395</v>
      </c>
      <c r="M95" s="173" t="str">
        <f t="shared" si="4"/>
        <v>C</v>
      </c>
    </row>
    <row r="96" spans="2:13" ht="15" outlineLevel="1" thickBot="1">
      <c r="B96" s="182" t="s">
        <v>171</v>
      </c>
      <c r="C96" s="171">
        <f>АПРЕЛЬ!AO52</f>
        <v>-2829.055100455068</v>
      </c>
      <c r="D96" s="172">
        <f t="shared" si="7"/>
        <v>-6.5195823073300671E-4</v>
      </c>
      <c r="E96" s="172">
        <f t="shared" ref="E96:E98" si="14">E95+D96</f>
        <v>1.007473172681574</v>
      </c>
      <c r="F96" s="173" t="str">
        <f t="shared" si="3"/>
        <v>C</v>
      </c>
      <c r="G96" s="173" t="str">
        <f t="shared" si="8"/>
        <v>C</v>
      </c>
      <c r="I96" s="182" t="s">
        <v>186</v>
      </c>
      <c r="J96" s="171">
        <f>АПРЕЛЬ!U67</f>
        <v>0</v>
      </c>
      <c r="K96" s="172">
        <f t="shared" si="9"/>
        <v>0</v>
      </c>
      <c r="L96" s="172">
        <f t="shared" ref="L96:L98" si="15">L95+K96</f>
        <v>0.98986157145642395</v>
      </c>
      <c r="M96" s="173" t="str">
        <f t="shared" si="4"/>
        <v>C</v>
      </c>
    </row>
    <row r="97" spans="2:13" ht="26.5" outlineLevel="1" thickBot="1">
      <c r="B97" s="182" t="s">
        <v>196</v>
      </c>
      <c r="C97" s="171">
        <f>АПРЕЛЬ!AO77</f>
        <v>-3061.9326629616844</v>
      </c>
      <c r="D97" s="172">
        <f t="shared" si="7"/>
        <v>-7.0562506939048162E-4</v>
      </c>
      <c r="E97" s="172">
        <f t="shared" si="14"/>
        <v>1.0067675476121836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187</v>
      </c>
      <c r="J97" s="171">
        <f>АПРЕЛЬ!U68</f>
        <v>0</v>
      </c>
      <c r="K97" s="172">
        <f t="shared" si="9"/>
        <v>0</v>
      </c>
      <c r="L97" s="172">
        <f t="shared" si="15"/>
        <v>0.98986157145642395</v>
      </c>
      <c r="M97" s="173" t="str">
        <f t="shared" si="4"/>
        <v>C</v>
      </c>
    </row>
    <row r="98" spans="2:13" ht="15" outlineLevel="1" thickBot="1">
      <c r="B98" s="182" t="s">
        <v>177</v>
      </c>
      <c r="C98" s="171">
        <f>АПРЕЛЬ!AO58</f>
        <v>-3150.065593870549</v>
      </c>
      <c r="D98" s="172">
        <f t="shared" si="7"/>
        <v>-7.2593538066558383E-4</v>
      </c>
      <c r="E98" s="172">
        <f t="shared" si="14"/>
        <v>1.0060416122315179</v>
      </c>
      <c r="F98" s="173" t="str">
        <f t="shared" si="16"/>
        <v>C</v>
      </c>
      <c r="G98" s="173" t="str">
        <f t="shared" si="8"/>
        <v>C</v>
      </c>
      <c r="I98" s="182" t="s">
        <v>193</v>
      </c>
      <c r="J98" s="171">
        <f>АПРЕЛЬ!U74</f>
        <v>0</v>
      </c>
      <c r="K98" s="172">
        <f t="shared" si="9"/>
        <v>0</v>
      </c>
      <c r="L98" s="172">
        <f t="shared" si="15"/>
        <v>0.98986157145642395</v>
      </c>
      <c r="M98" s="173" t="str">
        <f t="shared" si="4"/>
        <v>C</v>
      </c>
    </row>
    <row r="99" spans="2:13" ht="26.5" outlineLevel="1" thickBot="1">
      <c r="B99" s="182" t="s">
        <v>203</v>
      </c>
      <c r="C99" s="171">
        <f>АПРЕЛЬ!AO84</f>
        <v>-3186.2875764258106</v>
      </c>
      <c r="D99" s="172">
        <f t="shared" si="7"/>
        <v>-7.3428276833455196E-4</v>
      </c>
      <c r="E99" s="172">
        <f>E93+D99</f>
        <v>1.0083545065963104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АПРЕЛЬ!U94</f>
        <v>0</v>
      </c>
      <c r="K99" s="172">
        <f t="shared" si="9"/>
        <v>0</v>
      </c>
      <c r="L99" s="172">
        <f>L93+K99</f>
        <v>0.98986157145642395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197</v>
      </c>
      <c r="C100" s="171">
        <f>АПРЕЛЬ!AO78</f>
        <v>-3351.0835306364152</v>
      </c>
      <c r="D100" s="172">
        <f t="shared" si="7"/>
        <v>-7.7226014061048287E-4</v>
      </c>
      <c r="E100" s="172">
        <f t="shared" ref="E100:E105" si="18">E94+D100</f>
        <v>1.0078783564685454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АПРЕЛЬ!U95</f>
        <v>0</v>
      </c>
      <c r="K100" s="172">
        <f t="shared" si="9"/>
        <v>0</v>
      </c>
      <c r="L100" s="172">
        <f t="shared" ref="L100:L105" si="19">L94+K100</f>
        <v>0.98986157145642395</v>
      </c>
      <c r="M100" s="173" t="str">
        <f t="shared" si="17"/>
        <v>C</v>
      </c>
    </row>
    <row r="101" spans="2:13" ht="15" outlineLevel="1" thickBot="1">
      <c r="B101" s="182" t="s">
        <v>210</v>
      </c>
      <c r="C101" s="171">
        <f>АПРЕЛЬ!AO91</f>
        <v>-3769.8197450127868</v>
      </c>
      <c r="D101" s="172">
        <f t="shared" si="7"/>
        <v>-8.6875826870446847E-4</v>
      </c>
      <c r="E101" s="172">
        <f t="shared" si="18"/>
        <v>1.0072563726436026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АПРЕЛЬ!U96</f>
        <v>0</v>
      </c>
      <c r="K101" s="172">
        <f t="shared" si="9"/>
        <v>0</v>
      </c>
      <c r="L101" s="172">
        <f t="shared" si="19"/>
        <v>0.98986157145642395</v>
      </c>
      <c r="M101" s="173" t="str">
        <f t="shared" si="17"/>
        <v>C</v>
      </c>
    </row>
    <row r="102" spans="2:13" ht="26.5" outlineLevel="1" thickBot="1">
      <c r="B102" s="182" t="s">
        <v>211</v>
      </c>
      <c r="C102" s="171">
        <f>АПРЕЛЬ!AO92</f>
        <v>-4571.4498457779473</v>
      </c>
      <c r="D102" s="172">
        <f t="shared" si="7"/>
        <v>-1.0534946289517851E-3</v>
      </c>
      <c r="E102" s="172">
        <f t="shared" si="18"/>
        <v>1.0064196780526222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АПРЕЛЬ!U97</f>
        <v>0</v>
      </c>
      <c r="K102" s="172">
        <f t="shared" si="9"/>
        <v>0</v>
      </c>
      <c r="L102" s="172">
        <f t="shared" si="19"/>
        <v>0.98986157145642395</v>
      </c>
      <c r="M102" s="173" t="str">
        <f t="shared" si="17"/>
        <v>C</v>
      </c>
    </row>
    <row r="103" spans="2:13" ht="26.5" outlineLevel="1" thickBot="1">
      <c r="B103" s="182" t="s">
        <v>204</v>
      </c>
      <c r="C103" s="171">
        <f>АПРЕЛЬ!AO85</f>
        <v>-4786.4365784385991</v>
      </c>
      <c r="D103" s="172">
        <f t="shared" si="7"/>
        <v>-1.1030385101699213E-3</v>
      </c>
      <c r="E103" s="172">
        <f t="shared" si="18"/>
        <v>1.0056645091020135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АПРЕЛЬ!U99</f>
        <v>0</v>
      </c>
      <c r="K103" s="172">
        <f t="shared" si="9"/>
        <v>0</v>
      </c>
      <c r="L103" s="172">
        <f t="shared" si="19"/>
        <v>0.98986157145642395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АПРЕЛЬ!AO53</f>
        <v>-6299.1471430620495</v>
      </c>
      <c r="D104" s="172">
        <f t="shared" si="7"/>
        <v>-1.4516439873712643E-3</v>
      </c>
      <c r="E104" s="172">
        <f t="shared" si="18"/>
        <v>1.0045899682441466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АПРЕЛЬ!U101</f>
        <v>0</v>
      </c>
      <c r="K104" s="172">
        <f t="shared" si="9"/>
        <v>0</v>
      </c>
      <c r="L104" s="172">
        <f t="shared" si="19"/>
        <v>0.98986157145642395</v>
      </c>
      <c r="M104" s="173" t="str">
        <f t="shared" si="17"/>
        <v>C</v>
      </c>
    </row>
    <row r="105" spans="2:13" ht="26.5" outlineLevel="1" thickBot="1">
      <c r="B105" s="182" t="s">
        <v>195</v>
      </c>
      <c r="C105" s="171">
        <f>АПРЕЛЬ!AO76</f>
        <v>-6544.1230894764594</v>
      </c>
      <c r="D105" s="172">
        <f t="shared" si="7"/>
        <v>-1.5080989092180646E-3</v>
      </c>
      <c r="E105" s="172">
        <f t="shared" si="18"/>
        <v>1.0068464076870924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АПРЕЛЬ!U103</f>
        <v>0</v>
      </c>
      <c r="K105" s="172">
        <f t="shared" si="9"/>
        <v>0</v>
      </c>
      <c r="L105" s="172">
        <f t="shared" si="19"/>
        <v>0.98986157145642395</v>
      </c>
      <c r="M105" s="173" t="str">
        <f t="shared" si="17"/>
        <v>C</v>
      </c>
    </row>
    <row r="106" spans="2:13" outlineLevel="1">
      <c r="C106" s="178">
        <f>SUM(C4:C105)</f>
        <v>4339319.5562150013</v>
      </c>
      <c r="D106" s="179">
        <f>SUM(D4:D105)</f>
        <v>1.0000000000000004</v>
      </c>
      <c r="J106" s="178">
        <f>SUM(J4:J105)</f>
        <v>10258</v>
      </c>
      <c r="K106" s="179">
        <f>SUM(K4:K105)</f>
        <v>0.99999999999999933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44" priority="4" operator="equal">
      <formula>"C"</formula>
    </cfRule>
    <cfRule type="cellIs" dxfId="243" priority="5" operator="equal">
      <formula>"B"</formula>
    </cfRule>
    <cfRule type="cellIs" dxfId="242" priority="6" operator="equal">
      <formula>"A"</formula>
    </cfRule>
  </conditionalFormatting>
  <conditionalFormatting sqref="F99:G105 D99:D105 M99:M105 K99:K105">
    <cfRule type="cellIs" dxfId="241" priority="1" operator="equal">
      <formula>"C"</formula>
    </cfRule>
    <cfRule type="cellIs" dxfId="240" priority="2" operator="equal">
      <formula>"B"</formula>
    </cfRule>
    <cfRule type="cellIs" dxfId="23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F7B2-1686-4CD1-938A-5BBBEA813B8F}">
  <sheetPr codeName="Лист6"/>
  <dimension ref="B1:Q106"/>
  <sheetViews>
    <sheetView zoomScale="80" zoomScaleNormal="80" workbookViewId="0">
      <selection activeCell="J12" sqref="J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18'!AO4</f>
        <v>152899.34335846436</v>
      </c>
      <c r="D4" s="172">
        <f t="shared" ref="D4:D67" si="0">C4/C$106</f>
        <v>0.24312855176233913</v>
      </c>
      <c r="E4" s="172">
        <f>D4</f>
        <v>0.24312855176233913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18'!U4</f>
        <v>325</v>
      </c>
      <c r="K4" s="172">
        <f t="shared" ref="K4:K67" si="2">J4/J$106</f>
        <v>0.20388958594730239</v>
      </c>
      <c r="L4" s="172">
        <f>K4</f>
        <v>0.20388958594730239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18'!AO16</f>
        <v>54125.258520616044</v>
      </c>
      <c r="D5" s="172">
        <f t="shared" si="0"/>
        <v>8.6065743834020811E-2</v>
      </c>
      <c r="E5" s="172">
        <f>E4+D5</f>
        <v>0.32919429559635993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18'!U13</f>
        <v>159</v>
      </c>
      <c r="K5" s="172">
        <f t="shared" si="2"/>
        <v>9.974905897114178E-2</v>
      </c>
      <c r="L5" s="172">
        <f>L4+K5</f>
        <v>0.30363864491844417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18'!AO9</f>
        <v>49251.158408767798</v>
      </c>
      <c r="D6" s="172">
        <f t="shared" si="0"/>
        <v>7.8315331861615725E-2</v>
      </c>
      <c r="E6" s="172">
        <f t="shared" ref="E6:E69" si="5">E5+D6</f>
        <v>0.40750962745797564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18'!U9</f>
        <v>144</v>
      </c>
      <c r="K6" s="172">
        <f t="shared" si="2"/>
        <v>9.03387703889586E-2</v>
      </c>
      <c r="L6" s="172">
        <f t="shared" ref="L6:L69" si="6">L5+K6</f>
        <v>0.39397741530740277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18'!AO13</f>
        <v>48332.648987830369</v>
      </c>
      <c r="D7" s="172">
        <f t="shared" si="0"/>
        <v>7.685479017198249E-2</v>
      </c>
      <c r="E7" s="172">
        <f t="shared" si="5"/>
        <v>0.48436441762995813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18'!U16</f>
        <v>118</v>
      </c>
      <c r="K7" s="172">
        <f t="shared" si="2"/>
        <v>7.4027603513174403E-2</v>
      </c>
      <c r="L7" s="172">
        <f t="shared" si="6"/>
        <v>0.46800501882057716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18'!AO10</f>
        <v>39757.840902044649</v>
      </c>
      <c r="D8" s="172">
        <f t="shared" si="0"/>
        <v>6.3219802435969655E-2</v>
      </c>
      <c r="E8" s="172">
        <f t="shared" si="5"/>
        <v>0.54758422006592777</v>
      </c>
      <c r="F8" s="173" t="str">
        <f t="shared" si="3"/>
        <v>A</v>
      </c>
      <c r="G8" s="173" t="str">
        <f t="shared" si="1"/>
        <v>A</v>
      </c>
      <c r="I8" s="182" t="s">
        <v>124</v>
      </c>
      <c r="J8" s="171">
        <f>'Юнит 18'!U5</f>
        <v>96</v>
      </c>
      <c r="K8" s="172">
        <f t="shared" si="2"/>
        <v>6.0225846925972396E-2</v>
      </c>
      <c r="L8" s="172">
        <f t="shared" si="6"/>
        <v>0.52823086574654954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18'!AO3</f>
        <v>38522.370899151822</v>
      </c>
      <c r="D9" s="172">
        <f t="shared" si="0"/>
        <v>6.1255254871857984E-2</v>
      </c>
      <c r="E9" s="172">
        <f t="shared" si="5"/>
        <v>0.60883947493778579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18'!U10</f>
        <v>96</v>
      </c>
      <c r="K9" s="172">
        <f t="shared" si="2"/>
        <v>6.0225846925972396E-2</v>
      </c>
      <c r="L9" s="172">
        <f t="shared" si="6"/>
        <v>0.58845671267252198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18'!AO5</f>
        <v>35720.930032187491</v>
      </c>
      <c r="D10" s="172">
        <f t="shared" si="0"/>
        <v>5.6800623178404314E-2</v>
      </c>
      <c r="E10" s="172">
        <f t="shared" si="5"/>
        <v>0.66564009811619007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18'!U3</f>
        <v>95</v>
      </c>
      <c r="K10" s="172">
        <f t="shared" si="2"/>
        <v>5.9598494353826852E-2</v>
      </c>
      <c r="L10" s="172">
        <f t="shared" si="6"/>
        <v>0.64805520702634878</v>
      </c>
      <c r="M10" s="173" t="str">
        <f t="shared" si="4"/>
        <v>A</v>
      </c>
    </row>
    <row r="11" spans="2:17" ht="15" outlineLevel="1" thickBot="1">
      <c r="B11" s="182" t="s">
        <v>126</v>
      </c>
      <c r="C11" s="171">
        <f>'Юнит 18'!AO7</f>
        <v>28936.841905839294</v>
      </c>
      <c r="D11" s="172">
        <f t="shared" si="0"/>
        <v>4.6013097967650636E-2</v>
      </c>
      <c r="E11" s="172">
        <f t="shared" si="5"/>
        <v>0.7116531960838407</v>
      </c>
      <c r="F11" s="173" t="str">
        <f t="shared" si="3"/>
        <v>A</v>
      </c>
      <c r="G11" s="173" t="str">
        <f t="shared" si="1"/>
        <v>A</v>
      </c>
      <c r="I11" s="182" t="s">
        <v>126</v>
      </c>
      <c r="J11" s="171">
        <f>'Юнит 18'!U7</f>
        <v>69</v>
      </c>
      <c r="K11" s="172">
        <f t="shared" si="2"/>
        <v>4.3287327478042661E-2</v>
      </c>
      <c r="L11" s="172">
        <f t="shared" si="6"/>
        <v>0.69134253450439143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125</v>
      </c>
      <c r="C12" s="171">
        <f>'Юнит 18'!AO6</f>
        <v>25904.541628741063</v>
      </c>
      <c r="D12" s="172">
        <f t="shared" si="0"/>
        <v>4.1191371734654224E-2</v>
      </c>
      <c r="E12" s="172">
        <f t="shared" si="5"/>
        <v>0.75284456781849496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18'!U12</f>
        <v>57</v>
      </c>
      <c r="K12" s="172">
        <f t="shared" si="2"/>
        <v>3.5759096612296114E-2</v>
      </c>
      <c r="L12" s="172">
        <f t="shared" si="6"/>
        <v>0.72710163111668757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18'!AO12</f>
        <v>19891.380913321431</v>
      </c>
      <c r="D13" s="172">
        <f t="shared" si="0"/>
        <v>3.1629714868498478E-2</v>
      </c>
      <c r="E13" s="172">
        <f t="shared" si="5"/>
        <v>0.78447428268699348</v>
      </c>
      <c r="F13" s="173" t="str">
        <f t="shared" si="3"/>
        <v>A</v>
      </c>
      <c r="G13" s="173" t="str">
        <f t="shared" si="1"/>
        <v>A</v>
      </c>
      <c r="I13" s="182" t="s">
        <v>125</v>
      </c>
      <c r="J13" s="171">
        <f>'Юнит 18'!U6</f>
        <v>55</v>
      </c>
      <c r="K13" s="172">
        <f t="shared" si="2"/>
        <v>3.4504391468005019E-2</v>
      </c>
      <c r="L13" s="172">
        <f t="shared" si="6"/>
        <v>0.76160602258469257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18'!AO11</f>
        <v>17835.082889803569</v>
      </c>
      <c r="D14" s="172">
        <f t="shared" si="0"/>
        <v>2.8359950921392672E-2</v>
      </c>
      <c r="E14" s="172">
        <f t="shared" si="5"/>
        <v>0.81283423360838614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18'!U11</f>
        <v>47</v>
      </c>
      <c r="K14" s="172">
        <f t="shared" si="2"/>
        <v>2.9485570890840654E-2</v>
      </c>
      <c r="L14" s="172">
        <f t="shared" si="6"/>
        <v>0.79109159347553326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18'!AO15</f>
        <v>17425.896221116072</v>
      </c>
      <c r="D15" s="172">
        <f t="shared" si="0"/>
        <v>2.7709294352350318E-2</v>
      </c>
      <c r="E15" s="172">
        <f t="shared" si="5"/>
        <v>0.8405435279607365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18'!U15</f>
        <v>40</v>
      </c>
      <c r="K15" s="172">
        <f t="shared" si="2"/>
        <v>2.5094102885821833E-2</v>
      </c>
      <c r="L15" s="172">
        <f t="shared" si="6"/>
        <v>0.81618569636135507</v>
      </c>
      <c r="M15" s="173" t="str">
        <f t="shared" si="4"/>
        <v>B</v>
      </c>
    </row>
    <row r="16" spans="2:17" ht="15" outlineLevel="1" thickBot="1">
      <c r="B16" s="182" t="s">
        <v>133</v>
      </c>
      <c r="C16" s="171">
        <f>'Юнит 18'!AO14</f>
        <v>14351.422609142863</v>
      </c>
      <c r="D16" s="172">
        <f t="shared" si="0"/>
        <v>2.2820507387725373E-2</v>
      </c>
      <c r="E16" s="172">
        <f t="shared" si="5"/>
        <v>0.86336403534846184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'Юнит 18'!U28</f>
        <v>32</v>
      </c>
      <c r="K16" s="172">
        <f t="shared" si="2"/>
        <v>2.0075282308657464E-2</v>
      </c>
      <c r="L16" s="172">
        <f t="shared" si="6"/>
        <v>0.83626097867001259</v>
      </c>
      <c r="M16" s="173" t="str">
        <f t="shared" si="4"/>
        <v>B</v>
      </c>
    </row>
    <row r="17" spans="2:13" ht="15" outlineLevel="1" thickBot="1">
      <c r="B17" s="182" t="s">
        <v>147</v>
      </c>
      <c r="C17" s="171">
        <f>'Юнит 18'!AO28</f>
        <v>13580.877793482141</v>
      </c>
      <c r="D17" s="172">
        <f t="shared" si="0"/>
        <v>2.1595247416135058E-2</v>
      </c>
      <c r="E17" s="172">
        <f t="shared" si="5"/>
        <v>0.8849592827645969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18'!U14</f>
        <v>30</v>
      </c>
      <c r="K17" s="172">
        <f t="shared" si="2"/>
        <v>1.8820577164366373E-2</v>
      </c>
      <c r="L17" s="172">
        <f t="shared" si="6"/>
        <v>0.85508155583437895</v>
      </c>
      <c r="M17" s="173" t="str">
        <f t="shared" si="4"/>
        <v>B</v>
      </c>
    </row>
    <row r="18" spans="2:13" ht="26.5" outlineLevel="1" thickBot="1">
      <c r="B18" s="182" t="s">
        <v>338</v>
      </c>
      <c r="C18" s="171">
        <f>'Юнит 18'!AO104</f>
        <v>13222.112250883922</v>
      </c>
      <c r="D18" s="172">
        <f t="shared" si="0"/>
        <v>2.1024766569859365E-2</v>
      </c>
      <c r="E18" s="172">
        <f t="shared" si="5"/>
        <v>0.90598404933445631</v>
      </c>
      <c r="F18" s="173" t="str">
        <f t="shared" si="3"/>
        <v>B</v>
      </c>
      <c r="G18" s="173" t="str">
        <f t="shared" si="1"/>
        <v>C</v>
      </c>
      <c r="I18" s="182" t="s">
        <v>167</v>
      </c>
      <c r="J18" s="171">
        <f>'Юнит 18'!U48</f>
        <v>24</v>
      </c>
      <c r="K18" s="172">
        <f t="shared" si="2"/>
        <v>1.5056461731493099E-2</v>
      </c>
      <c r="L18" s="172">
        <f t="shared" si="6"/>
        <v>0.87013801756587206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18'!AO50</f>
        <v>10238.419675883928</v>
      </c>
      <c r="D19" s="172">
        <f t="shared" si="0"/>
        <v>1.6280332494932815E-2</v>
      </c>
      <c r="E19" s="172">
        <f t="shared" si="5"/>
        <v>0.92226438182938908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'Юнит 18'!U50</f>
        <v>24</v>
      </c>
      <c r="K19" s="172">
        <f t="shared" si="2"/>
        <v>1.5056461731493099E-2</v>
      </c>
      <c r="L19" s="172">
        <f t="shared" si="6"/>
        <v>0.88519447929736517</v>
      </c>
      <c r="M19" s="173" t="str">
        <f t="shared" si="4"/>
        <v>B</v>
      </c>
    </row>
    <row r="20" spans="2:13" ht="15" outlineLevel="1" thickBot="1">
      <c r="B20" s="182" t="s">
        <v>167</v>
      </c>
      <c r="C20" s="171">
        <f>'Юнит 18'!AO48</f>
        <v>8940.059173330359</v>
      </c>
      <c r="D20" s="172">
        <f t="shared" si="0"/>
        <v>1.4215781387533981E-2</v>
      </c>
      <c r="E20" s="172">
        <f t="shared" si="5"/>
        <v>0.93648016321692307</v>
      </c>
      <c r="F20" s="173" t="str">
        <f t="shared" si="3"/>
        <v>B</v>
      </c>
      <c r="G20" s="173" t="str">
        <f t="shared" si="1"/>
        <v>B</v>
      </c>
      <c r="I20" s="182" t="s">
        <v>164</v>
      </c>
      <c r="J20" s="171">
        <f>'Юнит 18'!U45</f>
        <v>23</v>
      </c>
      <c r="K20" s="172">
        <f t="shared" si="2"/>
        <v>1.4429109159347553E-2</v>
      </c>
      <c r="L20" s="172">
        <f t="shared" si="6"/>
        <v>0.89962358845671275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18'!AO17</f>
        <v>7982.9514282053551</v>
      </c>
      <c r="D21" s="172">
        <f t="shared" si="0"/>
        <v>1.2693863668062766E-2</v>
      </c>
      <c r="E21" s="172">
        <f t="shared" si="5"/>
        <v>0.94917402688498587</v>
      </c>
      <c r="F21" s="173" t="str">
        <f t="shared" si="3"/>
        <v>B</v>
      </c>
      <c r="G21" s="173" t="str">
        <f t="shared" si="1"/>
        <v>B</v>
      </c>
      <c r="I21" s="182" t="s">
        <v>168</v>
      </c>
      <c r="J21" s="171">
        <f>'Юнит 18'!U49</f>
        <v>23</v>
      </c>
      <c r="K21" s="172">
        <f t="shared" si="2"/>
        <v>1.4429109159347553E-2</v>
      </c>
      <c r="L21" s="172">
        <f t="shared" si="6"/>
        <v>0.91405269761606034</v>
      </c>
      <c r="M21" s="173" t="str">
        <f t="shared" si="4"/>
        <v>B</v>
      </c>
    </row>
    <row r="22" spans="2:13" ht="26.5" outlineLevel="1" thickBot="1">
      <c r="B22" s="182" t="s">
        <v>164</v>
      </c>
      <c r="C22" s="171">
        <f>'Юнит 18'!AO45</f>
        <v>7037.374683330353</v>
      </c>
      <c r="D22" s="172">
        <f t="shared" si="0"/>
        <v>1.1190281641404709E-2</v>
      </c>
      <c r="E22" s="172">
        <f t="shared" si="5"/>
        <v>0.96036430852639054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18'!U17</f>
        <v>20</v>
      </c>
      <c r="K22" s="172">
        <f t="shared" si="2"/>
        <v>1.2547051442910916E-2</v>
      </c>
      <c r="L22" s="172">
        <f t="shared" si="6"/>
        <v>0.92659974905897124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18'!AO18</f>
        <v>7034.7278765625033</v>
      </c>
      <c r="D23" s="172">
        <f t="shared" si="0"/>
        <v>1.1186072896735653E-2</v>
      </c>
      <c r="E23" s="172">
        <f t="shared" si="5"/>
        <v>0.97155038142312622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18'!U8</f>
        <v>17</v>
      </c>
      <c r="K23" s="172">
        <f t="shared" si="2"/>
        <v>1.0664993726474279E-2</v>
      </c>
      <c r="L23" s="172">
        <f t="shared" si="6"/>
        <v>0.93726474278544547</v>
      </c>
      <c r="M23" s="173" t="str">
        <f t="shared" si="4"/>
        <v>B</v>
      </c>
    </row>
    <row r="24" spans="2:13" ht="26.5" outlineLevel="1" thickBot="1">
      <c r="B24" s="182" t="s">
        <v>127</v>
      </c>
      <c r="C24" s="171">
        <f>'Юнит 18'!AO8</f>
        <v>6600.7761874999987</v>
      </c>
      <c r="D24" s="172">
        <f t="shared" si="0"/>
        <v>1.0496036933342178E-2</v>
      </c>
      <c r="E24" s="172">
        <f t="shared" si="5"/>
        <v>0.98204641835646844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18'!U18</f>
        <v>17</v>
      </c>
      <c r="K24" s="172">
        <f t="shared" si="2"/>
        <v>1.0664993726474279E-2</v>
      </c>
      <c r="L24" s="172">
        <f t="shared" si="6"/>
        <v>0.9479297365119197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18'!AO44</f>
        <v>5771.7293839285712</v>
      </c>
      <c r="D25" s="172">
        <f t="shared" si="0"/>
        <v>9.1777516858839239E-3</v>
      </c>
      <c r="E25" s="172">
        <f t="shared" si="5"/>
        <v>0.99122417004235241</v>
      </c>
      <c r="F25" s="173" t="str">
        <f t="shared" si="3"/>
        <v>C</v>
      </c>
      <c r="G25" s="173" t="str">
        <f t="shared" si="1"/>
        <v>C</v>
      </c>
      <c r="I25" s="182" t="s">
        <v>338</v>
      </c>
      <c r="J25" s="171">
        <f>'Юнит 18'!U104</f>
        <v>15</v>
      </c>
      <c r="K25" s="172">
        <f t="shared" si="2"/>
        <v>9.4102885821831864E-3</v>
      </c>
      <c r="L25" s="172">
        <f t="shared" si="6"/>
        <v>0.95734002509410288</v>
      </c>
      <c r="M25" s="173" t="str">
        <f t="shared" si="4"/>
        <v>C</v>
      </c>
    </row>
    <row r="26" spans="2:13" ht="15" outlineLevel="1" thickBot="1">
      <c r="B26" s="182" t="s">
        <v>168</v>
      </c>
      <c r="C26" s="171">
        <f>'Юнит 18'!AO49</f>
        <v>4321.8178282678509</v>
      </c>
      <c r="D26" s="172">
        <f t="shared" si="0"/>
        <v>6.8722159722032017E-3</v>
      </c>
      <c r="E26" s="172">
        <f t="shared" si="5"/>
        <v>0.99809638601455564</v>
      </c>
      <c r="F26" s="173" t="str">
        <f t="shared" si="3"/>
        <v>C</v>
      </c>
      <c r="G26" s="173" t="str">
        <f t="shared" si="1"/>
        <v>B</v>
      </c>
      <c r="I26" s="182" t="s">
        <v>163</v>
      </c>
      <c r="J26" s="171">
        <f>'Юнит 18'!U44</f>
        <v>14</v>
      </c>
      <c r="K26" s="172">
        <f t="shared" si="2"/>
        <v>8.7829360100376407E-3</v>
      </c>
      <c r="L26" s="172">
        <f t="shared" si="6"/>
        <v>0.96612296110414053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18'!AO47</f>
        <v>2726.0368700892868</v>
      </c>
      <c r="D27" s="172">
        <f t="shared" si="0"/>
        <v>4.3347301676875212E-3</v>
      </c>
      <c r="E27" s="172">
        <f>E26+D27</f>
        <v>1.0024311161822432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18'!U47</f>
        <v>6</v>
      </c>
      <c r="K27" s="172">
        <f t="shared" si="2"/>
        <v>3.7641154328732747E-3</v>
      </c>
      <c r="L27" s="172">
        <f>L26+K27</f>
        <v>0.96988707653701378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18'!AO22</f>
        <v>2221.6381696428571</v>
      </c>
      <c r="D28" s="172">
        <f t="shared" si="0"/>
        <v>3.5326748883339784E-3</v>
      </c>
      <c r="E28" s="172">
        <f>E27+D28</f>
        <v>1.0059637910705772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18'!U22</f>
        <v>5</v>
      </c>
      <c r="K28" s="172">
        <f t="shared" si="2"/>
        <v>3.1367628607277291E-3</v>
      </c>
      <c r="L28" s="172">
        <f t="shared" si="6"/>
        <v>0.97302383939774151</v>
      </c>
      <c r="M28" s="173" t="str">
        <f t="shared" si="4"/>
        <v>C</v>
      </c>
    </row>
    <row r="29" spans="2:13" ht="15" outlineLevel="1" thickBot="1">
      <c r="B29" s="182" t="s">
        <v>145</v>
      </c>
      <c r="C29" s="171">
        <f>'Юнит 18'!AO26</f>
        <v>1735.3614328125004</v>
      </c>
      <c r="D29" s="172">
        <f t="shared" si="0"/>
        <v>2.7594357351474141E-3</v>
      </c>
      <c r="E29" s="172">
        <f t="shared" si="5"/>
        <v>1.0087232268057247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18'!U26</f>
        <v>5</v>
      </c>
      <c r="K29" s="172">
        <f t="shared" si="2"/>
        <v>3.1367628607277291E-3</v>
      </c>
      <c r="L29" s="172">
        <f t="shared" si="6"/>
        <v>0.97616060225846923</v>
      </c>
      <c r="M29" s="173" t="str">
        <f t="shared" si="4"/>
        <v>C</v>
      </c>
    </row>
    <row r="30" spans="2:13" ht="26.5" outlineLevel="1" thickBot="1">
      <c r="B30" s="182" t="s">
        <v>139</v>
      </c>
      <c r="C30" s="171">
        <f>'Юнит 18'!AO20</f>
        <v>1667.8520301339288</v>
      </c>
      <c r="D30" s="172">
        <f t="shared" si="0"/>
        <v>2.6520875743047531E-3</v>
      </c>
      <c r="E30" s="172">
        <f t="shared" si="5"/>
        <v>1.0113753143800295</v>
      </c>
      <c r="F30" s="173" t="str">
        <f t="shared" si="3"/>
        <v>C</v>
      </c>
      <c r="G30" s="173" t="str">
        <f t="shared" si="1"/>
        <v>C</v>
      </c>
      <c r="I30" s="182" t="s">
        <v>205</v>
      </c>
      <c r="J30" s="171">
        <f>'Юнит 18'!U86</f>
        <v>5</v>
      </c>
      <c r="K30" s="172">
        <f t="shared" si="2"/>
        <v>3.1367628607277291E-3</v>
      </c>
      <c r="L30" s="172">
        <f t="shared" si="6"/>
        <v>0.97929736511919696</v>
      </c>
      <c r="M30" s="173" t="str">
        <f t="shared" si="4"/>
        <v>C</v>
      </c>
    </row>
    <row r="31" spans="2:13" ht="15" outlineLevel="1" thickBot="1">
      <c r="B31" s="182" t="s">
        <v>140</v>
      </c>
      <c r="C31" s="171">
        <f>'Юнит 18'!AO21</f>
        <v>1064.5807169642858</v>
      </c>
      <c r="D31" s="172">
        <f t="shared" si="0"/>
        <v>1.6928128157020687E-3</v>
      </c>
      <c r="E31" s="172">
        <f t="shared" si="5"/>
        <v>1.0130681271957316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18'!U20</f>
        <v>4</v>
      </c>
      <c r="K31" s="172">
        <f t="shared" si="2"/>
        <v>2.509410288582183E-3</v>
      </c>
      <c r="L31" s="172">
        <f t="shared" si="6"/>
        <v>0.98180677540777916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18'!AO54</f>
        <v>773.72424553571409</v>
      </c>
      <c r="D32" s="172">
        <f t="shared" si="0"/>
        <v>1.2303156517780613E-3</v>
      </c>
      <c r="E32" s="172">
        <f t="shared" si="5"/>
        <v>1.0142984428475097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18'!U21</f>
        <v>3</v>
      </c>
      <c r="K32" s="172">
        <f t="shared" si="2"/>
        <v>1.8820577164366374E-3</v>
      </c>
      <c r="L32" s="172">
        <f t="shared" si="6"/>
        <v>0.98368883312421584</v>
      </c>
      <c r="M32" s="173" t="str">
        <f t="shared" si="4"/>
        <v>C</v>
      </c>
    </row>
    <row r="33" spans="2:13" ht="26.5" outlineLevel="1" thickBot="1">
      <c r="B33" s="182" t="s">
        <v>206</v>
      </c>
      <c r="C33" s="171">
        <f>'Юнит 18'!AO87</f>
        <v>584.3419642767858</v>
      </c>
      <c r="D33" s="172">
        <f t="shared" si="0"/>
        <v>9.2917479165034343E-4</v>
      </c>
      <c r="E33" s="172">
        <f t="shared" si="5"/>
        <v>1.0152276176391601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'Юнит 18'!U79</f>
        <v>3</v>
      </c>
      <c r="K33" s="172">
        <f t="shared" si="2"/>
        <v>1.8820577164366374E-3</v>
      </c>
      <c r="L33" s="172">
        <f t="shared" si="6"/>
        <v>0.98557089084065252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18'!AO102</f>
        <v>581.71422410714331</v>
      </c>
      <c r="D34" s="172">
        <f t="shared" si="0"/>
        <v>9.2499636519134231E-4</v>
      </c>
      <c r="E34" s="172">
        <f t="shared" si="5"/>
        <v>1.0161526140043515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18'!U52</f>
        <v>2</v>
      </c>
      <c r="K34" s="172">
        <f t="shared" si="2"/>
        <v>1.2547051442910915E-3</v>
      </c>
      <c r="L34" s="172">
        <f t="shared" si="6"/>
        <v>0.98682559598494357</v>
      </c>
      <c r="M34" s="173" t="str">
        <f t="shared" si="4"/>
        <v>C</v>
      </c>
    </row>
    <row r="35" spans="2:13" ht="15" outlineLevel="1" thickBot="1">
      <c r="B35" s="182" t="s">
        <v>161</v>
      </c>
      <c r="C35" s="171">
        <f>'Юнит 18'!AO42</f>
        <v>396.50821919642868</v>
      </c>
      <c r="D35" s="172">
        <f t="shared" si="0"/>
        <v>6.3049629238159227E-4</v>
      </c>
      <c r="E35" s="172">
        <f t="shared" si="5"/>
        <v>1.0167831102967331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18'!U54</f>
        <v>2</v>
      </c>
      <c r="K35" s="172">
        <f t="shared" si="2"/>
        <v>1.2547051442910915E-3</v>
      </c>
      <c r="L35" s="172">
        <f t="shared" si="6"/>
        <v>0.98808030112923462</v>
      </c>
      <c r="M35" s="173" t="str">
        <f t="shared" si="4"/>
        <v>C</v>
      </c>
    </row>
    <row r="36" spans="2:13" ht="15" outlineLevel="1" thickBot="1">
      <c r="B36" s="182" t="s">
        <v>150</v>
      </c>
      <c r="C36" s="171">
        <f>'Юнит 18'!AO31</f>
        <v>313.14</v>
      </c>
      <c r="D36" s="172">
        <f t="shared" si="0"/>
        <v>4.9793068450508949E-4</v>
      </c>
      <c r="E36" s="172">
        <f t="shared" si="5"/>
        <v>1.0172810409812381</v>
      </c>
      <c r="F36" s="173" t="str">
        <f t="shared" si="3"/>
        <v>C</v>
      </c>
      <c r="G36" s="173" t="str">
        <f t="shared" si="1"/>
        <v>C</v>
      </c>
      <c r="I36" s="182" t="s">
        <v>177</v>
      </c>
      <c r="J36" s="171">
        <f>'Юнит 18'!U58</f>
        <v>2</v>
      </c>
      <c r="K36" s="172">
        <f t="shared" si="2"/>
        <v>1.2547051442910915E-3</v>
      </c>
      <c r="L36" s="172">
        <f t="shared" si="6"/>
        <v>0.98933500627352566</v>
      </c>
      <c r="M36" s="173" t="str">
        <f t="shared" si="4"/>
        <v>C</v>
      </c>
    </row>
    <row r="37" spans="2:13" ht="26.5" outlineLevel="1" thickBot="1">
      <c r="B37" s="182" t="s">
        <v>199</v>
      </c>
      <c r="C37" s="171">
        <f>'Юнит 18'!AO80</f>
        <v>257.65955870535731</v>
      </c>
      <c r="D37" s="172">
        <f t="shared" si="0"/>
        <v>4.0971003524122712E-4</v>
      </c>
      <c r="E37" s="172">
        <f t="shared" si="5"/>
        <v>1.0176907510164792</v>
      </c>
      <c r="F37" s="173" t="str">
        <f t="shared" si="3"/>
        <v>C</v>
      </c>
      <c r="G37" s="173" t="str">
        <f t="shared" si="1"/>
        <v>C</v>
      </c>
      <c r="I37" s="182" t="s">
        <v>199</v>
      </c>
      <c r="J37" s="171">
        <f>'Юнит 18'!U80</f>
        <v>2</v>
      </c>
      <c r="K37" s="172">
        <f t="shared" si="2"/>
        <v>1.2547051442910915E-3</v>
      </c>
      <c r="L37" s="172">
        <f t="shared" si="6"/>
        <v>0.99058971141781671</v>
      </c>
      <c r="M37" s="173" t="str">
        <f t="shared" si="4"/>
        <v>C</v>
      </c>
    </row>
    <row r="38" spans="2:13" ht="26.5" outlineLevel="1" thickBot="1">
      <c r="B38" s="182" t="s">
        <v>257</v>
      </c>
      <c r="C38" s="171">
        <f>'Юнит 18'!AO100</f>
        <v>250.31640602678553</v>
      </c>
      <c r="D38" s="172">
        <f t="shared" si="0"/>
        <v>3.9803352939826031E-4</v>
      </c>
      <c r="E38" s="172">
        <f t="shared" si="5"/>
        <v>1.0180887845458775</v>
      </c>
      <c r="F38" s="173" t="str">
        <f t="shared" si="3"/>
        <v>C</v>
      </c>
      <c r="G38" s="173" t="str">
        <f t="shared" si="1"/>
        <v>C</v>
      </c>
      <c r="I38" s="182" t="s">
        <v>206</v>
      </c>
      <c r="J38" s="171">
        <f>'Юнит 18'!U87</f>
        <v>2</v>
      </c>
      <c r="K38" s="172">
        <f t="shared" si="2"/>
        <v>1.2547051442910915E-3</v>
      </c>
      <c r="L38" s="172">
        <f t="shared" si="6"/>
        <v>0.99184441656210776</v>
      </c>
      <c r="M38" s="173" t="str">
        <f t="shared" si="4"/>
        <v>C</v>
      </c>
    </row>
    <row r="39" spans="2:13" ht="15" outlineLevel="1" thickBot="1">
      <c r="B39" s="182" t="s">
        <v>217</v>
      </c>
      <c r="C39" s="171">
        <f>'Юнит 18'!AO98</f>
        <v>78.68557366071434</v>
      </c>
      <c r="D39" s="172">
        <f t="shared" si="0"/>
        <v>1.2511963196511189E-4</v>
      </c>
      <c r="E39" s="172">
        <f>E35+D39</f>
        <v>1.0169082299286982</v>
      </c>
      <c r="F39" s="173" t="str">
        <f t="shared" si="3"/>
        <v>C</v>
      </c>
      <c r="G39" s="173" t="str">
        <f t="shared" si="1"/>
        <v>C</v>
      </c>
      <c r="I39" s="182" t="s">
        <v>259</v>
      </c>
      <c r="J39" s="171">
        <f>'Юнит 18'!U102</f>
        <v>2</v>
      </c>
      <c r="K39" s="172">
        <f t="shared" si="2"/>
        <v>1.2547051442910915E-3</v>
      </c>
      <c r="L39" s="172">
        <f>L35+K39</f>
        <v>0.98933500627352566</v>
      </c>
      <c r="M39" s="173" t="str">
        <f t="shared" si="4"/>
        <v>C</v>
      </c>
    </row>
    <row r="40" spans="2:13" ht="26.5" outlineLevel="1" thickBot="1">
      <c r="B40" s="182" t="s">
        <v>204</v>
      </c>
      <c r="C40" s="171">
        <f>'Юнит 18'!AO85</f>
        <v>72.553030580357046</v>
      </c>
      <c r="D40" s="172">
        <f t="shared" si="0"/>
        <v>1.1536814261926256E-4</v>
      </c>
      <c r="E40" s="172">
        <f t="shared" si="5"/>
        <v>1.0170235980713176</v>
      </c>
      <c r="F40" s="173" t="str">
        <f t="shared" si="3"/>
        <v>C</v>
      </c>
      <c r="G40" s="173" t="str">
        <f t="shared" si="1"/>
        <v>C</v>
      </c>
      <c r="I40" s="182" t="s">
        <v>150</v>
      </c>
      <c r="J40" s="171">
        <f>'Юнит 18'!U31</f>
        <v>1</v>
      </c>
      <c r="K40" s="172">
        <f t="shared" si="2"/>
        <v>6.2735257214554575E-4</v>
      </c>
      <c r="L40" s="172">
        <f t="shared" si="6"/>
        <v>0.98996235884567119</v>
      </c>
      <c r="M40" s="173" t="str">
        <f t="shared" si="4"/>
        <v>C</v>
      </c>
    </row>
    <row r="41" spans="2:13" ht="26.5" outlineLevel="1" thickBot="1">
      <c r="B41" s="182" t="s">
        <v>138</v>
      </c>
      <c r="C41" s="171">
        <f>'Юнит 18'!AO19</f>
        <v>0</v>
      </c>
      <c r="D41" s="172">
        <f t="shared" si="0"/>
        <v>0</v>
      </c>
      <c r="E41" s="172">
        <f t="shared" si="5"/>
        <v>1.0170235980713176</v>
      </c>
      <c r="F41" s="173" t="str">
        <f t="shared" si="3"/>
        <v>C</v>
      </c>
      <c r="G41" s="173" t="str">
        <f t="shared" si="1"/>
        <v>C</v>
      </c>
      <c r="I41" s="182" t="s">
        <v>152</v>
      </c>
      <c r="J41" s="171">
        <f>'Юнит 18'!U33</f>
        <v>1</v>
      </c>
      <c r="K41" s="172">
        <f t="shared" si="2"/>
        <v>6.2735257214554575E-4</v>
      </c>
      <c r="L41" s="172">
        <f t="shared" si="6"/>
        <v>0.99058971141781671</v>
      </c>
      <c r="M41" s="173" t="str">
        <f t="shared" si="4"/>
        <v>C</v>
      </c>
    </row>
    <row r="42" spans="2:13" ht="15" outlineLevel="1" thickBot="1">
      <c r="B42" s="182" t="s">
        <v>142</v>
      </c>
      <c r="C42" s="171">
        <f>'Юнит 18'!AO23</f>
        <v>0</v>
      </c>
      <c r="D42" s="172">
        <f t="shared" si="0"/>
        <v>0</v>
      </c>
      <c r="E42" s="172">
        <f t="shared" si="5"/>
        <v>1.0170235980713176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18'!U42</f>
        <v>1</v>
      </c>
      <c r="K42" s="172">
        <f t="shared" si="2"/>
        <v>6.2735257214554575E-4</v>
      </c>
      <c r="L42" s="172">
        <f t="shared" si="6"/>
        <v>0.99121706398996223</v>
      </c>
      <c r="M42" s="173" t="str">
        <f t="shared" si="4"/>
        <v>C</v>
      </c>
    </row>
    <row r="43" spans="2:13" ht="15" outlineLevel="1" thickBot="1">
      <c r="B43" s="182" t="s">
        <v>144</v>
      </c>
      <c r="C43" s="171">
        <f>'Юнит 18'!AO25</f>
        <v>0</v>
      </c>
      <c r="D43" s="172">
        <f t="shared" si="0"/>
        <v>0</v>
      </c>
      <c r="E43" s="172">
        <f t="shared" si="5"/>
        <v>1.0170235980713176</v>
      </c>
      <c r="F43" s="173" t="str">
        <f t="shared" si="3"/>
        <v>C</v>
      </c>
      <c r="G43" s="173" t="str">
        <f t="shared" si="1"/>
        <v>C</v>
      </c>
      <c r="I43" s="182" t="s">
        <v>194</v>
      </c>
      <c r="J43" s="171">
        <f>'Юнит 18'!U75</f>
        <v>1</v>
      </c>
      <c r="K43" s="172">
        <f t="shared" si="2"/>
        <v>6.2735257214554575E-4</v>
      </c>
      <c r="L43" s="172">
        <f t="shared" si="6"/>
        <v>0.99184441656210776</v>
      </c>
      <c r="M43" s="173" t="str">
        <f t="shared" si="4"/>
        <v>C</v>
      </c>
    </row>
    <row r="44" spans="2:13" ht="15" outlineLevel="1" thickBot="1">
      <c r="B44" s="182" t="s">
        <v>148</v>
      </c>
      <c r="C44" s="171">
        <f>'Юнит 18'!AO29</f>
        <v>0</v>
      </c>
      <c r="D44" s="172">
        <f t="shared" si="0"/>
        <v>0</v>
      </c>
      <c r="E44" s="172">
        <f t="shared" si="5"/>
        <v>1.0170235980713176</v>
      </c>
      <c r="F44" s="173" t="str">
        <f t="shared" si="3"/>
        <v>C</v>
      </c>
      <c r="G44" s="173" t="str">
        <f t="shared" si="1"/>
        <v>C</v>
      </c>
      <c r="I44" s="182" t="s">
        <v>195</v>
      </c>
      <c r="J44" s="171">
        <f>'Юнит 18'!U76</f>
        <v>1</v>
      </c>
      <c r="K44" s="172">
        <f t="shared" si="2"/>
        <v>6.2735257214554575E-4</v>
      </c>
      <c r="L44" s="172">
        <f t="shared" si="6"/>
        <v>0.99247176913425328</v>
      </c>
      <c r="M44" s="173" t="str">
        <f t="shared" si="4"/>
        <v>C</v>
      </c>
    </row>
    <row r="45" spans="2:13" ht="26.5" outlineLevel="1" thickBot="1">
      <c r="B45" s="182" t="s">
        <v>149</v>
      </c>
      <c r="C45" s="171">
        <f>'Юнит 18'!AO30</f>
        <v>0</v>
      </c>
      <c r="D45" s="172">
        <f t="shared" si="0"/>
        <v>0</v>
      </c>
      <c r="E45" s="172">
        <f t="shared" si="5"/>
        <v>1.0170235980713176</v>
      </c>
      <c r="F45" s="173" t="str">
        <f t="shared" si="3"/>
        <v>C</v>
      </c>
      <c r="G45" s="173" t="str">
        <f t="shared" si="1"/>
        <v>C</v>
      </c>
      <c r="I45" s="182" t="s">
        <v>201</v>
      </c>
      <c r="J45" s="171">
        <f>'Юнит 18'!U82</f>
        <v>1</v>
      </c>
      <c r="K45" s="172">
        <f t="shared" si="2"/>
        <v>6.2735257214554575E-4</v>
      </c>
      <c r="L45" s="172">
        <f t="shared" si="6"/>
        <v>0.9930991217063988</v>
      </c>
      <c r="M45" s="173" t="str">
        <f t="shared" si="4"/>
        <v>C</v>
      </c>
    </row>
    <row r="46" spans="2:13" ht="26.5" outlineLevel="1" thickBot="1">
      <c r="B46" s="182" t="s">
        <v>151</v>
      </c>
      <c r="C46" s="171">
        <f>'Юнит 18'!AO32</f>
        <v>0</v>
      </c>
      <c r="D46" s="172">
        <f t="shared" si="0"/>
        <v>0</v>
      </c>
      <c r="E46" s="172">
        <f t="shared" si="5"/>
        <v>1.0170235980713176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'Юнит 18'!U85</f>
        <v>1</v>
      </c>
      <c r="K46" s="172">
        <f t="shared" si="2"/>
        <v>6.2735257214554575E-4</v>
      </c>
      <c r="L46" s="172">
        <f t="shared" si="6"/>
        <v>0.99372647427854433</v>
      </c>
      <c r="M46" s="173" t="str">
        <f t="shared" si="4"/>
        <v>C</v>
      </c>
    </row>
    <row r="47" spans="2:13" ht="15" outlineLevel="1" thickBot="1">
      <c r="B47" s="182" t="s">
        <v>153</v>
      </c>
      <c r="C47" s="171">
        <f>'Юнит 18'!AO34</f>
        <v>0</v>
      </c>
      <c r="D47" s="172">
        <f t="shared" si="0"/>
        <v>0</v>
      </c>
      <c r="E47" s="172">
        <f t="shared" si="5"/>
        <v>1.0170235980713176</v>
      </c>
      <c r="F47" s="173" t="str">
        <f t="shared" si="3"/>
        <v>C</v>
      </c>
      <c r="G47" s="173" t="str">
        <f t="shared" si="1"/>
        <v>C</v>
      </c>
      <c r="I47" s="182" t="s">
        <v>210</v>
      </c>
      <c r="J47" s="171">
        <f>'Юнит 18'!U91</f>
        <v>1</v>
      </c>
      <c r="K47" s="172">
        <f t="shared" si="2"/>
        <v>6.2735257214554575E-4</v>
      </c>
      <c r="L47" s="172">
        <f t="shared" si="6"/>
        <v>0.99435382685068985</v>
      </c>
      <c r="M47" s="173" t="str">
        <f t="shared" si="4"/>
        <v>C</v>
      </c>
    </row>
    <row r="48" spans="2:13" ht="15" outlineLevel="1" thickBot="1">
      <c r="B48" s="182" t="s">
        <v>154</v>
      </c>
      <c r="C48" s="171">
        <f>'Юнит 18'!AO35</f>
        <v>0</v>
      </c>
      <c r="D48" s="172">
        <f t="shared" si="0"/>
        <v>0</v>
      </c>
      <c r="E48" s="172">
        <f t="shared" si="5"/>
        <v>1.0170235980713176</v>
      </c>
      <c r="F48" s="173" t="str">
        <f t="shared" si="3"/>
        <v>C</v>
      </c>
      <c r="G48" s="173" t="str">
        <f t="shared" si="1"/>
        <v>C</v>
      </c>
      <c r="I48" s="182" t="s">
        <v>211</v>
      </c>
      <c r="J48" s="171">
        <f>'Юнит 18'!U92</f>
        <v>1</v>
      </c>
      <c r="K48" s="172">
        <f t="shared" si="2"/>
        <v>6.2735257214554575E-4</v>
      </c>
      <c r="L48" s="172">
        <f t="shared" si="6"/>
        <v>0.99498117942283537</v>
      </c>
      <c r="M48" s="173" t="str">
        <f t="shared" si="4"/>
        <v>C</v>
      </c>
    </row>
    <row r="49" spans="2:13" ht="15" outlineLevel="1" thickBot="1">
      <c r="B49" s="182" t="s">
        <v>155</v>
      </c>
      <c r="C49" s="171">
        <f>'Юнит 18'!AO36</f>
        <v>0</v>
      </c>
      <c r="D49" s="172">
        <f t="shared" si="0"/>
        <v>0</v>
      </c>
      <c r="E49" s="172">
        <f t="shared" si="5"/>
        <v>1.0170235980713176</v>
      </c>
      <c r="F49" s="173" t="str">
        <f t="shared" si="3"/>
        <v>C</v>
      </c>
      <c r="G49" s="173" t="str">
        <f t="shared" si="1"/>
        <v>C</v>
      </c>
      <c r="I49" s="182" t="s">
        <v>217</v>
      </c>
      <c r="J49" s="171">
        <f>'Юнит 18'!U98</f>
        <v>1</v>
      </c>
      <c r="K49" s="172">
        <f t="shared" si="2"/>
        <v>6.2735257214554575E-4</v>
      </c>
      <c r="L49" s="172">
        <f t="shared" si="6"/>
        <v>0.99560853199498089</v>
      </c>
      <c r="M49" s="173" t="str">
        <f t="shared" si="4"/>
        <v>C</v>
      </c>
    </row>
    <row r="50" spans="2:13" ht="15" outlineLevel="1" thickBot="1">
      <c r="B50" s="182" t="s">
        <v>156</v>
      </c>
      <c r="C50" s="171">
        <f>'Юнит 18'!AO37</f>
        <v>0</v>
      </c>
      <c r="D50" s="172">
        <f t="shared" si="0"/>
        <v>0</v>
      </c>
      <c r="E50" s="172">
        <f t="shared" si="5"/>
        <v>1.0170235980713176</v>
      </c>
      <c r="F50" s="173" t="str">
        <f t="shared" si="3"/>
        <v>C</v>
      </c>
      <c r="G50" s="173" t="str">
        <f t="shared" si="1"/>
        <v>C</v>
      </c>
      <c r="I50" s="182" t="s">
        <v>257</v>
      </c>
      <c r="J50" s="171">
        <f>'Юнит 18'!U100</f>
        <v>1</v>
      </c>
      <c r="K50" s="172">
        <f t="shared" si="2"/>
        <v>6.2735257214554575E-4</v>
      </c>
      <c r="L50" s="172">
        <f t="shared" si="6"/>
        <v>0.99623588456712642</v>
      </c>
      <c r="M50" s="173" t="str">
        <f t="shared" si="4"/>
        <v>C</v>
      </c>
    </row>
    <row r="51" spans="2:13" ht="26.5" outlineLevel="1" thickBot="1">
      <c r="B51" s="182" t="s">
        <v>165</v>
      </c>
      <c r="C51" s="171">
        <f>'Юнит 18'!AO46</f>
        <v>0</v>
      </c>
      <c r="D51" s="172">
        <f t="shared" si="0"/>
        <v>0</v>
      </c>
      <c r="E51" s="172">
        <f t="shared" si="5"/>
        <v>1.0170235980713176</v>
      </c>
      <c r="F51" s="173" t="str">
        <f t="shared" si="3"/>
        <v>C</v>
      </c>
      <c r="G51" s="173" t="str">
        <f t="shared" si="1"/>
        <v>C</v>
      </c>
      <c r="I51" s="182" t="s">
        <v>138</v>
      </c>
      <c r="J51" s="171">
        <f>'Юнит 18'!U19</f>
        <v>0</v>
      </c>
      <c r="K51" s="172">
        <f t="shared" si="2"/>
        <v>0</v>
      </c>
      <c r="L51" s="172">
        <f t="shared" si="6"/>
        <v>0.99623588456712642</v>
      </c>
      <c r="M51" s="173" t="str">
        <f t="shared" si="4"/>
        <v>C</v>
      </c>
    </row>
    <row r="52" spans="2:13" ht="15" outlineLevel="1" thickBot="1">
      <c r="B52" s="182" t="s">
        <v>174</v>
      </c>
      <c r="C52" s="171">
        <f>'Юнит 18'!AO55</f>
        <v>0</v>
      </c>
      <c r="D52" s="172">
        <f t="shared" si="0"/>
        <v>0</v>
      </c>
      <c r="E52" s="172">
        <f t="shared" si="5"/>
        <v>1.0170235980713176</v>
      </c>
      <c r="F52" s="173" t="str">
        <f t="shared" si="3"/>
        <v>C</v>
      </c>
      <c r="G52" s="173" t="str">
        <f t="shared" si="1"/>
        <v>C</v>
      </c>
      <c r="I52" s="182" t="s">
        <v>142</v>
      </c>
      <c r="J52" s="171">
        <f>'Юнит 18'!U23</f>
        <v>0</v>
      </c>
      <c r="K52" s="172">
        <f t="shared" si="2"/>
        <v>0</v>
      </c>
      <c r="L52" s="172">
        <f t="shared" si="6"/>
        <v>0.99623588456712642</v>
      </c>
      <c r="M52" s="173" t="str">
        <f t="shared" si="4"/>
        <v>C</v>
      </c>
    </row>
    <row r="53" spans="2:13" ht="15" outlineLevel="1" thickBot="1">
      <c r="B53" s="182" t="s">
        <v>175</v>
      </c>
      <c r="C53" s="171">
        <f>'Юнит 18'!AO56</f>
        <v>0</v>
      </c>
      <c r="D53" s="172">
        <f t="shared" si="0"/>
        <v>0</v>
      </c>
      <c r="E53" s="172">
        <f t="shared" si="5"/>
        <v>1.0170235980713176</v>
      </c>
      <c r="F53" s="173" t="str">
        <f t="shared" si="3"/>
        <v>C</v>
      </c>
      <c r="G53" s="173" t="str">
        <f t="shared" si="1"/>
        <v>C</v>
      </c>
      <c r="I53" s="182" t="s">
        <v>143</v>
      </c>
      <c r="J53" s="171">
        <f>'Юнит 18'!U24</f>
        <v>0</v>
      </c>
      <c r="K53" s="172">
        <f t="shared" si="2"/>
        <v>0</v>
      </c>
      <c r="L53" s="172">
        <f t="shared" si="6"/>
        <v>0.99623588456712642</v>
      </c>
      <c r="M53" s="173" t="str">
        <f t="shared" si="4"/>
        <v>C</v>
      </c>
    </row>
    <row r="54" spans="2:13" ht="15" outlineLevel="1" thickBot="1">
      <c r="B54" s="182" t="s">
        <v>176</v>
      </c>
      <c r="C54" s="171">
        <f>'Юнит 18'!AO57</f>
        <v>0</v>
      </c>
      <c r="D54" s="172">
        <f t="shared" si="0"/>
        <v>0</v>
      </c>
      <c r="E54" s="172">
        <f t="shared" si="5"/>
        <v>1.0170235980713176</v>
      </c>
      <c r="F54" s="173" t="str">
        <f t="shared" si="3"/>
        <v>C</v>
      </c>
      <c r="G54" s="173" t="str">
        <f t="shared" si="1"/>
        <v>C</v>
      </c>
      <c r="I54" s="182" t="s">
        <v>144</v>
      </c>
      <c r="J54" s="171">
        <f>'Юнит 18'!U25</f>
        <v>0</v>
      </c>
      <c r="K54" s="172">
        <f t="shared" si="2"/>
        <v>0</v>
      </c>
      <c r="L54" s="172">
        <f t="shared" si="6"/>
        <v>0.99623588456712642</v>
      </c>
      <c r="M54" s="173" t="str">
        <f t="shared" si="4"/>
        <v>C</v>
      </c>
    </row>
    <row r="55" spans="2:13" ht="15" outlineLevel="1" thickBot="1">
      <c r="B55" s="182" t="s">
        <v>178</v>
      </c>
      <c r="C55" s="171">
        <f>'Юнит 18'!AO59</f>
        <v>0</v>
      </c>
      <c r="D55" s="172">
        <f t="shared" si="0"/>
        <v>0</v>
      </c>
      <c r="E55" s="172">
        <f t="shared" si="5"/>
        <v>1.0170235980713176</v>
      </c>
      <c r="F55" s="173" t="str">
        <f t="shared" si="3"/>
        <v>C</v>
      </c>
      <c r="G55" s="173" t="str">
        <f t="shared" si="1"/>
        <v>C</v>
      </c>
      <c r="I55" s="182" t="s">
        <v>146</v>
      </c>
      <c r="J55" s="171">
        <f>'Юнит 18'!U27</f>
        <v>0</v>
      </c>
      <c r="K55" s="172">
        <f t="shared" si="2"/>
        <v>0</v>
      </c>
      <c r="L55" s="172">
        <f t="shared" si="6"/>
        <v>0.99623588456712642</v>
      </c>
      <c r="M55" s="173" t="str">
        <f t="shared" si="4"/>
        <v>C</v>
      </c>
    </row>
    <row r="56" spans="2:13" ht="15" outlineLevel="1" thickBot="1">
      <c r="B56" s="182" t="s">
        <v>181</v>
      </c>
      <c r="C56" s="171">
        <f>'Юнит 18'!AO62</f>
        <v>0</v>
      </c>
      <c r="D56" s="172">
        <f t="shared" si="0"/>
        <v>0</v>
      </c>
      <c r="E56" s="172">
        <f t="shared" si="5"/>
        <v>1.0170235980713176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18'!U29</f>
        <v>0</v>
      </c>
      <c r="K56" s="172">
        <f t="shared" si="2"/>
        <v>0</v>
      </c>
      <c r="L56" s="172">
        <f t="shared" si="6"/>
        <v>0.99623588456712642</v>
      </c>
      <c r="M56" s="173" t="str">
        <f t="shared" si="4"/>
        <v>C</v>
      </c>
    </row>
    <row r="57" spans="2:13" ht="15" outlineLevel="1" thickBot="1">
      <c r="B57" s="182" t="s">
        <v>182</v>
      </c>
      <c r="C57" s="171">
        <f>'Юнит 18'!AO63</f>
        <v>0</v>
      </c>
      <c r="D57" s="172">
        <f t="shared" si="0"/>
        <v>0</v>
      </c>
      <c r="E57" s="172">
        <f t="shared" si="5"/>
        <v>1.0170235980713176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18'!U30</f>
        <v>0</v>
      </c>
      <c r="K57" s="172">
        <f t="shared" si="2"/>
        <v>0</v>
      </c>
      <c r="L57" s="172">
        <f t="shared" si="6"/>
        <v>0.99623588456712642</v>
      </c>
      <c r="M57" s="173" t="str">
        <f t="shared" si="4"/>
        <v>C</v>
      </c>
    </row>
    <row r="58" spans="2:13" ht="15" outlineLevel="1" thickBot="1">
      <c r="B58" s="182" t="s">
        <v>183</v>
      </c>
      <c r="C58" s="171">
        <f>'Юнит 18'!AO64</f>
        <v>0</v>
      </c>
      <c r="D58" s="172">
        <f t="shared" si="0"/>
        <v>0</v>
      </c>
      <c r="E58" s="172">
        <f t="shared" si="5"/>
        <v>1.0170235980713176</v>
      </c>
      <c r="F58" s="173" t="str">
        <f t="shared" si="3"/>
        <v>C</v>
      </c>
      <c r="G58" s="173" t="str">
        <f t="shared" si="1"/>
        <v>C</v>
      </c>
      <c r="I58" s="182" t="s">
        <v>151</v>
      </c>
      <c r="J58" s="171">
        <f>'Юнит 18'!U32</f>
        <v>0</v>
      </c>
      <c r="K58" s="172">
        <f t="shared" si="2"/>
        <v>0</v>
      </c>
      <c r="L58" s="172">
        <f t="shared" si="6"/>
        <v>0.99623588456712642</v>
      </c>
      <c r="M58" s="173" t="str">
        <f t="shared" si="4"/>
        <v>C</v>
      </c>
    </row>
    <row r="59" spans="2:13" ht="15" outlineLevel="1" thickBot="1">
      <c r="B59" s="182" t="s">
        <v>184</v>
      </c>
      <c r="C59" s="171">
        <f>'Юнит 18'!AO65</f>
        <v>0</v>
      </c>
      <c r="D59" s="172">
        <f t="shared" si="0"/>
        <v>0</v>
      </c>
      <c r="E59" s="172">
        <f t="shared" si="5"/>
        <v>1.0170235980713176</v>
      </c>
      <c r="F59" s="173" t="str">
        <f t="shared" si="3"/>
        <v>C</v>
      </c>
      <c r="G59" s="173" t="str">
        <f t="shared" si="1"/>
        <v>C</v>
      </c>
      <c r="I59" s="182" t="s">
        <v>153</v>
      </c>
      <c r="J59" s="171">
        <f>'Юнит 18'!U34</f>
        <v>0</v>
      </c>
      <c r="K59" s="172">
        <f t="shared" si="2"/>
        <v>0</v>
      </c>
      <c r="L59" s="172">
        <f t="shared" si="6"/>
        <v>0.99623588456712642</v>
      </c>
      <c r="M59" s="173" t="str">
        <f t="shared" si="4"/>
        <v>C</v>
      </c>
    </row>
    <row r="60" spans="2:13" ht="15" outlineLevel="1" thickBot="1">
      <c r="B60" s="182" t="s">
        <v>186</v>
      </c>
      <c r="C60" s="171">
        <f>'Юнит 18'!AO67</f>
        <v>0</v>
      </c>
      <c r="D60" s="172">
        <f t="shared" si="0"/>
        <v>0</v>
      </c>
      <c r="E60" s="172">
        <f t="shared" si="5"/>
        <v>1.0170235980713176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18'!U35</f>
        <v>0</v>
      </c>
      <c r="K60" s="172">
        <f t="shared" si="2"/>
        <v>0</v>
      </c>
      <c r="L60" s="172">
        <f t="shared" si="6"/>
        <v>0.99623588456712642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18'!AO68</f>
        <v>0</v>
      </c>
      <c r="D61" s="172">
        <f t="shared" si="0"/>
        <v>0</v>
      </c>
      <c r="E61" s="172">
        <f t="shared" si="5"/>
        <v>1.0170235980713176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18'!U36</f>
        <v>0</v>
      </c>
      <c r="K61" s="172">
        <f t="shared" si="2"/>
        <v>0</v>
      </c>
      <c r="L61" s="172">
        <f t="shared" si="6"/>
        <v>0.99623588456712642</v>
      </c>
      <c r="M61" s="173" t="str">
        <f t="shared" si="4"/>
        <v>C</v>
      </c>
    </row>
    <row r="62" spans="2:13" ht="15" outlineLevel="1" thickBot="1">
      <c r="B62" s="182" t="s">
        <v>189</v>
      </c>
      <c r="C62" s="171">
        <f>'Юнит 18'!AO70</f>
        <v>0</v>
      </c>
      <c r="D62" s="172">
        <f t="shared" si="0"/>
        <v>0</v>
      </c>
      <c r="E62" s="172">
        <f t="shared" si="5"/>
        <v>1.0170235980713176</v>
      </c>
      <c r="F62" s="173" t="str">
        <f t="shared" si="3"/>
        <v>C</v>
      </c>
      <c r="G62" s="173" t="str">
        <f t="shared" si="1"/>
        <v>C</v>
      </c>
      <c r="I62" s="182" t="s">
        <v>156</v>
      </c>
      <c r="J62" s="171">
        <f>'Юнит 18'!U37</f>
        <v>0</v>
      </c>
      <c r="K62" s="172">
        <f t="shared" si="2"/>
        <v>0</v>
      </c>
      <c r="L62" s="172">
        <f t="shared" si="6"/>
        <v>0.99623588456712642</v>
      </c>
      <c r="M62" s="173" t="str">
        <f t="shared" si="4"/>
        <v>C</v>
      </c>
    </row>
    <row r="63" spans="2:13" ht="15" outlineLevel="1" thickBot="1">
      <c r="B63" s="182" t="s">
        <v>190</v>
      </c>
      <c r="C63" s="171">
        <f>'Юнит 18'!AO71</f>
        <v>0</v>
      </c>
      <c r="D63" s="172">
        <f t="shared" si="0"/>
        <v>0</v>
      </c>
      <c r="E63" s="172">
        <f t="shared" si="5"/>
        <v>1.0170235980713176</v>
      </c>
      <c r="F63" s="173" t="str">
        <f t="shared" si="3"/>
        <v>C</v>
      </c>
      <c r="G63" s="173" t="str">
        <f t="shared" si="1"/>
        <v>C</v>
      </c>
      <c r="I63" s="182" t="s">
        <v>157</v>
      </c>
      <c r="J63" s="171">
        <f>'Юнит 18'!U38</f>
        <v>0</v>
      </c>
      <c r="K63" s="172">
        <f t="shared" si="2"/>
        <v>0</v>
      </c>
      <c r="L63" s="172">
        <f t="shared" si="6"/>
        <v>0.99623588456712642</v>
      </c>
      <c r="M63" s="173" t="str">
        <f t="shared" si="4"/>
        <v>C</v>
      </c>
    </row>
    <row r="64" spans="2:13" ht="15" outlineLevel="1" thickBot="1">
      <c r="B64" s="182" t="s">
        <v>191</v>
      </c>
      <c r="C64" s="171">
        <f>'Юнит 18'!AO72</f>
        <v>0</v>
      </c>
      <c r="D64" s="172">
        <f t="shared" si="0"/>
        <v>0</v>
      </c>
      <c r="E64" s="172">
        <f t="shared" si="5"/>
        <v>1.0170235980713176</v>
      </c>
      <c r="F64" s="173" t="str">
        <f t="shared" si="3"/>
        <v>C</v>
      </c>
      <c r="G64" s="173" t="str">
        <f t="shared" si="1"/>
        <v>C</v>
      </c>
      <c r="I64" s="182" t="s">
        <v>158</v>
      </c>
      <c r="J64" s="171">
        <f>'Юнит 18'!U39</f>
        <v>0</v>
      </c>
      <c r="K64" s="172">
        <f t="shared" si="2"/>
        <v>0</v>
      </c>
      <c r="L64" s="172">
        <f t="shared" si="6"/>
        <v>0.99623588456712642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18'!AO94</f>
        <v>0</v>
      </c>
      <c r="D65" s="172">
        <f t="shared" si="0"/>
        <v>0</v>
      </c>
      <c r="E65" s="172">
        <f t="shared" si="5"/>
        <v>1.0170235980713176</v>
      </c>
      <c r="F65" s="173" t="str">
        <f t="shared" si="3"/>
        <v>C</v>
      </c>
      <c r="G65" s="173" t="str">
        <f t="shared" si="1"/>
        <v>C</v>
      </c>
      <c r="I65" s="182" t="s">
        <v>159</v>
      </c>
      <c r="J65" s="171">
        <f>'Юнит 18'!U40</f>
        <v>0</v>
      </c>
      <c r="K65" s="172">
        <f t="shared" si="2"/>
        <v>0</v>
      </c>
      <c r="L65" s="172">
        <f t="shared" si="6"/>
        <v>0.99623588456712642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18'!AO95</f>
        <v>0</v>
      </c>
      <c r="D66" s="172">
        <f t="shared" si="0"/>
        <v>0</v>
      </c>
      <c r="E66" s="172">
        <f t="shared" si="5"/>
        <v>1.0170235980713176</v>
      </c>
      <c r="F66" s="173" t="str">
        <f t="shared" si="3"/>
        <v>C</v>
      </c>
      <c r="G66" s="173" t="str">
        <f t="shared" si="1"/>
        <v>C</v>
      </c>
      <c r="I66" s="182" t="s">
        <v>160</v>
      </c>
      <c r="J66" s="171">
        <f>'Юнит 18'!U41</f>
        <v>0</v>
      </c>
      <c r="K66" s="172">
        <f t="shared" si="2"/>
        <v>0</v>
      </c>
      <c r="L66" s="172">
        <f t="shared" si="6"/>
        <v>0.99623588456712642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18'!AO96</f>
        <v>0</v>
      </c>
      <c r="D67" s="172">
        <f t="shared" si="0"/>
        <v>0</v>
      </c>
      <c r="E67" s="172">
        <f t="shared" si="5"/>
        <v>1.0170235980713176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18'!U43</f>
        <v>0</v>
      </c>
      <c r="K67" s="172">
        <f t="shared" si="2"/>
        <v>0</v>
      </c>
      <c r="L67" s="172">
        <f t="shared" si="6"/>
        <v>0.99623588456712642</v>
      </c>
      <c r="M67" s="173" t="str">
        <f t="shared" si="4"/>
        <v>C</v>
      </c>
    </row>
    <row r="68" spans="2:13" ht="26.5" outlineLevel="1" thickBot="1">
      <c r="B68" s="182" t="s">
        <v>256</v>
      </c>
      <c r="C68" s="171">
        <f>'Юнит 18'!AO99</f>
        <v>0</v>
      </c>
      <c r="D68" s="172">
        <f t="shared" ref="D68:D105" si="7">C68/C$106</f>
        <v>0</v>
      </c>
      <c r="E68" s="172">
        <f t="shared" si="5"/>
        <v>1.0170235980713176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165</v>
      </c>
      <c r="J68" s="171">
        <f>'Юнит 18'!U46</f>
        <v>0</v>
      </c>
      <c r="K68" s="172">
        <f t="shared" ref="K68:K105" si="9">J68/J$106</f>
        <v>0</v>
      </c>
      <c r="L68" s="172">
        <f t="shared" si="6"/>
        <v>0.99623588456712642</v>
      </c>
      <c r="M68" s="173" t="str">
        <f t="shared" si="4"/>
        <v>C</v>
      </c>
    </row>
    <row r="69" spans="2:13" ht="15" outlineLevel="1" thickBot="1">
      <c r="B69" s="182" t="s">
        <v>258</v>
      </c>
      <c r="C69" s="171">
        <f>'Юнит 18'!AO101</f>
        <v>0</v>
      </c>
      <c r="D69" s="172">
        <f t="shared" si="7"/>
        <v>0</v>
      </c>
      <c r="E69" s="172">
        <f t="shared" si="5"/>
        <v>1.0170235980713176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18'!U51</f>
        <v>0</v>
      </c>
      <c r="K69" s="172">
        <f t="shared" si="9"/>
        <v>0</v>
      </c>
      <c r="L69" s="172">
        <f t="shared" si="6"/>
        <v>0.99623588456712642</v>
      </c>
      <c r="M69" s="173" t="str">
        <f t="shared" si="4"/>
        <v>C</v>
      </c>
    </row>
    <row r="70" spans="2:13" ht="26.5" outlineLevel="1" thickBot="1">
      <c r="B70" s="182" t="s">
        <v>260</v>
      </c>
      <c r="C70" s="171">
        <f>'Юнит 18'!AO103</f>
        <v>0</v>
      </c>
      <c r="D70" s="172">
        <f t="shared" si="7"/>
        <v>0</v>
      </c>
      <c r="E70" s="172">
        <f t="shared" ref="E70:E75" si="10">E69+D70</f>
        <v>1.0170235980713176</v>
      </c>
      <c r="F70" s="173" t="str">
        <f t="shared" si="3"/>
        <v>C</v>
      </c>
      <c r="G70" s="173" t="e">
        <f t="shared" si="8"/>
        <v>#N/A</v>
      </c>
      <c r="I70" s="182" t="s">
        <v>172</v>
      </c>
      <c r="J70" s="171">
        <f>'Юнит 18'!U53</f>
        <v>0</v>
      </c>
      <c r="K70" s="172">
        <f t="shared" si="9"/>
        <v>0</v>
      </c>
      <c r="L70" s="172">
        <f t="shared" ref="L70:L75" si="11">L69+K70</f>
        <v>0.99623588456712642</v>
      </c>
      <c r="M70" s="173" t="str">
        <f t="shared" si="4"/>
        <v>C</v>
      </c>
    </row>
    <row r="71" spans="2:13" ht="15" outlineLevel="1" thickBot="1">
      <c r="B71" s="182" t="s">
        <v>193</v>
      </c>
      <c r="C71" s="171">
        <f>'Юнит 18'!AO74</f>
        <v>-1.01</v>
      </c>
      <c r="D71" s="172">
        <f t="shared" si="7"/>
        <v>-1.6060228375491487E-6</v>
      </c>
      <c r="E71" s="172">
        <f t="shared" si="10"/>
        <v>1.01702199204848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18'!U55</f>
        <v>0</v>
      </c>
      <c r="K71" s="172">
        <f t="shared" si="9"/>
        <v>0</v>
      </c>
      <c r="L71" s="172">
        <f t="shared" si="11"/>
        <v>0.99623588456712642</v>
      </c>
      <c r="M71" s="173" t="str">
        <f t="shared" si="4"/>
        <v>C</v>
      </c>
    </row>
    <row r="72" spans="2:13" ht="15" outlineLevel="1" thickBot="1">
      <c r="B72" s="182" t="s">
        <v>170</v>
      </c>
      <c r="C72" s="171">
        <f>'Юнит 18'!AO51</f>
        <v>-1.0417377232142857</v>
      </c>
      <c r="D72" s="172">
        <f t="shared" si="7"/>
        <v>-1.6564896774441554E-6</v>
      </c>
      <c r="E72" s="172">
        <f t="shared" si="10"/>
        <v>1.0170203355588026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18'!U56</f>
        <v>0</v>
      </c>
      <c r="K72" s="172">
        <f t="shared" si="9"/>
        <v>0</v>
      </c>
      <c r="L72" s="172">
        <f t="shared" si="11"/>
        <v>0.99623588456712642</v>
      </c>
      <c r="M72" s="173" t="str">
        <f t="shared" si="4"/>
        <v>C</v>
      </c>
    </row>
    <row r="73" spans="2:13" ht="15" outlineLevel="1" thickBot="1">
      <c r="B73" s="182" t="s">
        <v>192</v>
      </c>
      <c r="C73" s="171">
        <f>'Юнит 18'!AO73</f>
        <v>-1.0417377232142857</v>
      </c>
      <c r="D73" s="172">
        <f t="shared" si="7"/>
        <v>-1.6564896774441554E-6</v>
      </c>
      <c r="E73" s="172">
        <f t="shared" si="10"/>
        <v>1.0170186790691251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18'!U57</f>
        <v>0</v>
      </c>
      <c r="K73" s="172">
        <f t="shared" si="9"/>
        <v>0</v>
      </c>
      <c r="L73" s="172">
        <f t="shared" si="11"/>
        <v>0.99623588456712642</v>
      </c>
      <c r="M73" s="173" t="str">
        <f t="shared" si="4"/>
        <v>C</v>
      </c>
    </row>
    <row r="74" spans="2:13" ht="15" outlineLevel="1" thickBot="1">
      <c r="B74" s="182" t="s">
        <v>210</v>
      </c>
      <c r="C74" s="171">
        <f>'Юнит 18'!AO91</f>
        <v>-1.5246299107142605</v>
      </c>
      <c r="D74" s="172">
        <f t="shared" si="7"/>
        <v>-2.424346985562002E-6</v>
      </c>
      <c r="E74" s="172">
        <f t="shared" si="10"/>
        <v>1.0170162547221395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18'!U59</f>
        <v>0</v>
      </c>
      <c r="K74" s="172">
        <f t="shared" si="9"/>
        <v>0</v>
      </c>
      <c r="L74" s="172">
        <f t="shared" si="11"/>
        <v>0.99623588456712642</v>
      </c>
      <c r="M74" s="173" t="str">
        <f t="shared" si="4"/>
        <v>C</v>
      </c>
    </row>
    <row r="75" spans="2:13" ht="26.5" outlineLevel="1" thickBot="1">
      <c r="B75" s="182" t="s">
        <v>207</v>
      </c>
      <c r="C75" s="171">
        <f>'Юнит 18'!AO88</f>
        <v>-1.75</v>
      </c>
      <c r="D75" s="172">
        <f t="shared" si="7"/>
        <v>-2.782712837337634E-6</v>
      </c>
      <c r="E75" s="172">
        <f t="shared" si="10"/>
        <v>1.0170134720093023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18'!U60</f>
        <v>0</v>
      </c>
      <c r="K75" s="172">
        <f t="shared" si="9"/>
        <v>0</v>
      </c>
      <c r="L75" s="172">
        <f t="shared" si="11"/>
        <v>0.99623588456712642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18'!AO66</f>
        <v>-2.0834754464285714</v>
      </c>
      <c r="D76" s="172">
        <f t="shared" si="7"/>
        <v>-3.3129793548883107E-6</v>
      </c>
      <c r="E76" s="172">
        <f>E49+D76</f>
        <v>1.0170202850919627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18'!U61</f>
        <v>0</v>
      </c>
      <c r="K76" s="172">
        <f t="shared" si="9"/>
        <v>0</v>
      </c>
      <c r="L76" s="172">
        <f>L49+K76</f>
        <v>0.99560853199498089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'Юнит 18'!AO81</f>
        <v>-13.542590401785713</v>
      </c>
      <c r="D77" s="172">
        <f t="shared" si="7"/>
        <v>-2.1534365806774016E-5</v>
      </c>
      <c r="E77" s="172">
        <f t="shared" ref="E77:E93" si="12">E76+D77</f>
        <v>1.016998750726156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18'!U62</f>
        <v>0</v>
      </c>
      <c r="K77" s="172">
        <f t="shared" si="9"/>
        <v>0</v>
      </c>
      <c r="L77" s="172">
        <f t="shared" ref="L77:L94" si="13">L76+K77</f>
        <v>0.99560853199498089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18'!AO24</f>
        <v>-26.04344308035714</v>
      </c>
      <c r="D78" s="172">
        <f t="shared" si="7"/>
        <v>-4.1412241936103878E-5</v>
      </c>
      <c r="E78" s="172">
        <f t="shared" si="12"/>
        <v>1.0169573384842199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18'!U63</f>
        <v>0</v>
      </c>
      <c r="K78" s="172">
        <f t="shared" si="9"/>
        <v>0</v>
      </c>
      <c r="L78" s="172">
        <f t="shared" si="13"/>
        <v>0.99560853199498089</v>
      </c>
      <c r="M78" s="173" t="str">
        <f t="shared" si="4"/>
        <v>C</v>
      </c>
    </row>
    <row r="79" spans="2:13" ht="15" outlineLevel="1" thickBot="1">
      <c r="B79" s="182" t="s">
        <v>159</v>
      </c>
      <c r="C79" s="171">
        <f>'Юнит 18'!AO40</f>
        <v>-30.83865625</v>
      </c>
      <c r="D79" s="172">
        <f t="shared" si="7"/>
        <v>-4.903721407606712E-5</v>
      </c>
      <c r="E79" s="172">
        <f t="shared" si="12"/>
        <v>1.0169083012701439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18'!U64</f>
        <v>0</v>
      </c>
      <c r="K79" s="172">
        <f t="shared" si="9"/>
        <v>0</v>
      </c>
      <c r="L79" s="172">
        <f t="shared" si="13"/>
        <v>0.99560853199498089</v>
      </c>
      <c r="M79" s="173" t="str">
        <f t="shared" si="4"/>
        <v>C</v>
      </c>
    </row>
    <row r="80" spans="2:13" ht="26.5" outlineLevel="1" thickBot="1">
      <c r="B80" s="182" t="s">
        <v>212</v>
      </c>
      <c r="C80" s="171">
        <f>'Юнит 18'!AO93</f>
        <v>-41.396033482142855</v>
      </c>
      <c r="D80" s="172">
        <f t="shared" si="7"/>
        <v>-6.5824727877495675E-5</v>
      </c>
      <c r="E80" s="172">
        <f t="shared" si="12"/>
        <v>1.0168424765422663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18'!U65</f>
        <v>0</v>
      </c>
      <c r="K80" s="172">
        <f t="shared" si="9"/>
        <v>0</v>
      </c>
      <c r="L80" s="172">
        <f t="shared" si="13"/>
        <v>0.99560853199498089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18'!AO41</f>
        <v>-41.669508928571425</v>
      </c>
      <c r="D81" s="172">
        <f t="shared" si="7"/>
        <v>-6.6259587097766199E-5</v>
      </c>
      <c r="E81" s="172">
        <f t="shared" si="12"/>
        <v>1.0167762169551686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18'!U66</f>
        <v>0</v>
      </c>
      <c r="K81" s="172">
        <f t="shared" si="9"/>
        <v>0</v>
      </c>
      <c r="L81" s="172">
        <f t="shared" si="13"/>
        <v>0.99560853199498089</v>
      </c>
      <c r="M81" s="173" t="str">
        <f t="shared" si="4"/>
        <v>C</v>
      </c>
    </row>
    <row r="82" spans="2:13" ht="26.5" outlineLevel="1" thickBot="1">
      <c r="B82" s="182" t="s">
        <v>209</v>
      </c>
      <c r="C82" s="171">
        <f>'Юнит 18'!AO90</f>
        <v>-50.003410714285707</v>
      </c>
      <c r="D82" s="172">
        <f t="shared" si="7"/>
        <v>-7.9511504517319447E-5</v>
      </c>
      <c r="E82" s="172">
        <f t="shared" si="12"/>
        <v>1.0166967054506513</v>
      </c>
      <c r="F82" s="173" t="str">
        <f t="shared" si="3"/>
        <v>C</v>
      </c>
      <c r="G82" s="173" t="str">
        <f t="shared" si="8"/>
        <v>C</v>
      </c>
      <c r="I82" s="182" t="s">
        <v>186</v>
      </c>
      <c r="J82" s="171">
        <f>'Юнит 18'!U67</f>
        <v>0</v>
      </c>
      <c r="K82" s="172">
        <f t="shared" si="9"/>
        <v>0</v>
      </c>
      <c r="L82" s="172">
        <f t="shared" si="13"/>
        <v>0.99560853199498089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18'!AO75</f>
        <v>-50.558913169642786</v>
      </c>
      <c r="D83" s="172">
        <f t="shared" si="7"/>
        <v>-8.0394820982287852E-5</v>
      </c>
      <c r="E83" s="172">
        <f t="shared" si="12"/>
        <v>1.0166163106296691</v>
      </c>
      <c r="F83" s="173" t="str">
        <f t="shared" si="3"/>
        <v>C</v>
      </c>
      <c r="G83" s="173" t="str">
        <f t="shared" si="8"/>
        <v>C</v>
      </c>
      <c r="I83" s="182" t="s">
        <v>187</v>
      </c>
      <c r="J83" s="171">
        <f>'Юнит 18'!U68</f>
        <v>0</v>
      </c>
      <c r="K83" s="172">
        <f t="shared" si="9"/>
        <v>0</v>
      </c>
      <c r="L83" s="172">
        <f t="shared" si="13"/>
        <v>0.99560853199498089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18'!AO97</f>
        <v>-79.47</v>
      </c>
      <c r="D84" s="172">
        <f t="shared" si="7"/>
        <v>-1.2636696524755529E-4</v>
      </c>
      <c r="E84" s="172">
        <f t="shared" si="12"/>
        <v>1.0164899436644215</v>
      </c>
      <c r="F84" s="173" t="str">
        <f t="shared" si="3"/>
        <v>C</v>
      </c>
      <c r="G84" s="173" t="str">
        <f t="shared" si="8"/>
        <v>C</v>
      </c>
      <c r="I84" s="182" t="s">
        <v>188</v>
      </c>
      <c r="J84" s="171">
        <f>'Юнит 18'!U69</f>
        <v>0</v>
      </c>
      <c r="K84" s="172">
        <f t="shared" si="9"/>
        <v>0</v>
      </c>
      <c r="L84" s="172">
        <f t="shared" si="13"/>
        <v>0.99560853199498089</v>
      </c>
      <c r="M84" s="173" t="str">
        <f t="shared" si="4"/>
        <v>C</v>
      </c>
    </row>
    <row r="85" spans="2:13" ht="15" outlineLevel="1" thickBot="1">
      <c r="B85" s="182" t="s">
        <v>162</v>
      </c>
      <c r="C85" s="171">
        <f>'Юнит 18'!AO43</f>
        <v>-81.56</v>
      </c>
      <c r="D85" s="172">
        <f t="shared" si="7"/>
        <v>-1.2969031943614709E-4</v>
      </c>
      <c r="E85" s="172">
        <f t="shared" si="12"/>
        <v>1.0163602533449854</v>
      </c>
      <c r="F85" s="173" t="str">
        <f t="shared" si="3"/>
        <v>C</v>
      </c>
      <c r="G85" s="173" t="str">
        <f t="shared" si="8"/>
        <v>C</v>
      </c>
      <c r="I85" s="182" t="s">
        <v>189</v>
      </c>
      <c r="J85" s="171">
        <f>'Юнит 18'!U70</f>
        <v>0</v>
      </c>
      <c r="K85" s="172">
        <f t="shared" si="9"/>
        <v>0</v>
      </c>
      <c r="L85" s="172">
        <f t="shared" si="13"/>
        <v>0.99560853199498089</v>
      </c>
      <c r="M85" s="173" t="str">
        <f t="shared" si="4"/>
        <v>C</v>
      </c>
    </row>
    <row r="86" spans="2:13" ht="15" outlineLevel="1" thickBot="1">
      <c r="B86" s="182" t="s">
        <v>146</v>
      </c>
      <c r="C86" s="171">
        <f>'Юнит 18'!AO27</f>
        <v>-88.97999999999999</v>
      </c>
      <c r="D86" s="172">
        <f t="shared" si="7"/>
        <v>-1.4148902186645866E-4</v>
      </c>
      <c r="E86" s="172">
        <f t="shared" si="12"/>
        <v>1.0162187643231189</v>
      </c>
      <c r="F86" s="173" t="str">
        <f t="shared" si="3"/>
        <v>C</v>
      </c>
      <c r="G86" s="173" t="str">
        <f t="shared" si="8"/>
        <v>C</v>
      </c>
      <c r="I86" s="182" t="s">
        <v>190</v>
      </c>
      <c r="J86" s="171">
        <f>'Юнит 18'!U71</f>
        <v>0</v>
      </c>
      <c r="K86" s="172">
        <f t="shared" si="9"/>
        <v>0</v>
      </c>
      <c r="L86" s="172">
        <f t="shared" si="13"/>
        <v>0.99560853199498089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18'!AO38</f>
        <v>-121.232984375</v>
      </c>
      <c r="D87" s="172">
        <f t="shared" si="7"/>
        <v>-1.927751896737516E-4</v>
      </c>
      <c r="E87" s="172">
        <f t="shared" si="12"/>
        <v>1.0160259891334451</v>
      </c>
      <c r="F87" s="173" t="str">
        <f t="shared" si="3"/>
        <v>C</v>
      </c>
      <c r="G87" s="173" t="str">
        <f t="shared" si="8"/>
        <v>C</v>
      </c>
      <c r="I87" s="182" t="s">
        <v>191</v>
      </c>
      <c r="J87" s="171">
        <f>'Юнит 18'!U72</f>
        <v>0</v>
      </c>
      <c r="K87" s="172">
        <f t="shared" si="9"/>
        <v>0</v>
      </c>
      <c r="L87" s="172">
        <f t="shared" si="13"/>
        <v>0.99560853199498089</v>
      </c>
      <c r="M87" s="173" t="str">
        <f t="shared" si="4"/>
        <v>C</v>
      </c>
    </row>
    <row r="88" spans="2:13" ht="15" outlineLevel="1" thickBot="1">
      <c r="B88" s="182" t="s">
        <v>179</v>
      </c>
      <c r="C88" s="171">
        <f>'Юнит 18'!AO60</f>
        <v>-122.40061674107142</v>
      </c>
      <c r="D88" s="172">
        <f t="shared" si="7"/>
        <v>-1.9463186714481322E-4</v>
      </c>
      <c r="E88" s="172">
        <f t="shared" si="12"/>
        <v>1.0158313572663002</v>
      </c>
      <c r="F88" s="173" t="str">
        <f t="shared" si="3"/>
        <v>C</v>
      </c>
      <c r="G88" s="173" t="str">
        <f t="shared" si="8"/>
        <v>C</v>
      </c>
      <c r="I88" s="182" t="s">
        <v>192</v>
      </c>
      <c r="J88" s="171">
        <f>'Юнит 18'!U73</f>
        <v>0</v>
      </c>
      <c r="K88" s="172">
        <f t="shared" si="9"/>
        <v>0</v>
      </c>
      <c r="L88" s="172">
        <f t="shared" si="13"/>
        <v>0.99560853199498089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18'!AO83</f>
        <v>-143.19124665178572</v>
      </c>
      <c r="D89" s="172">
        <f t="shared" si="7"/>
        <v>-2.2769149728703064E-4</v>
      </c>
      <c r="E89" s="172">
        <f t="shared" si="12"/>
        <v>1.0156036657690133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18'!U74</f>
        <v>0</v>
      </c>
      <c r="K89" s="172">
        <f t="shared" si="9"/>
        <v>0</v>
      </c>
      <c r="L89" s="172">
        <f t="shared" si="13"/>
        <v>0.99560853199498089</v>
      </c>
      <c r="M89" s="173" t="str">
        <f t="shared" si="4"/>
        <v>C</v>
      </c>
    </row>
    <row r="90" spans="2:13" ht="26.5" outlineLevel="1" thickBot="1">
      <c r="B90" s="182" t="s">
        <v>208</v>
      </c>
      <c r="C90" s="171">
        <f>'Юнит 18'!AO89</f>
        <v>-160.37347544642856</v>
      </c>
      <c r="D90" s="172">
        <f t="shared" si="7"/>
        <v>-2.5501333079613062E-4</v>
      </c>
      <c r="E90" s="172">
        <f t="shared" si="12"/>
        <v>1.0153486524382171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18'!U77</f>
        <v>0</v>
      </c>
      <c r="K90" s="172">
        <f t="shared" si="9"/>
        <v>0</v>
      </c>
      <c r="L90" s="172">
        <f t="shared" si="13"/>
        <v>0.99560853199498089</v>
      </c>
      <c r="M90" s="173" t="str">
        <f t="shared" si="4"/>
        <v>C</v>
      </c>
    </row>
    <row r="91" spans="2:13" ht="15" outlineLevel="1" thickBot="1">
      <c r="B91" s="182" t="s">
        <v>180</v>
      </c>
      <c r="C91" s="171">
        <f>'Юнит 18'!AO61</f>
        <v>-166.19282254464281</v>
      </c>
      <c r="D91" s="172">
        <f t="shared" si="7"/>
        <v>-2.6426680043905882E-4</v>
      </c>
      <c r="E91" s="172">
        <f t="shared" si="12"/>
        <v>1.015084385637778</v>
      </c>
      <c r="F91" s="173" t="str">
        <f t="shared" si="3"/>
        <v>C</v>
      </c>
      <c r="G91" s="173" t="str">
        <f t="shared" si="8"/>
        <v>C</v>
      </c>
      <c r="I91" s="182" t="s">
        <v>197</v>
      </c>
      <c r="J91" s="171">
        <f>'Юнит 18'!U78</f>
        <v>0</v>
      </c>
      <c r="K91" s="172">
        <f t="shared" si="9"/>
        <v>0</v>
      </c>
      <c r="L91" s="172">
        <f t="shared" si="13"/>
        <v>0.99560853199498089</v>
      </c>
      <c r="M91" s="173" t="str">
        <f t="shared" si="4"/>
        <v>C</v>
      </c>
    </row>
    <row r="92" spans="2:13" ht="26.5" outlineLevel="1" thickBot="1">
      <c r="B92" s="182" t="s">
        <v>158</v>
      </c>
      <c r="C92" s="171">
        <f>'Юнит 18'!AO39</f>
        <v>-170.17042633928574</v>
      </c>
      <c r="D92" s="172">
        <f t="shared" si="7"/>
        <v>-2.7059167423402781E-4</v>
      </c>
      <c r="E92" s="172">
        <f t="shared" si="12"/>
        <v>1.014813793963544</v>
      </c>
      <c r="F92" s="173" t="str">
        <f t="shared" si="3"/>
        <v>C</v>
      </c>
      <c r="G92" s="173" t="str">
        <f t="shared" si="8"/>
        <v>C</v>
      </c>
      <c r="I92" s="182" t="s">
        <v>200</v>
      </c>
      <c r="J92" s="171">
        <f>'Юнит 18'!U81</f>
        <v>0</v>
      </c>
      <c r="K92" s="172">
        <f t="shared" si="9"/>
        <v>0</v>
      </c>
      <c r="L92" s="172">
        <f t="shared" si="13"/>
        <v>0.99560853199498089</v>
      </c>
      <c r="M92" s="173" t="str">
        <f t="shared" si="4"/>
        <v>C</v>
      </c>
    </row>
    <row r="93" spans="2:13" ht="15" outlineLevel="1" thickBot="1">
      <c r="B93" s="182" t="s">
        <v>188</v>
      </c>
      <c r="C93" s="171">
        <f>'Юнит 18'!AO69</f>
        <v>-235.60173772321428</v>
      </c>
      <c r="D93" s="172">
        <f t="shared" si="7"/>
        <v>-3.7463541717796725E-4</v>
      </c>
      <c r="E93" s="172">
        <f t="shared" si="12"/>
        <v>1.0144391585463661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18'!U83</f>
        <v>0</v>
      </c>
      <c r="K93" s="172">
        <f t="shared" si="9"/>
        <v>0</v>
      </c>
      <c r="L93" s="172">
        <f t="shared" si="13"/>
        <v>0.99560853199498089</v>
      </c>
      <c r="M93" s="173" t="str">
        <f t="shared" si="4"/>
        <v>C</v>
      </c>
    </row>
    <row r="94" spans="2:13" ht="15" outlineLevel="1" thickBot="1">
      <c r="B94" s="182" t="s">
        <v>197</v>
      </c>
      <c r="C94" s="171">
        <f>'Юнит 18'!AO78</f>
        <v>-240.84563950892857</v>
      </c>
      <c r="D94" s="172">
        <f t="shared" si="7"/>
        <v>-3.829738587875929E-4</v>
      </c>
      <c r="E94" s="172">
        <f>E93+D94</f>
        <v>1.0140561846875786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18'!U84</f>
        <v>0</v>
      </c>
      <c r="K94" s="172">
        <f t="shared" si="9"/>
        <v>0</v>
      </c>
      <c r="L94" s="172">
        <f t="shared" si="13"/>
        <v>0.99560853199498089</v>
      </c>
      <c r="M94" s="173" t="str">
        <f t="shared" si="4"/>
        <v>C</v>
      </c>
    </row>
    <row r="95" spans="2:13" ht="26.5" outlineLevel="1" thickBot="1">
      <c r="B95" s="182" t="s">
        <v>152</v>
      </c>
      <c r="C95" s="171">
        <f>'Юнит 18'!AO33</f>
        <v>-429.0351492142857</v>
      </c>
      <c r="D95" s="172">
        <f t="shared" si="7"/>
        <v>-6.8221806707866289E-4</v>
      </c>
      <c r="E95" s="172">
        <f>E94+D95</f>
        <v>1.0133739666204999</v>
      </c>
      <c r="F95" s="173" t="str">
        <f t="shared" si="3"/>
        <v>C</v>
      </c>
      <c r="G95" s="173" t="str">
        <f t="shared" si="8"/>
        <v>C</v>
      </c>
      <c r="I95" s="182" t="s">
        <v>207</v>
      </c>
      <c r="J95" s="171">
        <f>'Юнит 18'!U88</f>
        <v>0</v>
      </c>
      <c r="K95" s="172">
        <f t="shared" si="9"/>
        <v>0</v>
      </c>
      <c r="L95" s="172">
        <f>L94+K95</f>
        <v>0.99560853199498089</v>
      </c>
      <c r="M95" s="173" t="str">
        <f t="shared" si="4"/>
        <v>C</v>
      </c>
    </row>
    <row r="96" spans="2:13" ht="15" outlineLevel="1" thickBot="1">
      <c r="B96" s="182" t="s">
        <v>211</v>
      </c>
      <c r="C96" s="171">
        <f>'Юнит 18'!AO92</f>
        <v>-475.99818437499999</v>
      </c>
      <c r="D96" s="172">
        <f t="shared" si="7"/>
        <v>-7.5689500469126772E-4</v>
      </c>
      <c r="E96" s="172">
        <f t="shared" ref="E96:E98" si="14">E95+D96</f>
        <v>1.0126170716158087</v>
      </c>
      <c r="F96" s="173" t="str">
        <f t="shared" si="3"/>
        <v>C</v>
      </c>
      <c r="G96" s="173" t="str">
        <f t="shared" si="8"/>
        <v>C</v>
      </c>
      <c r="I96" s="182" t="s">
        <v>208</v>
      </c>
      <c r="J96" s="171">
        <f>'Юнит 18'!U89</f>
        <v>0</v>
      </c>
      <c r="K96" s="172">
        <f t="shared" si="9"/>
        <v>0</v>
      </c>
      <c r="L96" s="172">
        <f t="shared" ref="L96:L98" si="15">L95+K96</f>
        <v>0.99560853199498089</v>
      </c>
      <c r="M96" s="173" t="str">
        <f t="shared" si="4"/>
        <v>C</v>
      </c>
    </row>
    <row r="97" spans="2:13" ht="26.5" outlineLevel="1" thickBot="1">
      <c r="B97" s="182" t="s">
        <v>198</v>
      </c>
      <c r="C97" s="171">
        <f>'Юнит 18'!AO79</f>
        <v>-539.34832061607142</v>
      </c>
      <c r="D97" s="172">
        <f t="shared" si="7"/>
        <v>-8.576294260427634E-4</v>
      </c>
      <c r="E97" s="172">
        <f t="shared" si="14"/>
        <v>1.011759442189766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209</v>
      </c>
      <c r="J97" s="171">
        <f>'Юнит 18'!U90</f>
        <v>0</v>
      </c>
      <c r="K97" s="172">
        <f t="shared" si="9"/>
        <v>0</v>
      </c>
      <c r="L97" s="172">
        <f t="shared" si="15"/>
        <v>0.99560853199498089</v>
      </c>
      <c r="M97" s="173" t="str">
        <f t="shared" si="4"/>
        <v>C</v>
      </c>
    </row>
    <row r="98" spans="2:13" ht="26.5" outlineLevel="1" thickBot="1">
      <c r="B98" s="182" t="s">
        <v>205</v>
      </c>
      <c r="C98" s="171">
        <f>'Юнит 18'!AO86</f>
        <v>-616.49828080357145</v>
      </c>
      <c r="D98" s="172">
        <f t="shared" si="7"/>
        <v>-9.8030724582210261E-4</v>
      </c>
      <c r="E98" s="172">
        <f t="shared" si="14"/>
        <v>1.0107791349439439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'Юнит 18'!U93</f>
        <v>0</v>
      </c>
      <c r="K98" s="172">
        <f t="shared" si="9"/>
        <v>0</v>
      </c>
      <c r="L98" s="172">
        <f t="shared" si="15"/>
        <v>0.99560853199498089</v>
      </c>
      <c r="M98" s="173" t="str">
        <f t="shared" si="4"/>
        <v>C</v>
      </c>
    </row>
    <row r="99" spans="2:13" ht="26.5" outlineLevel="1" thickBot="1">
      <c r="B99" s="182" t="s">
        <v>172</v>
      </c>
      <c r="C99" s="171">
        <f>'Юнит 18'!AO53</f>
        <v>-685.89734486607142</v>
      </c>
      <c r="D99" s="172">
        <f t="shared" si="7"/>
        <v>-1.0906601980883515E-3</v>
      </c>
      <c r="E99" s="172">
        <f>E93+D99</f>
        <v>1.0133484983482777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'Юнит 18'!U94</f>
        <v>0</v>
      </c>
      <c r="K99" s="172">
        <f t="shared" si="9"/>
        <v>0</v>
      </c>
      <c r="L99" s="172">
        <f>L93+K99</f>
        <v>0.99560853199498089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203</v>
      </c>
      <c r="C100" s="171">
        <f>'Юнит 18'!AO84</f>
        <v>-696.51603348214292</v>
      </c>
      <c r="D100" s="172">
        <f t="shared" si="7"/>
        <v>-1.107545204446999E-3</v>
      </c>
      <c r="E100" s="172">
        <f t="shared" ref="E100:E105" si="18">E94+D100</f>
        <v>1.0129486394831317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'Юнит 18'!U95</f>
        <v>0</v>
      </c>
      <c r="K100" s="172">
        <f t="shared" si="9"/>
        <v>0</v>
      </c>
      <c r="L100" s="172">
        <f t="shared" ref="L100:L105" si="19">L94+K100</f>
        <v>0.99560853199498089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'Юнит 18'!AO58</f>
        <v>-714.32969040178568</v>
      </c>
      <c r="D101" s="172">
        <f t="shared" si="7"/>
        <v>-1.135871085469981E-3</v>
      </c>
      <c r="E101" s="172">
        <f t="shared" si="18"/>
        <v>1.0122380955350299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'Юнит 18'!U96</f>
        <v>0</v>
      </c>
      <c r="K101" s="172">
        <f t="shared" si="9"/>
        <v>0</v>
      </c>
      <c r="L101" s="172">
        <f t="shared" si="19"/>
        <v>0.99560853199498089</v>
      </c>
      <c r="M101" s="173" t="str">
        <f t="shared" si="17"/>
        <v>C</v>
      </c>
    </row>
    <row r="102" spans="2:13" ht="26.5" outlineLevel="1" thickBot="1">
      <c r="B102" s="182" t="s">
        <v>201</v>
      </c>
      <c r="C102" s="171">
        <f>'Юнит 18'!AO82</f>
        <v>-920.7053466517857</v>
      </c>
      <c r="D102" s="172">
        <f t="shared" si="7"/>
        <v>-1.4640334785904689E-3</v>
      </c>
      <c r="E102" s="172">
        <f t="shared" si="18"/>
        <v>1.0111530381372182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'Юнит 18'!U97</f>
        <v>0</v>
      </c>
      <c r="K102" s="172">
        <f t="shared" si="9"/>
        <v>0</v>
      </c>
      <c r="L102" s="172">
        <f t="shared" si="19"/>
        <v>0.99560853199498089</v>
      </c>
      <c r="M102" s="173" t="str">
        <f t="shared" si="17"/>
        <v>C</v>
      </c>
    </row>
    <row r="103" spans="2:13" ht="15" outlineLevel="1" thickBot="1">
      <c r="B103" s="182" t="s">
        <v>171</v>
      </c>
      <c r="C103" s="171">
        <f>'Юнит 18'!AO52</f>
        <v>-982.25102812499995</v>
      </c>
      <c r="D103" s="172">
        <f t="shared" si="7"/>
        <v>-1.5618985974008724E-3</v>
      </c>
      <c r="E103" s="172">
        <f t="shared" si="18"/>
        <v>1.0101975435923651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'Юнит 18'!U99</f>
        <v>0</v>
      </c>
      <c r="K103" s="172">
        <f t="shared" si="9"/>
        <v>0</v>
      </c>
      <c r="L103" s="172">
        <f t="shared" si="19"/>
        <v>0.99560853199498089</v>
      </c>
      <c r="M103" s="173" t="str">
        <f t="shared" si="17"/>
        <v>C</v>
      </c>
    </row>
    <row r="104" spans="2:13" ht="15" outlineLevel="1" thickBot="1">
      <c r="B104" s="182" t="s">
        <v>195</v>
      </c>
      <c r="C104" s="171">
        <f>'Юнит 18'!AO76</f>
        <v>-1161.9887694196427</v>
      </c>
      <c r="D104" s="172">
        <f t="shared" si="7"/>
        <v>-1.8477034660035426E-3</v>
      </c>
      <c r="E104" s="172">
        <f t="shared" si="18"/>
        <v>1.0089314314779403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'Юнит 18'!U101</f>
        <v>0</v>
      </c>
      <c r="K104" s="172">
        <f t="shared" si="9"/>
        <v>0</v>
      </c>
      <c r="L104" s="172">
        <f t="shared" si="19"/>
        <v>0.99560853199498089</v>
      </c>
      <c r="M104" s="173" t="str">
        <f t="shared" si="17"/>
        <v>C</v>
      </c>
    </row>
    <row r="105" spans="2:13" ht="26.5" outlineLevel="1" thickBot="1">
      <c r="B105" s="182" t="s">
        <v>196</v>
      </c>
      <c r="C105" s="171">
        <f>'Юнит 18'!AO77</f>
        <v>-2431.871279017857</v>
      </c>
      <c r="D105" s="172">
        <f t="shared" si="7"/>
        <v>-3.8669711010718179E-3</v>
      </c>
      <c r="E105" s="172">
        <f t="shared" si="18"/>
        <v>1.0094815272472057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'Юнит 18'!U103</f>
        <v>0</v>
      </c>
      <c r="K105" s="172">
        <f t="shared" si="9"/>
        <v>0</v>
      </c>
      <c r="L105" s="172">
        <f t="shared" si="19"/>
        <v>0.99560853199498089</v>
      </c>
      <c r="M105" s="173" t="str">
        <f t="shared" si="17"/>
        <v>C</v>
      </c>
    </row>
    <row r="106" spans="2:13" outlineLevel="1">
      <c r="C106" s="178">
        <f>SUM(C4:C105)</f>
        <v>628882.71348699997</v>
      </c>
      <c r="D106" s="179">
        <f>SUM(D4:D105)</f>
        <v>1.0000000000000007</v>
      </c>
      <c r="J106" s="178">
        <f>SUM(J4:J105)</f>
        <v>1594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38" priority="4" operator="equal">
      <formula>"C"</formula>
    </cfRule>
    <cfRule type="cellIs" dxfId="237" priority="5" operator="equal">
      <formula>"B"</formula>
    </cfRule>
    <cfRule type="cellIs" dxfId="236" priority="6" operator="equal">
      <formula>"A"</formula>
    </cfRule>
  </conditionalFormatting>
  <conditionalFormatting sqref="F99:G105 D99:D105 M99:M105 K99:K105">
    <cfRule type="cellIs" dxfId="235" priority="1" operator="equal">
      <formula>"C"</formula>
    </cfRule>
    <cfRule type="cellIs" dxfId="234" priority="2" operator="equal">
      <formula>"B"</formula>
    </cfRule>
    <cfRule type="cellIs" dxfId="23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5A1-D73C-43AC-B792-E644DCD35F2F}">
  <sheetPr codeName="Лист7"/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17'!AO4</f>
        <v>123838.63501637737</v>
      </c>
      <c r="D4" s="172">
        <f t="shared" ref="D4:D35" si="0">C4/C$106</f>
        <v>0.21881256342247785</v>
      </c>
      <c r="E4" s="172">
        <f>D4</f>
        <v>0.21881256342247785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17'!U4</f>
        <v>327</v>
      </c>
      <c r="K4" s="172">
        <f t="shared" ref="K4:K35" si="2">J4/J$106</f>
        <v>0.1929203539823009</v>
      </c>
      <c r="L4" s="172">
        <f>K4</f>
        <v>0.1929203539823009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17'!AO16</f>
        <v>61360.968647136935</v>
      </c>
      <c r="D5" s="172">
        <f t="shared" si="0"/>
        <v>0.10841972573414344</v>
      </c>
      <c r="E5" s="172">
        <f>E4+D5</f>
        <v>0.32723228915662128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17'!U13</f>
        <v>184</v>
      </c>
      <c r="K5" s="172">
        <f t="shared" si="2"/>
        <v>0.10855457227138643</v>
      </c>
      <c r="L5" s="172">
        <f>L4+K5</f>
        <v>0.30147492625368733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17'!AO13</f>
        <v>43494.589882807282</v>
      </c>
      <c r="D6" s="172">
        <f t="shared" si="0"/>
        <v>7.6851321124524738E-2</v>
      </c>
      <c r="E6" s="172">
        <f t="shared" ref="E6:E69" si="5">E5+D6</f>
        <v>0.40408361028114603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17'!U9</f>
        <v>156</v>
      </c>
      <c r="K6" s="172">
        <f t="shared" si="2"/>
        <v>9.2035398230088494E-2</v>
      </c>
      <c r="L6" s="172">
        <f t="shared" ref="L6:L69" si="6">L5+K6</f>
        <v>0.39351032448377582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17'!AO9</f>
        <v>39870.963801801117</v>
      </c>
      <c r="D7" s="172">
        <f t="shared" si="0"/>
        <v>7.044867536244373E-2</v>
      </c>
      <c r="E7" s="172">
        <f t="shared" si="5"/>
        <v>0.47453228564358974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17'!U16</f>
        <v>135</v>
      </c>
      <c r="K7" s="172">
        <f t="shared" si="2"/>
        <v>7.9646017699115043E-2</v>
      </c>
      <c r="L7" s="172">
        <f t="shared" si="6"/>
        <v>0.47315634218289088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17'!AO5</f>
        <v>33241.33703118952</v>
      </c>
      <c r="D8" s="172">
        <f t="shared" si="0"/>
        <v>5.8734676512085249E-2</v>
      </c>
      <c r="E8" s="172">
        <f t="shared" si="5"/>
        <v>0.53326696215567493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17'!U10</f>
        <v>110</v>
      </c>
      <c r="K8" s="172">
        <f t="shared" si="2"/>
        <v>6.4896755162241887E-2</v>
      </c>
      <c r="L8" s="172">
        <f t="shared" si="6"/>
        <v>0.53805309734513274</v>
      </c>
      <c r="M8" s="173" t="str">
        <f>_xlfn.IFS(L8&lt;80%,"A",L8&lt;=95%,"B",L8&gt;95%,"C")</f>
        <v>A</v>
      </c>
    </row>
    <row r="9" spans="2:17" ht="26.5" outlineLevel="1" thickBot="1">
      <c r="B9" s="182" t="s">
        <v>126</v>
      </c>
      <c r="C9" s="171">
        <f>'Юнит 17'!AO7</f>
        <v>32082.786005219983</v>
      </c>
      <c r="D9" s="172">
        <f t="shared" si="0"/>
        <v>5.6687613252589454E-2</v>
      </c>
      <c r="E9" s="172">
        <f t="shared" si="5"/>
        <v>0.58995457540826435</v>
      </c>
      <c r="F9" s="173" t="str">
        <f t="shared" si="3"/>
        <v>A</v>
      </c>
      <c r="G9" s="173" t="str">
        <f t="shared" si="1"/>
        <v>A</v>
      </c>
      <c r="I9" s="182" t="s">
        <v>122</v>
      </c>
      <c r="J9" s="171">
        <f>'Юнит 17'!U3</f>
        <v>101</v>
      </c>
      <c r="K9" s="172">
        <f t="shared" si="2"/>
        <v>5.9587020648967551E-2</v>
      </c>
      <c r="L9" s="172">
        <f t="shared" si="6"/>
        <v>0.59764011799410033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17'!AO12</f>
        <v>31242.10501256194</v>
      </c>
      <c r="D10" s="172">
        <f t="shared" si="0"/>
        <v>5.5202199891890409E-2</v>
      </c>
      <c r="E10" s="172">
        <f t="shared" si="5"/>
        <v>0.64515677530015481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17'!U5</f>
        <v>89</v>
      </c>
      <c r="K10" s="172">
        <f t="shared" si="2"/>
        <v>5.2507374631268436E-2</v>
      </c>
      <c r="L10" s="172">
        <f t="shared" si="6"/>
        <v>0.65014749262536875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17'!AO3</f>
        <v>26574.335457314104</v>
      </c>
      <c r="D11" s="172">
        <f t="shared" si="0"/>
        <v>4.6954639494328654E-2</v>
      </c>
      <c r="E11" s="172">
        <f t="shared" si="5"/>
        <v>0.69211141479448346</v>
      </c>
      <c r="F11" s="173" t="str">
        <f t="shared" si="3"/>
        <v>A</v>
      </c>
      <c r="G11" s="173" t="str">
        <f t="shared" si="1"/>
        <v>A</v>
      </c>
      <c r="I11" s="182" t="s">
        <v>131</v>
      </c>
      <c r="J11" s="171">
        <f>'Юнит 17'!U12</f>
        <v>77</v>
      </c>
      <c r="K11" s="172">
        <f t="shared" si="2"/>
        <v>4.5427728613569321E-2</v>
      </c>
      <c r="L11" s="172">
        <f t="shared" si="6"/>
        <v>0.69557522123893811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129</v>
      </c>
      <c r="C12" s="171">
        <f>'Юнит 17'!AO10</f>
        <v>23782.119225129689</v>
      </c>
      <c r="D12" s="172">
        <f t="shared" si="0"/>
        <v>4.2021025753242722E-2</v>
      </c>
      <c r="E12" s="172">
        <f t="shared" si="5"/>
        <v>0.73413244054772619</v>
      </c>
      <c r="F12" s="173" t="str">
        <f t="shared" si="3"/>
        <v>A</v>
      </c>
      <c r="G12" s="173" t="str">
        <f t="shared" si="1"/>
        <v>A</v>
      </c>
      <c r="I12" s="182" t="s">
        <v>126</v>
      </c>
      <c r="J12" s="171">
        <f>'Юнит 17'!U7</f>
        <v>74</v>
      </c>
      <c r="K12" s="172">
        <f t="shared" si="2"/>
        <v>4.3657817109144542E-2</v>
      </c>
      <c r="L12" s="172">
        <f t="shared" si="6"/>
        <v>0.73923303834808263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17'!AO6</f>
        <v>22574.93025196603</v>
      </c>
      <c r="D13" s="172">
        <f t="shared" si="0"/>
        <v>3.9888023288233675E-2</v>
      </c>
      <c r="E13" s="172">
        <f t="shared" si="5"/>
        <v>0.7740204638359599</v>
      </c>
      <c r="F13" s="173" t="str">
        <f t="shared" si="3"/>
        <v>A</v>
      </c>
      <c r="G13" s="173" t="str">
        <f t="shared" si="1"/>
        <v>B</v>
      </c>
      <c r="I13" s="182" t="s">
        <v>130</v>
      </c>
      <c r="J13" s="171">
        <f>'Юнит 17'!U11</f>
        <v>60</v>
      </c>
      <c r="K13" s="172">
        <f t="shared" si="2"/>
        <v>3.5398230088495575E-2</v>
      </c>
      <c r="L13" s="172">
        <f t="shared" si="6"/>
        <v>0.77463126843657815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17'!AO11</f>
        <v>20625.478830990338</v>
      </c>
      <c r="D14" s="172">
        <f t="shared" si="0"/>
        <v>3.6443504841830648E-2</v>
      </c>
      <c r="E14" s="172">
        <f t="shared" si="5"/>
        <v>0.81046396867779058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17'!U6</f>
        <v>50</v>
      </c>
      <c r="K14" s="172">
        <f t="shared" si="2"/>
        <v>2.9498525073746312E-2</v>
      </c>
      <c r="L14" s="172">
        <f t="shared" si="6"/>
        <v>0.80412979351032443</v>
      </c>
      <c r="M14" s="173" t="str">
        <f t="shared" si="4"/>
        <v>B</v>
      </c>
    </row>
    <row r="15" spans="2:17" ht="15" outlineLevel="1" thickBot="1">
      <c r="B15" s="182" t="s">
        <v>134</v>
      </c>
      <c r="C15" s="171">
        <f>'Юнит 17'!AO15</f>
        <v>20118.64992401969</v>
      </c>
      <c r="D15" s="172">
        <f t="shared" si="0"/>
        <v>3.5547980336605008E-2</v>
      </c>
      <c r="E15" s="172">
        <f t="shared" si="5"/>
        <v>0.84601194901439558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17'!U15</f>
        <v>43</v>
      </c>
      <c r="K15" s="172">
        <f t="shared" si="2"/>
        <v>2.5368731563421829E-2</v>
      </c>
      <c r="L15" s="172">
        <f t="shared" si="6"/>
        <v>0.82949852507374622</v>
      </c>
      <c r="M15" s="173" t="str">
        <f t="shared" si="4"/>
        <v>B</v>
      </c>
    </row>
    <row r="16" spans="2:17" ht="26.5" outlineLevel="1" thickBot="1">
      <c r="B16" s="182" t="s">
        <v>338</v>
      </c>
      <c r="C16" s="171">
        <f>'Юнит 17'!AO104</f>
        <v>19543.81883077537</v>
      </c>
      <c r="D16" s="172">
        <f t="shared" si="0"/>
        <v>3.453230162671693E-2</v>
      </c>
      <c r="E16" s="172">
        <f t="shared" si="5"/>
        <v>0.88054425064111252</v>
      </c>
      <c r="F16" s="173" t="str">
        <f t="shared" si="3"/>
        <v>B</v>
      </c>
      <c r="G16" s="173" t="str">
        <f t="shared" si="1"/>
        <v>C</v>
      </c>
      <c r="I16" s="182" t="s">
        <v>167</v>
      </c>
      <c r="J16" s="171">
        <f>'Юнит 17'!U48</f>
        <v>30</v>
      </c>
      <c r="K16" s="172">
        <f t="shared" si="2"/>
        <v>1.7699115044247787E-2</v>
      </c>
      <c r="L16" s="172">
        <f t="shared" si="6"/>
        <v>0.84719764011799403</v>
      </c>
      <c r="M16" s="173" t="str">
        <f t="shared" si="4"/>
        <v>B</v>
      </c>
    </row>
    <row r="17" spans="2:13" ht="26.5" outlineLevel="1" thickBot="1">
      <c r="B17" s="182" t="s">
        <v>136</v>
      </c>
      <c r="C17" s="171">
        <f>'Юнит 17'!AO17</f>
        <v>13512.606238044002</v>
      </c>
      <c r="D17" s="172">
        <f t="shared" si="0"/>
        <v>2.3875650834442357E-2</v>
      </c>
      <c r="E17" s="172">
        <f t="shared" si="5"/>
        <v>0.90441990147555484</v>
      </c>
      <c r="F17" s="173" t="str">
        <f t="shared" si="3"/>
        <v>B</v>
      </c>
      <c r="G17" s="173" t="str">
        <f t="shared" si="1"/>
        <v>B</v>
      </c>
      <c r="I17" s="182" t="s">
        <v>136</v>
      </c>
      <c r="J17" s="171">
        <f>'Юнит 17'!U17</f>
        <v>27</v>
      </c>
      <c r="K17" s="172">
        <f t="shared" si="2"/>
        <v>1.5929203539823009E-2</v>
      </c>
      <c r="L17" s="172">
        <f t="shared" si="6"/>
        <v>0.863126843657817</v>
      </c>
      <c r="M17" s="173" t="str">
        <f t="shared" si="4"/>
        <v>B</v>
      </c>
    </row>
    <row r="18" spans="2:13" ht="15" outlineLevel="1" thickBot="1">
      <c r="B18" s="182" t="s">
        <v>169</v>
      </c>
      <c r="C18" s="171">
        <f>'Юнит 17'!AO50</f>
        <v>13346.651855573904</v>
      </c>
      <c r="D18" s="172">
        <f t="shared" si="0"/>
        <v>2.3582423249733642E-2</v>
      </c>
      <c r="E18" s="172">
        <f t="shared" si="5"/>
        <v>0.92800232472528843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17'!U50</f>
        <v>26</v>
      </c>
      <c r="K18" s="172">
        <f t="shared" si="2"/>
        <v>1.5339233038348082E-2</v>
      </c>
      <c r="L18" s="172">
        <f t="shared" si="6"/>
        <v>0.87846607669616505</v>
      </c>
      <c r="M18" s="173" t="str">
        <f t="shared" si="4"/>
        <v>B</v>
      </c>
    </row>
    <row r="19" spans="2:13" ht="15" outlineLevel="1" thickBot="1">
      <c r="B19" s="182" t="s">
        <v>167</v>
      </c>
      <c r="C19" s="171">
        <f>'Юнит 17'!AO48</f>
        <v>13296.045815901198</v>
      </c>
      <c r="D19" s="172">
        <f t="shared" si="0"/>
        <v>2.3493006588576323E-2</v>
      </c>
      <c r="E19" s="172">
        <f t="shared" si="5"/>
        <v>0.95149533131386477</v>
      </c>
      <c r="F19" s="173" t="str">
        <f t="shared" si="3"/>
        <v>C</v>
      </c>
      <c r="G19" s="173" t="str">
        <f t="shared" si="1"/>
        <v>B</v>
      </c>
      <c r="I19" s="182" t="s">
        <v>168</v>
      </c>
      <c r="J19" s="171">
        <f>'Юнит 17'!U49</f>
        <v>23</v>
      </c>
      <c r="K19" s="172">
        <f t="shared" si="2"/>
        <v>1.3569321533923304E-2</v>
      </c>
      <c r="L19" s="172">
        <f t="shared" si="6"/>
        <v>0.89203539823008837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17'!AO49</f>
        <v>10258.195941984166</v>
      </c>
      <c r="D20" s="172">
        <f t="shared" si="0"/>
        <v>1.8125378641800832E-2</v>
      </c>
      <c r="E20" s="172">
        <f t="shared" si="5"/>
        <v>0.96962070995566563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17'!U8</f>
        <v>22</v>
      </c>
      <c r="K20" s="172">
        <f t="shared" si="2"/>
        <v>1.2979351032448377E-2</v>
      </c>
      <c r="L20" s="172">
        <f t="shared" si="6"/>
        <v>0.90501474926253678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17'!AO8</f>
        <v>9350.0703575067546</v>
      </c>
      <c r="D21" s="172">
        <f t="shared" si="0"/>
        <v>1.6520796299442492E-2</v>
      </c>
      <c r="E21" s="172">
        <f t="shared" si="5"/>
        <v>0.9861415062551081</v>
      </c>
      <c r="F21" s="173" t="str">
        <f t="shared" si="3"/>
        <v>C</v>
      </c>
      <c r="G21" s="173" t="str">
        <f t="shared" si="1"/>
        <v>B</v>
      </c>
      <c r="I21" s="182" t="s">
        <v>133</v>
      </c>
      <c r="J21" s="171">
        <f>'Юнит 17'!U14</f>
        <v>22</v>
      </c>
      <c r="K21" s="172">
        <f t="shared" si="2"/>
        <v>1.2979351032448377E-2</v>
      </c>
      <c r="L21" s="172">
        <f t="shared" si="6"/>
        <v>0.91799410029498518</v>
      </c>
      <c r="M21" s="173" t="str">
        <f t="shared" si="4"/>
        <v>B</v>
      </c>
    </row>
    <row r="22" spans="2:13" ht="15" outlineLevel="1" thickBot="1">
      <c r="B22" s="182" t="s">
        <v>133</v>
      </c>
      <c r="C22" s="171">
        <f>'Юнит 17'!AO14</f>
        <v>7721.7315657499039</v>
      </c>
      <c r="D22" s="172">
        <f t="shared" si="0"/>
        <v>1.364365714898709E-2</v>
      </c>
      <c r="E22" s="172">
        <f t="shared" si="5"/>
        <v>0.99978516340409518</v>
      </c>
      <c r="F22" s="173" t="str">
        <f t="shared" si="3"/>
        <v>C</v>
      </c>
      <c r="G22" s="173" t="str">
        <f t="shared" si="1"/>
        <v>B</v>
      </c>
      <c r="I22" s="182" t="s">
        <v>147</v>
      </c>
      <c r="J22" s="171">
        <f>'Юнит 17'!U28</f>
        <v>21</v>
      </c>
      <c r="K22" s="172">
        <f t="shared" si="2"/>
        <v>1.2389380530973451E-2</v>
      </c>
      <c r="L22" s="172">
        <f t="shared" si="6"/>
        <v>0.93038348082595868</v>
      </c>
      <c r="M22" s="173" t="str">
        <f t="shared" si="4"/>
        <v>B</v>
      </c>
    </row>
    <row r="23" spans="2:13" ht="26.5" outlineLevel="1" thickBot="1">
      <c r="B23" s="182" t="s">
        <v>163</v>
      </c>
      <c r="C23" s="171">
        <f>'Юнит 17'!AO44</f>
        <v>5766.4422426410656</v>
      </c>
      <c r="D23" s="172">
        <f t="shared" si="0"/>
        <v>1.0188823615288455E-2</v>
      </c>
      <c r="E23" s="172">
        <f t="shared" si="5"/>
        <v>1.0099739870193836</v>
      </c>
      <c r="F23" s="173" t="str">
        <f t="shared" si="3"/>
        <v>C</v>
      </c>
      <c r="G23" s="173" t="str">
        <f t="shared" si="1"/>
        <v>B</v>
      </c>
      <c r="I23" s="182" t="s">
        <v>137</v>
      </c>
      <c r="J23" s="171">
        <f>'Юнит 17'!U18</f>
        <v>18</v>
      </c>
      <c r="K23" s="172">
        <f t="shared" si="2"/>
        <v>1.0619469026548672E-2</v>
      </c>
      <c r="L23" s="172">
        <f t="shared" si="6"/>
        <v>0.94100294985250732</v>
      </c>
      <c r="M23" s="173" t="str">
        <f t="shared" si="4"/>
        <v>B</v>
      </c>
    </row>
    <row r="24" spans="2:13" ht="15" outlineLevel="1" thickBot="1">
      <c r="B24" s="182" t="s">
        <v>140</v>
      </c>
      <c r="C24" s="171">
        <f>'Юнит 17'!AO21</f>
        <v>2379.5724379390203</v>
      </c>
      <c r="D24" s="172">
        <f t="shared" si="0"/>
        <v>4.2045064928731921E-3</v>
      </c>
      <c r="E24" s="172">
        <f t="shared" si="5"/>
        <v>1.0141784935122569</v>
      </c>
      <c r="F24" s="173" t="str">
        <f t="shared" si="3"/>
        <v>C</v>
      </c>
      <c r="G24" s="173" t="str">
        <f t="shared" si="1"/>
        <v>C</v>
      </c>
      <c r="I24" s="182" t="s">
        <v>163</v>
      </c>
      <c r="J24" s="171">
        <f>'Юнит 17'!U44</f>
        <v>15</v>
      </c>
      <c r="K24" s="172">
        <f t="shared" si="2"/>
        <v>8.8495575221238937E-3</v>
      </c>
      <c r="L24" s="172">
        <f t="shared" si="6"/>
        <v>0.94985250737463123</v>
      </c>
      <c r="M24" s="173" t="str">
        <f t="shared" si="4"/>
        <v>B</v>
      </c>
    </row>
    <row r="25" spans="2:13" ht="15" outlineLevel="1" thickBot="1">
      <c r="B25" s="182" t="s">
        <v>141</v>
      </c>
      <c r="C25" s="171">
        <f>'Юнит 17'!AO22</f>
        <v>1871.25091333462</v>
      </c>
      <c r="D25" s="172">
        <f t="shared" si="0"/>
        <v>3.3063446564898904E-3</v>
      </c>
      <c r="E25" s="172">
        <f t="shared" si="5"/>
        <v>1.0174848381687467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17'!U45</f>
        <v>15</v>
      </c>
      <c r="K25" s="172">
        <f t="shared" si="2"/>
        <v>8.8495575221238937E-3</v>
      </c>
      <c r="L25" s="172">
        <f t="shared" si="6"/>
        <v>0.95870206489675514</v>
      </c>
      <c r="M25" s="173" t="str">
        <f t="shared" si="4"/>
        <v>C</v>
      </c>
    </row>
    <row r="26" spans="2:13" ht="26.5" outlineLevel="1" thickBot="1">
      <c r="B26" s="182" t="s">
        <v>206</v>
      </c>
      <c r="C26" s="171">
        <f>'Юнит 17'!AO87</f>
        <v>1390.4105999999999</v>
      </c>
      <c r="D26" s="172">
        <f t="shared" si="0"/>
        <v>2.4567398337001253E-3</v>
      </c>
      <c r="E26" s="172">
        <f t="shared" si="5"/>
        <v>1.0199415780024468</v>
      </c>
      <c r="F26" s="173" t="str">
        <f t="shared" si="3"/>
        <v>C</v>
      </c>
      <c r="G26" s="173" t="str">
        <f t="shared" si="1"/>
        <v>C</v>
      </c>
      <c r="I26" s="182" t="s">
        <v>338</v>
      </c>
      <c r="J26" s="171">
        <f>'Юнит 17'!U104</f>
        <v>15</v>
      </c>
      <c r="K26" s="172">
        <f t="shared" si="2"/>
        <v>8.8495575221238937E-3</v>
      </c>
      <c r="L26" s="172">
        <f t="shared" si="6"/>
        <v>0.96755162241887904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17'!AO47</f>
        <v>1268.6840262832882</v>
      </c>
      <c r="D27" s="172">
        <f t="shared" si="0"/>
        <v>2.241659106848877E-3</v>
      </c>
      <c r="E27" s="172">
        <f>E26+D27</f>
        <v>1.0221832371092956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17'!U21</f>
        <v>5</v>
      </c>
      <c r="K27" s="172">
        <f t="shared" si="2"/>
        <v>2.9498525073746312E-3</v>
      </c>
      <c r="L27" s="172">
        <f>L26+K27</f>
        <v>0.97050147492625372</v>
      </c>
      <c r="M27" s="173" t="str">
        <f t="shared" si="4"/>
        <v>C</v>
      </c>
    </row>
    <row r="28" spans="2:13" ht="26.5" outlineLevel="1" thickBot="1">
      <c r="B28" s="182" t="s">
        <v>145</v>
      </c>
      <c r="C28" s="171">
        <f>'Юнит 17'!AO26</f>
        <v>1184.0504702431497</v>
      </c>
      <c r="D28" s="172">
        <f t="shared" si="0"/>
        <v>2.0921186557105583E-3</v>
      </c>
      <c r="E28" s="172">
        <f>E27+D28</f>
        <v>1.0242753557650062</v>
      </c>
      <c r="F28" s="173" t="str">
        <f t="shared" si="3"/>
        <v>C</v>
      </c>
      <c r="G28" s="173" t="str">
        <f t="shared" si="1"/>
        <v>C</v>
      </c>
      <c r="I28" s="182" t="s">
        <v>198</v>
      </c>
      <c r="J28" s="171">
        <f>'Юнит 17'!U79</f>
        <v>5</v>
      </c>
      <c r="K28" s="172">
        <f t="shared" si="2"/>
        <v>2.9498525073746312E-3</v>
      </c>
      <c r="L28" s="172">
        <f t="shared" si="6"/>
        <v>0.97345132743362839</v>
      </c>
      <c r="M28" s="173" t="str">
        <f t="shared" si="4"/>
        <v>C</v>
      </c>
    </row>
    <row r="29" spans="2:13" ht="26.5" outlineLevel="1" thickBot="1">
      <c r="B29" s="182" t="s">
        <v>198</v>
      </c>
      <c r="C29" s="171">
        <f>'Юнит 17'!AO79</f>
        <v>1060.8412188730215</v>
      </c>
      <c r="D29" s="172">
        <f t="shared" si="0"/>
        <v>1.8744181608197933E-3</v>
      </c>
      <c r="E29" s="172">
        <f t="shared" si="5"/>
        <v>1.0261497739258261</v>
      </c>
      <c r="F29" s="173" t="str">
        <f t="shared" si="3"/>
        <v>C</v>
      </c>
      <c r="G29" s="173" t="str">
        <f t="shared" si="1"/>
        <v>C</v>
      </c>
      <c r="I29" s="182" t="s">
        <v>141</v>
      </c>
      <c r="J29" s="171">
        <f>'Юнит 17'!U22</f>
        <v>4</v>
      </c>
      <c r="K29" s="172">
        <f t="shared" si="2"/>
        <v>2.359882005899705E-3</v>
      </c>
      <c r="L29" s="172">
        <f t="shared" si="6"/>
        <v>0.97581120943952815</v>
      </c>
      <c r="M29" s="173" t="str">
        <f t="shared" si="4"/>
        <v>C</v>
      </c>
    </row>
    <row r="30" spans="2:13" ht="26.5" outlineLevel="1" thickBot="1">
      <c r="B30" s="182" t="s">
        <v>137</v>
      </c>
      <c r="C30" s="171">
        <f>'Юнит 17'!AO18</f>
        <v>950.01893686222138</v>
      </c>
      <c r="D30" s="172">
        <f t="shared" si="0"/>
        <v>1.6786044100633754E-3</v>
      </c>
      <c r="E30" s="172">
        <f t="shared" si="5"/>
        <v>1.0278283783358895</v>
      </c>
      <c r="F30" s="173" t="str">
        <f t="shared" si="3"/>
        <v>C</v>
      </c>
      <c r="G30" s="173" t="str">
        <f t="shared" si="1"/>
        <v>B</v>
      </c>
      <c r="I30" s="182" t="s">
        <v>145</v>
      </c>
      <c r="J30" s="171">
        <f>'Юнит 17'!U26</f>
        <v>4</v>
      </c>
      <c r="K30" s="172">
        <f t="shared" si="2"/>
        <v>2.359882005899705E-3</v>
      </c>
      <c r="L30" s="172">
        <f t="shared" si="6"/>
        <v>0.9781710914454278</v>
      </c>
      <c r="M30" s="173" t="str">
        <f t="shared" si="4"/>
        <v>C</v>
      </c>
    </row>
    <row r="31" spans="2:13" ht="26.5" outlineLevel="1" thickBot="1">
      <c r="B31" s="182" t="s">
        <v>139</v>
      </c>
      <c r="C31" s="171">
        <f>'Юнит 17'!AO20</f>
        <v>868.6063822076419</v>
      </c>
      <c r="D31" s="172">
        <f t="shared" si="0"/>
        <v>1.5347552003528093E-3</v>
      </c>
      <c r="E31" s="172">
        <f t="shared" si="5"/>
        <v>1.0293631335362423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'Юнит 17'!U87</f>
        <v>4</v>
      </c>
      <c r="K31" s="172">
        <f t="shared" si="2"/>
        <v>2.359882005899705E-3</v>
      </c>
      <c r="L31" s="172">
        <f t="shared" si="6"/>
        <v>0.98053097345132745</v>
      </c>
      <c r="M31" s="173" t="str">
        <f t="shared" si="4"/>
        <v>C</v>
      </c>
    </row>
    <row r="32" spans="2:13" ht="15" outlineLevel="1" thickBot="1">
      <c r="B32" s="182" t="s">
        <v>162</v>
      </c>
      <c r="C32" s="171">
        <f>'Юнит 17'!AO43</f>
        <v>837.16189999999995</v>
      </c>
      <c r="D32" s="172">
        <f t="shared" si="0"/>
        <v>1.4791954167970821E-3</v>
      </c>
      <c r="E32" s="172">
        <f t="shared" si="5"/>
        <v>1.0308423289530393</v>
      </c>
      <c r="F32" s="173" t="str">
        <f t="shared" si="3"/>
        <v>C</v>
      </c>
      <c r="G32" s="173" t="str">
        <f t="shared" si="1"/>
        <v>C</v>
      </c>
      <c r="I32" s="182" t="s">
        <v>166</v>
      </c>
      <c r="J32" s="171">
        <f>'Юнит 17'!U47</f>
        <v>3</v>
      </c>
      <c r="K32" s="172">
        <f t="shared" si="2"/>
        <v>1.7699115044247787E-3</v>
      </c>
      <c r="L32" s="172">
        <f t="shared" si="6"/>
        <v>0.98230088495575218</v>
      </c>
      <c r="M32" s="173" t="str">
        <f t="shared" si="4"/>
        <v>C</v>
      </c>
    </row>
    <row r="33" spans="2:13" ht="26.5" outlineLevel="1" thickBot="1">
      <c r="B33" s="182" t="s">
        <v>205</v>
      </c>
      <c r="C33" s="171">
        <f>'Юнит 17'!AO86</f>
        <v>724.2279238131996</v>
      </c>
      <c r="D33" s="172">
        <f t="shared" si="0"/>
        <v>1.2796504781464029E-3</v>
      </c>
      <c r="E33" s="172">
        <f t="shared" si="5"/>
        <v>1.0321219794311858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17'!U102</f>
        <v>3</v>
      </c>
      <c r="K33" s="172">
        <f t="shared" si="2"/>
        <v>1.7699115044247787E-3</v>
      </c>
      <c r="L33" s="172">
        <f t="shared" si="6"/>
        <v>0.98407079646017692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17'!AO102</f>
        <v>703.48998379004252</v>
      </c>
      <c r="D34" s="172">
        <f t="shared" si="0"/>
        <v>1.2430082637359446E-3</v>
      </c>
      <c r="E34" s="172">
        <f t="shared" si="5"/>
        <v>1.0333649876949218</v>
      </c>
      <c r="F34" s="173" t="str">
        <f t="shared" si="3"/>
        <v>C</v>
      </c>
      <c r="G34" s="173" t="str">
        <f t="shared" si="1"/>
        <v>C</v>
      </c>
      <c r="I34" s="182" t="s">
        <v>139</v>
      </c>
      <c r="J34" s="171">
        <f>'Юнит 17'!U20</f>
        <v>2</v>
      </c>
      <c r="K34" s="172">
        <f t="shared" si="2"/>
        <v>1.1799410029498525E-3</v>
      </c>
      <c r="L34" s="172">
        <f t="shared" si="6"/>
        <v>0.98525073746312675</v>
      </c>
      <c r="M34" s="173" t="str">
        <f t="shared" si="4"/>
        <v>C</v>
      </c>
    </row>
    <row r="35" spans="2:13" ht="15" outlineLevel="1" thickBot="1">
      <c r="B35" s="182" t="s">
        <v>208</v>
      </c>
      <c r="C35" s="171">
        <f>'Юнит 17'!AO89</f>
        <v>575.79848606715564</v>
      </c>
      <c r="D35" s="172">
        <f t="shared" si="0"/>
        <v>1.0173880125089725E-3</v>
      </c>
      <c r="E35" s="172">
        <f t="shared" si="5"/>
        <v>1.0343823757074309</v>
      </c>
      <c r="F35" s="173" t="str">
        <f t="shared" si="3"/>
        <v>C</v>
      </c>
      <c r="G35" s="173" t="str">
        <f t="shared" si="1"/>
        <v>C</v>
      </c>
      <c r="I35" s="182" t="s">
        <v>152</v>
      </c>
      <c r="J35" s="171">
        <f>'Юнит 17'!U33</f>
        <v>2</v>
      </c>
      <c r="K35" s="172">
        <f t="shared" si="2"/>
        <v>1.1799410029498525E-3</v>
      </c>
      <c r="L35" s="172">
        <f t="shared" si="6"/>
        <v>0.98643067846607657</v>
      </c>
      <c r="M35" s="173" t="str">
        <f t="shared" si="4"/>
        <v>C</v>
      </c>
    </row>
    <row r="36" spans="2:13" ht="15" outlineLevel="1" thickBot="1">
      <c r="B36" s="182" t="s">
        <v>152</v>
      </c>
      <c r="C36" s="171">
        <f>'Юнит 17'!AO33</f>
        <v>521.24120411848708</v>
      </c>
      <c r="D36" s="172">
        <f t="shared" ref="D36:D67" si="7">C36/C$106</f>
        <v>9.209898350341295E-4</v>
      </c>
      <c r="E36" s="172">
        <f t="shared" si="5"/>
        <v>1.035303365542465</v>
      </c>
      <c r="F36" s="173" t="str">
        <f t="shared" si="3"/>
        <v>C</v>
      </c>
      <c r="G36" s="173" t="str">
        <f t="shared" si="1"/>
        <v>C</v>
      </c>
      <c r="I36" s="182" t="s">
        <v>162</v>
      </c>
      <c r="J36" s="171">
        <f>'Юнит 17'!U43</f>
        <v>2</v>
      </c>
      <c r="K36" s="172">
        <f t="shared" ref="K36:K67" si="8">J36/J$106</f>
        <v>1.1799410029498525E-3</v>
      </c>
      <c r="L36" s="172">
        <f t="shared" si="6"/>
        <v>0.9876106194690264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17'!AO100</f>
        <v>380.49118201466615</v>
      </c>
      <c r="D37" s="172">
        <f t="shared" si="7"/>
        <v>6.7229625782993531E-4</v>
      </c>
      <c r="E37" s="172">
        <f t="shared" si="5"/>
        <v>1.0359756618002949</v>
      </c>
      <c r="F37" s="173" t="str">
        <f t="shared" si="3"/>
        <v>C</v>
      </c>
      <c r="G37" s="173" t="str">
        <f t="shared" si="1"/>
        <v>C</v>
      </c>
      <c r="I37" s="182" t="s">
        <v>205</v>
      </c>
      <c r="J37" s="171">
        <f>'Юнит 17'!U86</f>
        <v>2</v>
      </c>
      <c r="K37" s="172">
        <f t="shared" si="8"/>
        <v>1.1799410029498525E-3</v>
      </c>
      <c r="L37" s="172">
        <f t="shared" si="6"/>
        <v>0.98879056047197622</v>
      </c>
      <c r="M37" s="173" t="str">
        <f t="shared" si="4"/>
        <v>C</v>
      </c>
    </row>
    <row r="38" spans="2:13" ht="15" outlineLevel="1" thickBot="1">
      <c r="B38" s="182" t="s">
        <v>143</v>
      </c>
      <c r="C38" s="171">
        <f>'Юнит 17'!AO24</f>
        <v>341.25256067888836</v>
      </c>
      <c r="D38" s="172">
        <f t="shared" si="7"/>
        <v>6.0296487898754095E-4</v>
      </c>
      <c r="E38" s="172">
        <f t="shared" si="5"/>
        <v>1.0365786266792825</v>
      </c>
      <c r="F38" s="173" t="str">
        <f t="shared" si="3"/>
        <v>C</v>
      </c>
      <c r="G38" s="173" t="str">
        <f t="shared" si="1"/>
        <v>C</v>
      </c>
      <c r="I38" s="182" t="s">
        <v>211</v>
      </c>
      <c r="J38" s="171">
        <f>'Юнит 17'!U92</f>
        <v>2</v>
      </c>
      <c r="K38" s="172">
        <f t="shared" si="8"/>
        <v>1.1799410029498525E-3</v>
      </c>
      <c r="L38" s="172">
        <f t="shared" si="6"/>
        <v>0.98997050147492605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17'!AO41</f>
        <v>301.87035661906611</v>
      </c>
      <c r="D39" s="172">
        <f t="shared" si="7"/>
        <v>5.3337980141932321E-4</v>
      </c>
      <c r="E39" s="172">
        <f>E35+D39</f>
        <v>1.0349157555088502</v>
      </c>
      <c r="F39" s="173" t="str">
        <f t="shared" si="3"/>
        <v>C</v>
      </c>
      <c r="G39" s="173" t="str">
        <f t="shared" si="1"/>
        <v>C</v>
      </c>
      <c r="I39" s="182" t="s">
        <v>217</v>
      </c>
      <c r="J39" s="171">
        <f>'Юнит 17'!U98</f>
        <v>2</v>
      </c>
      <c r="K39" s="172">
        <f t="shared" si="8"/>
        <v>1.1799410029498525E-3</v>
      </c>
      <c r="L39" s="172">
        <f>L35+K39</f>
        <v>0.9876106194690264</v>
      </c>
      <c r="M39" s="173" t="str">
        <f t="shared" si="4"/>
        <v>C</v>
      </c>
    </row>
    <row r="40" spans="2:13" ht="15" outlineLevel="1" thickBot="1">
      <c r="B40" s="182" t="s">
        <v>179</v>
      </c>
      <c r="C40" s="171">
        <f>'Юнит 17'!AO60</f>
        <v>301.47673527595515</v>
      </c>
      <c r="D40" s="172">
        <f t="shared" si="7"/>
        <v>5.3268430525940094E-4</v>
      </c>
      <c r="E40" s="172">
        <f t="shared" si="5"/>
        <v>1.0354484398141095</v>
      </c>
      <c r="F40" s="173" t="str">
        <f t="shared" si="3"/>
        <v>C</v>
      </c>
      <c r="G40" s="173" t="str">
        <f t="shared" si="1"/>
        <v>C</v>
      </c>
      <c r="I40" s="182" t="s">
        <v>143</v>
      </c>
      <c r="J40" s="171">
        <f>'Юнит 17'!U24</f>
        <v>1</v>
      </c>
      <c r="K40" s="172">
        <f t="shared" si="8"/>
        <v>5.8997050147492625E-4</v>
      </c>
      <c r="L40" s="172">
        <f t="shared" si="6"/>
        <v>0.98820058997050131</v>
      </c>
      <c r="M40" s="173" t="str">
        <f t="shared" si="4"/>
        <v>C</v>
      </c>
    </row>
    <row r="41" spans="2:13" ht="15" outlineLevel="1" thickBot="1">
      <c r="B41" s="182" t="s">
        <v>217</v>
      </c>
      <c r="C41" s="171">
        <f>'Юнит 17'!AO98</f>
        <v>225.18053033577797</v>
      </c>
      <c r="D41" s="172">
        <f t="shared" si="7"/>
        <v>3.9787525976112755E-4</v>
      </c>
      <c r="E41" s="172">
        <f t="shared" si="5"/>
        <v>1.0358463150738706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17'!U27</f>
        <v>1</v>
      </c>
      <c r="K41" s="172">
        <f t="shared" si="8"/>
        <v>5.8997050147492625E-4</v>
      </c>
      <c r="L41" s="172">
        <f t="shared" si="6"/>
        <v>0.98879056047197622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17'!AO69</f>
        <v>206.19010000000009</v>
      </c>
      <c r="D42" s="172">
        <f t="shared" si="7"/>
        <v>3.6432074955744184E-4</v>
      </c>
      <c r="E42" s="172">
        <f t="shared" si="5"/>
        <v>1.036210635823428</v>
      </c>
      <c r="F42" s="173" t="str">
        <f t="shared" si="3"/>
        <v>C</v>
      </c>
      <c r="G42" s="173" t="str">
        <f t="shared" si="1"/>
        <v>C</v>
      </c>
      <c r="I42" s="182" t="s">
        <v>153</v>
      </c>
      <c r="J42" s="171">
        <f>'Юнит 17'!U34</f>
        <v>1</v>
      </c>
      <c r="K42" s="172">
        <f t="shared" si="8"/>
        <v>5.8997050147492625E-4</v>
      </c>
      <c r="L42" s="172">
        <f t="shared" si="6"/>
        <v>0.98938053097345113</v>
      </c>
      <c r="M42" s="173" t="str">
        <f t="shared" si="4"/>
        <v>C</v>
      </c>
    </row>
    <row r="43" spans="2:13" ht="15" outlineLevel="1" thickBot="1">
      <c r="B43" s="182" t="s">
        <v>192</v>
      </c>
      <c r="C43" s="171">
        <f>'Юнит 17'!AO73</f>
        <v>205.75398606715552</v>
      </c>
      <c r="D43" s="172">
        <f t="shared" si="7"/>
        <v>3.6355017252728193E-4</v>
      </c>
      <c r="E43" s="172">
        <f t="shared" si="5"/>
        <v>1.0365741859959552</v>
      </c>
      <c r="F43" s="173" t="str">
        <f t="shared" si="3"/>
        <v>C</v>
      </c>
      <c r="G43" s="173" t="str">
        <f t="shared" si="1"/>
        <v>C</v>
      </c>
      <c r="I43" s="182" t="s">
        <v>158</v>
      </c>
      <c r="J43" s="171">
        <f>'Юнит 17'!U39</f>
        <v>1</v>
      </c>
      <c r="K43" s="172">
        <f t="shared" si="8"/>
        <v>5.8997050147492625E-4</v>
      </c>
      <c r="L43" s="172">
        <f t="shared" si="6"/>
        <v>0.98997050147492605</v>
      </c>
      <c r="M43" s="173" t="str">
        <f t="shared" si="4"/>
        <v>C</v>
      </c>
    </row>
    <row r="44" spans="2:13" ht="15" outlineLevel="1" thickBot="1">
      <c r="B44" s="182" t="s">
        <v>158</v>
      </c>
      <c r="C44" s="171">
        <f>'Юнит 17'!AO39</f>
        <v>199.92984347008871</v>
      </c>
      <c r="D44" s="172">
        <f t="shared" si="7"/>
        <v>3.532593971869877E-4</v>
      </c>
      <c r="E44" s="172">
        <f t="shared" si="5"/>
        <v>1.0369274453931421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17'!U41</f>
        <v>1</v>
      </c>
      <c r="K44" s="172">
        <f t="shared" si="8"/>
        <v>5.8997050147492625E-4</v>
      </c>
      <c r="L44" s="172">
        <f t="shared" si="6"/>
        <v>0.99056047197640096</v>
      </c>
      <c r="M44" s="173" t="str">
        <f t="shared" si="4"/>
        <v>C</v>
      </c>
    </row>
    <row r="45" spans="2:13" ht="15" outlineLevel="1" thickBot="1">
      <c r="B45" s="182" t="s">
        <v>173</v>
      </c>
      <c r="C45" s="171">
        <f>'Юнит 17'!AO54</f>
        <v>156.10390741026634</v>
      </c>
      <c r="D45" s="172">
        <f t="shared" si="7"/>
        <v>2.7582261493909607E-4</v>
      </c>
      <c r="E45" s="172">
        <f t="shared" si="5"/>
        <v>1.0372032680080812</v>
      </c>
      <c r="F45" s="173" t="str">
        <f t="shared" si="3"/>
        <v>C</v>
      </c>
      <c r="G45" s="173" t="str">
        <f t="shared" si="1"/>
        <v>C</v>
      </c>
      <c r="I45" s="182" t="s">
        <v>171</v>
      </c>
      <c r="J45" s="171">
        <f>'Юнит 17'!U52</f>
        <v>1</v>
      </c>
      <c r="K45" s="172">
        <f t="shared" si="8"/>
        <v>5.8997050147492625E-4</v>
      </c>
      <c r="L45" s="172">
        <f t="shared" si="6"/>
        <v>0.99115044247787587</v>
      </c>
      <c r="M45" s="173" t="str">
        <f t="shared" si="4"/>
        <v>C</v>
      </c>
    </row>
    <row r="46" spans="2:13" ht="15" outlineLevel="1" thickBot="1">
      <c r="B46" s="182" t="s">
        <v>197</v>
      </c>
      <c r="C46" s="171">
        <f>'Юнит 17'!AO78</f>
        <v>139.12650247008872</v>
      </c>
      <c r="D46" s="172">
        <f t="shared" si="7"/>
        <v>2.458249531049647E-4</v>
      </c>
      <c r="E46" s="172">
        <f t="shared" si="5"/>
        <v>1.0374490929611861</v>
      </c>
      <c r="F46" s="173" t="str">
        <f t="shared" si="3"/>
        <v>C</v>
      </c>
      <c r="G46" s="173" t="str">
        <f t="shared" si="1"/>
        <v>C</v>
      </c>
      <c r="I46" s="182" t="s">
        <v>173</v>
      </c>
      <c r="J46" s="171">
        <f>'Юнит 17'!U54</f>
        <v>1</v>
      </c>
      <c r="K46" s="172">
        <f t="shared" si="8"/>
        <v>5.8997050147492625E-4</v>
      </c>
      <c r="L46" s="172">
        <f t="shared" si="6"/>
        <v>0.99174041297935078</v>
      </c>
      <c r="M46" s="173" t="str">
        <f t="shared" si="4"/>
        <v>C</v>
      </c>
    </row>
    <row r="47" spans="2:13" ht="15" outlineLevel="1" thickBot="1">
      <c r="B47" s="182" t="s">
        <v>203</v>
      </c>
      <c r="C47" s="171">
        <f>'Юнит 17'!AO84</f>
        <v>84.524556619065976</v>
      </c>
      <c r="D47" s="172">
        <f t="shared" si="7"/>
        <v>1.4934785823115919E-4</v>
      </c>
      <c r="E47" s="172">
        <f t="shared" si="5"/>
        <v>1.0375984408194172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17'!U60</f>
        <v>1</v>
      </c>
      <c r="K47" s="172">
        <f t="shared" si="8"/>
        <v>5.8997050147492625E-4</v>
      </c>
      <c r="L47" s="172">
        <f t="shared" si="6"/>
        <v>0.9923303834808257</v>
      </c>
      <c r="M47" s="173" t="str">
        <f t="shared" si="4"/>
        <v>C</v>
      </c>
    </row>
    <row r="48" spans="2:13" ht="15" outlineLevel="1" thickBot="1">
      <c r="B48" s="182" t="s">
        <v>153</v>
      </c>
      <c r="C48" s="171">
        <f>'Юнит 17'!AO34</f>
        <v>75.810400000000016</v>
      </c>
      <c r="D48" s="172">
        <f t="shared" si="7"/>
        <v>1.3395066859296097E-4</v>
      </c>
      <c r="E48" s="172">
        <f t="shared" si="5"/>
        <v>1.0377323914880101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17'!U69</f>
        <v>1</v>
      </c>
      <c r="K48" s="172">
        <f t="shared" si="8"/>
        <v>5.8997050147492625E-4</v>
      </c>
      <c r="L48" s="172">
        <f t="shared" si="6"/>
        <v>0.99292035398230061</v>
      </c>
      <c r="M48" s="173" t="str">
        <f t="shared" si="4"/>
        <v>C</v>
      </c>
    </row>
    <row r="49" spans="2:13" ht="26.5" outlineLevel="1" thickBot="1">
      <c r="B49" s="182" t="s">
        <v>138</v>
      </c>
      <c r="C49" s="171">
        <f>'Юнит 17'!AO19</f>
        <v>0</v>
      </c>
      <c r="D49" s="172">
        <f t="shared" si="7"/>
        <v>0</v>
      </c>
      <c r="E49" s="172">
        <f t="shared" si="5"/>
        <v>1.0377323914880101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17'!U73</f>
        <v>1</v>
      </c>
      <c r="K49" s="172">
        <f t="shared" si="8"/>
        <v>5.8997050147492625E-4</v>
      </c>
      <c r="L49" s="172">
        <f t="shared" si="6"/>
        <v>0.99351032448377552</v>
      </c>
      <c r="M49" s="173" t="str">
        <f t="shared" si="4"/>
        <v>C</v>
      </c>
    </row>
    <row r="50" spans="2:13" ht="15" outlineLevel="1" thickBot="1">
      <c r="B50" s="182" t="s">
        <v>142</v>
      </c>
      <c r="C50" s="171">
        <f>'Юнит 17'!AO23</f>
        <v>0</v>
      </c>
      <c r="D50" s="172">
        <f t="shared" si="7"/>
        <v>0</v>
      </c>
      <c r="E50" s="172">
        <f t="shared" si="5"/>
        <v>1.0377323914880101</v>
      </c>
      <c r="F50" s="173" t="str">
        <f t="shared" si="3"/>
        <v>C</v>
      </c>
      <c r="G50" s="173" t="str">
        <f t="shared" si="1"/>
        <v>C</v>
      </c>
      <c r="I50" s="182" t="s">
        <v>194</v>
      </c>
      <c r="J50" s="171">
        <f>'Юнит 17'!U75</f>
        <v>1</v>
      </c>
      <c r="K50" s="172">
        <f t="shared" si="8"/>
        <v>5.8997050147492625E-4</v>
      </c>
      <c r="L50" s="172">
        <f t="shared" si="6"/>
        <v>0.99410029498525043</v>
      </c>
      <c r="M50" s="173" t="str">
        <f t="shared" si="4"/>
        <v>C</v>
      </c>
    </row>
    <row r="51" spans="2:13" ht="26.5" outlineLevel="1" thickBot="1">
      <c r="B51" s="182" t="s">
        <v>144</v>
      </c>
      <c r="C51" s="171">
        <f>'Юнит 17'!AO25</f>
        <v>0</v>
      </c>
      <c r="D51" s="172">
        <f t="shared" si="7"/>
        <v>0</v>
      </c>
      <c r="E51" s="172">
        <f t="shared" si="5"/>
        <v>1.0377323914880101</v>
      </c>
      <c r="F51" s="173" t="str">
        <f t="shared" si="3"/>
        <v>C</v>
      </c>
      <c r="G51" s="173" t="str">
        <f t="shared" si="1"/>
        <v>C</v>
      </c>
      <c r="I51" s="182" t="s">
        <v>196</v>
      </c>
      <c r="J51" s="171">
        <f>'Юнит 17'!U77</f>
        <v>1</v>
      </c>
      <c r="K51" s="172">
        <f t="shared" si="8"/>
        <v>5.8997050147492625E-4</v>
      </c>
      <c r="L51" s="172">
        <f t="shared" si="6"/>
        <v>0.99469026548672534</v>
      </c>
      <c r="M51" s="173" t="str">
        <f t="shared" si="4"/>
        <v>C</v>
      </c>
    </row>
    <row r="52" spans="2:13" ht="15" outlineLevel="1" thickBot="1">
      <c r="B52" s="182" t="s">
        <v>148</v>
      </c>
      <c r="C52" s="171">
        <f>'Юнит 17'!AO29</f>
        <v>0</v>
      </c>
      <c r="D52" s="172">
        <f t="shared" si="7"/>
        <v>0</v>
      </c>
      <c r="E52" s="172">
        <f t="shared" si="5"/>
        <v>1.0377323914880101</v>
      </c>
      <c r="F52" s="173" t="str">
        <f t="shared" si="3"/>
        <v>C</v>
      </c>
      <c r="G52" s="173" t="str">
        <f t="shared" si="1"/>
        <v>C</v>
      </c>
      <c r="I52" s="182" t="s">
        <v>197</v>
      </c>
      <c r="J52" s="171">
        <f>'Юнит 17'!U78</f>
        <v>1</v>
      </c>
      <c r="K52" s="172">
        <f t="shared" si="8"/>
        <v>5.8997050147492625E-4</v>
      </c>
      <c r="L52" s="172">
        <f t="shared" si="6"/>
        <v>0.99528023598820026</v>
      </c>
      <c r="M52" s="173" t="str">
        <f t="shared" si="4"/>
        <v>C</v>
      </c>
    </row>
    <row r="53" spans="2:13" ht="15" outlineLevel="1" thickBot="1">
      <c r="B53" s="182" t="s">
        <v>149</v>
      </c>
      <c r="C53" s="171">
        <f>'Юнит 17'!AO30</f>
        <v>0</v>
      </c>
      <c r="D53" s="172">
        <f t="shared" si="7"/>
        <v>0</v>
      </c>
      <c r="E53" s="172">
        <f t="shared" si="5"/>
        <v>1.0377323914880101</v>
      </c>
      <c r="F53" s="173" t="str">
        <f t="shared" si="3"/>
        <v>C</v>
      </c>
      <c r="G53" s="173" t="str">
        <f t="shared" si="1"/>
        <v>C</v>
      </c>
      <c r="I53" s="182" t="s">
        <v>203</v>
      </c>
      <c r="J53" s="171">
        <f>'Юнит 17'!U84</f>
        <v>1</v>
      </c>
      <c r="K53" s="172">
        <f t="shared" si="8"/>
        <v>5.8997050147492625E-4</v>
      </c>
      <c r="L53" s="172">
        <f t="shared" si="6"/>
        <v>0.99587020648967517</v>
      </c>
      <c r="M53" s="173" t="str">
        <f t="shared" si="4"/>
        <v>C</v>
      </c>
    </row>
    <row r="54" spans="2:13" ht="15" outlineLevel="1" thickBot="1">
      <c r="B54" s="182" t="s">
        <v>150</v>
      </c>
      <c r="C54" s="171">
        <f>'Юнит 17'!AO31</f>
        <v>0</v>
      </c>
      <c r="D54" s="172">
        <f t="shared" si="7"/>
        <v>0</v>
      </c>
      <c r="E54" s="172">
        <f t="shared" si="5"/>
        <v>1.0377323914880101</v>
      </c>
      <c r="F54" s="173" t="str">
        <f t="shared" si="3"/>
        <v>C</v>
      </c>
      <c r="G54" s="173" t="str">
        <f t="shared" si="1"/>
        <v>C</v>
      </c>
      <c r="I54" s="182" t="s">
        <v>208</v>
      </c>
      <c r="J54" s="171">
        <f>'Юнит 17'!U89</f>
        <v>1</v>
      </c>
      <c r="K54" s="172">
        <f t="shared" si="8"/>
        <v>5.8997050147492625E-4</v>
      </c>
      <c r="L54" s="172">
        <f t="shared" si="6"/>
        <v>0.99646017699115008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17'!AO32</f>
        <v>0</v>
      </c>
      <c r="D55" s="172">
        <f t="shared" si="7"/>
        <v>0</v>
      </c>
      <c r="E55" s="172">
        <f t="shared" si="5"/>
        <v>1.0377323914880101</v>
      </c>
      <c r="F55" s="173" t="str">
        <f t="shared" si="3"/>
        <v>C</v>
      </c>
      <c r="G55" s="173" t="str">
        <f t="shared" si="1"/>
        <v>C</v>
      </c>
      <c r="I55" s="182" t="s">
        <v>210</v>
      </c>
      <c r="J55" s="171">
        <f>'Юнит 17'!U91</f>
        <v>1</v>
      </c>
      <c r="K55" s="172">
        <f t="shared" si="8"/>
        <v>5.8997050147492625E-4</v>
      </c>
      <c r="L55" s="172">
        <f t="shared" si="6"/>
        <v>0.99705014749262499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17'!AO35</f>
        <v>0</v>
      </c>
      <c r="D56" s="172">
        <f t="shared" si="7"/>
        <v>0</v>
      </c>
      <c r="E56" s="172">
        <f t="shared" si="5"/>
        <v>1.0377323914880101</v>
      </c>
      <c r="F56" s="173" t="str">
        <f t="shared" si="3"/>
        <v>C</v>
      </c>
      <c r="G56" s="173" t="str">
        <f t="shared" si="1"/>
        <v>C</v>
      </c>
      <c r="I56" s="182" t="s">
        <v>257</v>
      </c>
      <c r="J56" s="171">
        <f>'Юнит 17'!U100</f>
        <v>1</v>
      </c>
      <c r="K56" s="172">
        <f t="shared" si="8"/>
        <v>5.8997050147492625E-4</v>
      </c>
      <c r="L56" s="172">
        <f t="shared" si="6"/>
        <v>0.99764011799409991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17'!AO36</f>
        <v>0</v>
      </c>
      <c r="D57" s="172">
        <f t="shared" si="7"/>
        <v>0</v>
      </c>
      <c r="E57" s="172">
        <f t="shared" si="5"/>
        <v>1.0377323914880101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'Юнит 17'!U19</f>
        <v>0</v>
      </c>
      <c r="K57" s="172">
        <f t="shared" si="8"/>
        <v>0</v>
      </c>
      <c r="L57" s="172">
        <f t="shared" si="6"/>
        <v>0.99764011799409991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17'!AO46</f>
        <v>0</v>
      </c>
      <c r="D58" s="172">
        <f t="shared" si="7"/>
        <v>0</v>
      </c>
      <c r="E58" s="172">
        <f t="shared" si="5"/>
        <v>1.0377323914880101</v>
      </c>
      <c r="F58" s="173" t="str">
        <f t="shared" si="3"/>
        <v>C</v>
      </c>
      <c r="G58" s="173" t="str">
        <f t="shared" si="1"/>
        <v>C</v>
      </c>
      <c r="I58" s="182" t="s">
        <v>142</v>
      </c>
      <c r="J58" s="171">
        <f>'Юнит 17'!U23</f>
        <v>0</v>
      </c>
      <c r="K58" s="172">
        <f t="shared" si="8"/>
        <v>0</v>
      </c>
      <c r="L58" s="172">
        <f t="shared" si="6"/>
        <v>0.99764011799409991</v>
      </c>
      <c r="M58" s="173" t="str">
        <f t="shared" si="4"/>
        <v>C</v>
      </c>
    </row>
    <row r="59" spans="2:13" ht="15" outlineLevel="1" thickBot="1">
      <c r="B59" s="182" t="s">
        <v>175</v>
      </c>
      <c r="C59" s="171">
        <f>'Юнит 17'!AO56</f>
        <v>0</v>
      </c>
      <c r="D59" s="172">
        <f t="shared" si="7"/>
        <v>0</v>
      </c>
      <c r="E59" s="172">
        <f t="shared" si="5"/>
        <v>1.0377323914880101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17'!U25</f>
        <v>0</v>
      </c>
      <c r="K59" s="172">
        <f t="shared" si="8"/>
        <v>0</v>
      </c>
      <c r="L59" s="172">
        <f t="shared" si="6"/>
        <v>0.99764011799409991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'Юнит 17'!AO57</f>
        <v>0</v>
      </c>
      <c r="D60" s="172">
        <f t="shared" si="7"/>
        <v>0</v>
      </c>
      <c r="E60" s="172">
        <f t="shared" si="5"/>
        <v>1.0377323914880101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17'!U29</f>
        <v>0</v>
      </c>
      <c r="K60" s="172">
        <f t="shared" si="8"/>
        <v>0</v>
      </c>
      <c r="L60" s="172">
        <f t="shared" si="6"/>
        <v>0.99764011799409991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'Юнит 17'!AO59</f>
        <v>0</v>
      </c>
      <c r="D61" s="172">
        <f t="shared" si="7"/>
        <v>0</v>
      </c>
      <c r="E61" s="172">
        <f t="shared" si="5"/>
        <v>1.0377323914880101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17'!U30</f>
        <v>0</v>
      </c>
      <c r="K61" s="172">
        <f t="shared" si="8"/>
        <v>0</v>
      </c>
      <c r="L61" s="172">
        <f t="shared" si="6"/>
        <v>0.99764011799409991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'Юнит 17'!AO62</f>
        <v>0</v>
      </c>
      <c r="D62" s="172">
        <f t="shared" si="7"/>
        <v>0</v>
      </c>
      <c r="E62" s="172">
        <f t="shared" si="5"/>
        <v>1.0377323914880101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17'!U31</f>
        <v>0</v>
      </c>
      <c r="K62" s="172">
        <f t="shared" si="8"/>
        <v>0</v>
      </c>
      <c r="L62" s="172">
        <f t="shared" si="6"/>
        <v>0.99764011799409991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'Юнит 17'!AO63</f>
        <v>0</v>
      </c>
      <c r="D63" s="172">
        <f t="shared" si="7"/>
        <v>0</v>
      </c>
      <c r="E63" s="172">
        <f t="shared" si="5"/>
        <v>1.0377323914880101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17'!U32</f>
        <v>0</v>
      </c>
      <c r="K63" s="172">
        <f t="shared" si="8"/>
        <v>0</v>
      </c>
      <c r="L63" s="172">
        <f t="shared" si="6"/>
        <v>0.99764011799409991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'Юнит 17'!AO64</f>
        <v>0</v>
      </c>
      <c r="D64" s="172">
        <f t="shared" si="7"/>
        <v>0</v>
      </c>
      <c r="E64" s="172">
        <f t="shared" si="5"/>
        <v>1.0377323914880101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17'!U35</f>
        <v>0</v>
      </c>
      <c r="K64" s="172">
        <f t="shared" si="8"/>
        <v>0</v>
      </c>
      <c r="L64" s="172">
        <f t="shared" si="6"/>
        <v>0.99764011799409991</v>
      </c>
      <c r="M64" s="173" t="str">
        <f t="shared" si="4"/>
        <v>C</v>
      </c>
    </row>
    <row r="65" spans="2:13" ht="15" outlineLevel="1" thickBot="1">
      <c r="B65" s="182" t="s">
        <v>186</v>
      </c>
      <c r="C65" s="171">
        <f>'Юнит 17'!AO67</f>
        <v>0</v>
      </c>
      <c r="D65" s="172">
        <f t="shared" si="7"/>
        <v>0</v>
      </c>
      <c r="E65" s="172">
        <f t="shared" si="5"/>
        <v>1.0377323914880101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17'!U36</f>
        <v>0</v>
      </c>
      <c r="K65" s="172">
        <f t="shared" si="8"/>
        <v>0</v>
      </c>
      <c r="L65" s="172">
        <f t="shared" si="6"/>
        <v>0.99764011799409991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'Юнит 17'!AO68</f>
        <v>0</v>
      </c>
      <c r="D66" s="172">
        <f t="shared" si="7"/>
        <v>0</v>
      </c>
      <c r="E66" s="172">
        <f t="shared" si="5"/>
        <v>1.0377323914880101</v>
      </c>
      <c r="F66" s="173" t="str">
        <f t="shared" si="3"/>
        <v>C</v>
      </c>
      <c r="G66" s="173" t="str">
        <f t="shared" si="1"/>
        <v>C</v>
      </c>
      <c r="I66" s="182" t="s">
        <v>156</v>
      </c>
      <c r="J66" s="171">
        <f>'Юнит 17'!U37</f>
        <v>0</v>
      </c>
      <c r="K66" s="172">
        <f t="shared" si="8"/>
        <v>0</v>
      </c>
      <c r="L66" s="172">
        <f t="shared" si="6"/>
        <v>0.99764011799409991</v>
      </c>
      <c r="M66" s="173" t="str">
        <f t="shared" si="4"/>
        <v>C</v>
      </c>
    </row>
    <row r="67" spans="2:13" ht="15" outlineLevel="1" thickBot="1">
      <c r="B67" s="182" t="s">
        <v>189</v>
      </c>
      <c r="C67" s="171">
        <f>'Юнит 17'!AO70</f>
        <v>0</v>
      </c>
      <c r="D67" s="172">
        <f t="shared" si="7"/>
        <v>0</v>
      </c>
      <c r="E67" s="172">
        <f t="shared" si="5"/>
        <v>1.0377323914880101</v>
      </c>
      <c r="F67" s="173" t="str">
        <f t="shared" si="3"/>
        <v>C</v>
      </c>
      <c r="G67" s="173" t="str">
        <f t="shared" si="1"/>
        <v>C</v>
      </c>
      <c r="I67" s="182" t="s">
        <v>157</v>
      </c>
      <c r="J67" s="171">
        <f>'Юнит 17'!U38</f>
        <v>0</v>
      </c>
      <c r="K67" s="172">
        <f t="shared" si="8"/>
        <v>0</v>
      </c>
      <c r="L67" s="172">
        <f t="shared" si="6"/>
        <v>0.99764011799409991</v>
      </c>
      <c r="M67" s="173" t="str">
        <f t="shared" si="4"/>
        <v>C</v>
      </c>
    </row>
    <row r="68" spans="2:13" ht="15" outlineLevel="1" thickBot="1">
      <c r="B68" s="182" t="s">
        <v>191</v>
      </c>
      <c r="C68" s="171">
        <f>'Юнит 17'!AO72</f>
        <v>0</v>
      </c>
      <c r="D68" s="172">
        <f t="shared" ref="D68:D99" si="9">C68/C$106</f>
        <v>0</v>
      </c>
      <c r="E68" s="172">
        <f t="shared" si="5"/>
        <v>1.0377323914880101</v>
      </c>
      <c r="F68" s="173" t="str">
        <f t="shared" si="3"/>
        <v>C</v>
      </c>
      <c r="G68" s="173" t="str">
        <f t="shared" ref="G68:G105" si="10">VLOOKUP(B$4:B$104,I$4:M$104,5,0)</f>
        <v>C</v>
      </c>
      <c r="I68" s="182" t="s">
        <v>161</v>
      </c>
      <c r="J68" s="171">
        <f>'Юнит 17'!U42</f>
        <v>0</v>
      </c>
      <c r="K68" s="172">
        <f t="shared" ref="K68:K99" si="11">J68/J$106</f>
        <v>0</v>
      </c>
      <c r="L68" s="172">
        <f t="shared" si="6"/>
        <v>0.99764011799409991</v>
      </c>
      <c r="M68" s="173" t="str">
        <f t="shared" si="4"/>
        <v>C</v>
      </c>
    </row>
    <row r="69" spans="2:13" ht="26.5" outlineLevel="1" thickBot="1">
      <c r="B69" s="182" t="s">
        <v>193</v>
      </c>
      <c r="C69" s="171">
        <f>'Юнит 17'!AO74</f>
        <v>0</v>
      </c>
      <c r="D69" s="172">
        <f t="shared" si="9"/>
        <v>0</v>
      </c>
      <c r="E69" s="172">
        <f t="shared" si="5"/>
        <v>1.0377323914880101</v>
      </c>
      <c r="F69" s="173" t="str">
        <f t="shared" si="3"/>
        <v>C</v>
      </c>
      <c r="G69" s="173" t="str">
        <f t="shared" si="10"/>
        <v>C</v>
      </c>
      <c r="I69" s="182" t="s">
        <v>165</v>
      </c>
      <c r="J69" s="171">
        <f>'Юнит 17'!U46</f>
        <v>0</v>
      </c>
      <c r="K69" s="172">
        <f t="shared" si="11"/>
        <v>0</v>
      </c>
      <c r="L69" s="172">
        <f t="shared" si="6"/>
        <v>0.99764011799409991</v>
      </c>
      <c r="M69" s="173" t="str">
        <f t="shared" si="4"/>
        <v>C</v>
      </c>
    </row>
    <row r="70" spans="2:13" ht="26.5" outlineLevel="1" thickBot="1">
      <c r="B70" s="182" t="s">
        <v>213</v>
      </c>
      <c r="C70" s="171">
        <f>'Юнит 17'!AO94</f>
        <v>0</v>
      </c>
      <c r="D70" s="172">
        <f t="shared" si="9"/>
        <v>0</v>
      </c>
      <c r="E70" s="172">
        <f t="shared" ref="E70:E75" si="12">E69+D70</f>
        <v>1.0377323914880101</v>
      </c>
      <c r="F70" s="173" t="str">
        <f t="shared" si="3"/>
        <v>C</v>
      </c>
      <c r="G70" s="173" t="str">
        <f t="shared" si="10"/>
        <v>C</v>
      </c>
      <c r="I70" s="182" t="s">
        <v>170</v>
      </c>
      <c r="J70" s="171">
        <f>'Юнит 17'!U51</f>
        <v>0</v>
      </c>
      <c r="K70" s="172">
        <f t="shared" si="11"/>
        <v>0</v>
      </c>
      <c r="L70" s="172">
        <f t="shared" ref="L70:L75" si="13">L69+K70</f>
        <v>0.99764011799409991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'Юнит 17'!AO95</f>
        <v>0</v>
      </c>
      <c r="D71" s="172">
        <f t="shared" si="9"/>
        <v>0</v>
      </c>
      <c r="E71" s="172">
        <f t="shared" si="12"/>
        <v>1.0377323914880101</v>
      </c>
      <c r="F71" s="173" t="str">
        <f t="shared" si="3"/>
        <v>C</v>
      </c>
      <c r="G71" s="173" t="str">
        <f t="shared" si="10"/>
        <v>C</v>
      </c>
      <c r="I71" s="182" t="s">
        <v>172</v>
      </c>
      <c r="J71" s="171">
        <f>'Юнит 17'!U53</f>
        <v>0</v>
      </c>
      <c r="K71" s="172">
        <f t="shared" si="11"/>
        <v>0</v>
      </c>
      <c r="L71" s="172">
        <f t="shared" si="13"/>
        <v>0.99764011799409991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'Юнит 17'!AO96</f>
        <v>0</v>
      </c>
      <c r="D72" s="172">
        <f t="shared" si="9"/>
        <v>0</v>
      </c>
      <c r="E72" s="172">
        <f t="shared" si="12"/>
        <v>1.0377323914880101</v>
      </c>
      <c r="F72" s="173" t="str">
        <f t="shared" si="3"/>
        <v>C</v>
      </c>
      <c r="G72" s="173" t="str">
        <f t="shared" si="10"/>
        <v>C</v>
      </c>
      <c r="I72" s="182" t="s">
        <v>174</v>
      </c>
      <c r="J72" s="171">
        <f>'Юнит 17'!U55</f>
        <v>0</v>
      </c>
      <c r="K72" s="172">
        <f t="shared" si="11"/>
        <v>0</v>
      </c>
      <c r="L72" s="172">
        <f t="shared" si="13"/>
        <v>0.99764011799409991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'Юнит 17'!AO99</f>
        <v>0</v>
      </c>
      <c r="D73" s="172">
        <f t="shared" si="9"/>
        <v>0</v>
      </c>
      <c r="E73" s="172">
        <f t="shared" si="12"/>
        <v>1.0377323914880101</v>
      </c>
      <c r="F73" s="173" t="str">
        <f t="shared" si="3"/>
        <v>C</v>
      </c>
      <c r="G73" s="173" t="str">
        <f t="shared" si="10"/>
        <v>C</v>
      </c>
      <c r="I73" s="182" t="s">
        <v>175</v>
      </c>
      <c r="J73" s="171">
        <f>'Юнит 17'!U56</f>
        <v>0</v>
      </c>
      <c r="K73" s="172">
        <f t="shared" si="11"/>
        <v>0</v>
      </c>
      <c r="L73" s="172">
        <f t="shared" si="13"/>
        <v>0.99764011799409991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'Юнит 17'!AO101</f>
        <v>0</v>
      </c>
      <c r="D74" s="172">
        <f t="shared" si="9"/>
        <v>0</v>
      </c>
      <c r="E74" s="172">
        <f t="shared" si="12"/>
        <v>1.0377323914880101</v>
      </c>
      <c r="F74" s="173" t="str">
        <f t="shared" si="3"/>
        <v>C</v>
      </c>
      <c r="G74" s="173" t="str">
        <f t="shared" si="10"/>
        <v>C</v>
      </c>
      <c r="I74" s="182" t="s">
        <v>176</v>
      </c>
      <c r="J74" s="171">
        <f>'Юнит 17'!U57</f>
        <v>0</v>
      </c>
      <c r="K74" s="172">
        <f t="shared" si="11"/>
        <v>0</v>
      </c>
      <c r="L74" s="172">
        <f t="shared" si="13"/>
        <v>0.99764011799409991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'Юнит 17'!AO103</f>
        <v>0</v>
      </c>
      <c r="D75" s="172">
        <f t="shared" si="9"/>
        <v>0</v>
      </c>
      <c r="E75" s="172">
        <f t="shared" si="12"/>
        <v>1.0377323914880101</v>
      </c>
      <c r="F75" s="173" t="str">
        <f t="shared" si="3"/>
        <v>C</v>
      </c>
      <c r="G75" s="173" t="str">
        <f t="shared" si="10"/>
        <v>C</v>
      </c>
      <c r="I75" s="182" t="s">
        <v>177</v>
      </c>
      <c r="J75" s="171">
        <f>'Юнит 17'!U58</f>
        <v>0</v>
      </c>
      <c r="K75" s="172">
        <f t="shared" si="11"/>
        <v>0</v>
      </c>
      <c r="L75" s="172">
        <f t="shared" si="13"/>
        <v>0.99764011799409991</v>
      </c>
      <c r="M75" s="173" t="str">
        <f t="shared" si="4"/>
        <v>C</v>
      </c>
    </row>
    <row r="76" spans="2:13" ht="15" outlineLevel="1" thickBot="1">
      <c r="B76" s="182" t="s">
        <v>170</v>
      </c>
      <c r="C76" s="171">
        <f>'Юнит 17'!AO51</f>
        <v>-1.0379139328444615</v>
      </c>
      <c r="D76" s="172">
        <f t="shared" si="9"/>
        <v>-1.8339075541939521E-6</v>
      </c>
      <c r="E76" s="172">
        <f>E49+D76</f>
        <v>1.0377305575804558</v>
      </c>
      <c r="F76" s="173" t="str">
        <f t="shared" si="3"/>
        <v>C</v>
      </c>
      <c r="G76" s="173" t="str">
        <f t="shared" si="10"/>
        <v>C</v>
      </c>
      <c r="I76" s="182" t="s">
        <v>178</v>
      </c>
      <c r="J76" s="171">
        <f>'Юнит 17'!U59</f>
        <v>0</v>
      </c>
      <c r="K76" s="172">
        <f t="shared" si="11"/>
        <v>0</v>
      </c>
      <c r="L76" s="172">
        <f>L49+K76</f>
        <v>0.99351032448377552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'Юнит 17'!AO55</f>
        <v>-1.0379139328444615</v>
      </c>
      <c r="D77" s="172">
        <f t="shared" si="9"/>
        <v>-1.8339075541939521E-6</v>
      </c>
      <c r="E77" s="172">
        <f t="shared" ref="E77:E93" si="14">E76+D77</f>
        <v>1.0377287236729016</v>
      </c>
      <c r="F77" s="173" t="str">
        <f t="shared" si="3"/>
        <v>C</v>
      </c>
      <c r="G77" s="173" t="str">
        <f t="shared" si="10"/>
        <v>C</v>
      </c>
      <c r="I77" s="182" t="s">
        <v>181</v>
      </c>
      <c r="J77" s="171">
        <f>'Юнит 17'!U62</f>
        <v>0</v>
      </c>
      <c r="K77" s="172">
        <f t="shared" si="11"/>
        <v>0</v>
      </c>
      <c r="L77" s="172">
        <f t="shared" ref="L77:L94" si="15">L76+K77</f>
        <v>0.99351032448377552</v>
      </c>
      <c r="M77" s="173" t="str">
        <f t="shared" si="4"/>
        <v>C</v>
      </c>
    </row>
    <row r="78" spans="2:13" ht="15" outlineLevel="1" thickBot="1">
      <c r="B78" s="182" t="s">
        <v>184</v>
      </c>
      <c r="C78" s="171">
        <f>'Юнит 17'!AO65</f>
        <v>-1.0379139328444615</v>
      </c>
      <c r="D78" s="172">
        <f t="shared" si="9"/>
        <v>-1.8339075541939521E-6</v>
      </c>
      <c r="E78" s="172">
        <f t="shared" si="14"/>
        <v>1.0377268897653473</v>
      </c>
      <c r="F78" s="173" t="str">
        <f t="shared" si="3"/>
        <v>C</v>
      </c>
      <c r="G78" s="173" t="str">
        <f t="shared" si="10"/>
        <v>C</v>
      </c>
      <c r="I78" s="182" t="s">
        <v>182</v>
      </c>
      <c r="J78" s="171">
        <f>'Юнит 17'!U63</f>
        <v>0</v>
      </c>
      <c r="K78" s="172">
        <f t="shared" si="11"/>
        <v>0</v>
      </c>
      <c r="L78" s="172">
        <f t="shared" si="15"/>
        <v>0.99351032448377552</v>
      </c>
      <c r="M78" s="173" t="str">
        <f t="shared" si="4"/>
        <v>C</v>
      </c>
    </row>
    <row r="79" spans="2:13" ht="15" outlineLevel="1" thickBot="1">
      <c r="B79" s="182" t="s">
        <v>185</v>
      </c>
      <c r="C79" s="171">
        <f>'Юнит 17'!AO66</f>
        <v>-2.0758278656889231</v>
      </c>
      <c r="D79" s="172">
        <f t="shared" si="9"/>
        <v>-3.6678151083879043E-6</v>
      </c>
      <c r="E79" s="172">
        <f t="shared" si="14"/>
        <v>1.037723221950239</v>
      </c>
      <c r="F79" s="173" t="str">
        <f t="shared" si="3"/>
        <v>C</v>
      </c>
      <c r="G79" s="173" t="str">
        <f t="shared" si="10"/>
        <v>C</v>
      </c>
      <c r="I79" s="182" t="s">
        <v>183</v>
      </c>
      <c r="J79" s="171">
        <f>'Юнит 17'!U64</f>
        <v>0</v>
      </c>
      <c r="K79" s="172">
        <f t="shared" si="11"/>
        <v>0</v>
      </c>
      <c r="L79" s="172">
        <f t="shared" si="15"/>
        <v>0.99351032448377552</v>
      </c>
      <c r="M79" s="173" t="str">
        <f t="shared" si="4"/>
        <v>C</v>
      </c>
    </row>
    <row r="80" spans="2:13" ht="15" outlineLevel="1" thickBot="1">
      <c r="B80" s="182" t="s">
        <v>216</v>
      </c>
      <c r="C80" s="171">
        <f>'Юнит 17'!AO97</f>
        <v>-5.9558278656889225</v>
      </c>
      <c r="D80" s="172">
        <f t="shared" si="9"/>
        <v>-1.0523452252377231E-5</v>
      </c>
      <c r="E80" s="172">
        <f t="shared" si="14"/>
        <v>1.0377126984979868</v>
      </c>
      <c r="F80" s="173" t="str">
        <f t="shared" si="3"/>
        <v>C</v>
      </c>
      <c r="G80" s="173" t="str">
        <f t="shared" si="10"/>
        <v>C</v>
      </c>
      <c r="I80" s="182" t="s">
        <v>184</v>
      </c>
      <c r="J80" s="171">
        <f>'Юнит 17'!U65</f>
        <v>0</v>
      </c>
      <c r="K80" s="172">
        <f t="shared" si="11"/>
        <v>0</v>
      </c>
      <c r="L80" s="172">
        <f t="shared" si="15"/>
        <v>0.99351032448377552</v>
      </c>
      <c r="M80" s="173" t="str">
        <f t="shared" si="4"/>
        <v>C</v>
      </c>
    </row>
    <row r="81" spans="2:13" ht="26.5" outlineLevel="1" thickBot="1">
      <c r="B81" s="182" t="s">
        <v>200</v>
      </c>
      <c r="C81" s="171">
        <f>'Юнит 17'!AO81</f>
        <v>-13.492881126978</v>
      </c>
      <c r="D81" s="172">
        <f t="shared" si="9"/>
        <v>-2.3840798204521379E-5</v>
      </c>
      <c r="E81" s="172">
        <f t="shared" si="14"/>
        <v>1.0376888576997823</v>
      </c>
      <c r="F81" s="173" t="str">
        <f t="shared" si="3"/>
        <v>C</v>
      </c>
      <c r="G81" s="173" t="str">
        <f t="shared" si="10"/>
        <v>C</v>
      </c>
      <c r="I81" s="182" t="s">
        <v>185</v>
      </c>
      <c r="J81" s="171">
        <f>'Юнит 17'!U66</f>
        <v>0</v>
      </c>
      <c r="K81" s="172">
        <f t="shared" si="11"/>
        <v>0</v>
      </c>
      <c r="L81" s="172">
        <f t="shared" si="15"/>
        <v>0.99351032448377552</v>
      </c>
      <c r="M81" s="173" t="str">
        <f t="shared" si="4"/>
        <v>C</v>
      </c>
    </row>
    <row r="82" spans="2:13" ht="15" outlineLevel="1" thickBot="1">
      <c r="B82" s="182" t="s">
        <v>146</v>
      </c>
      <c r="C82" s="171">
        <f>'Юнит 17'!AO27</f>
        <v>-40.872600000000034</v>
      </c>
      <c r="D82" s="172">
        <f t="shared" si="9"/>
        <v>-7.2218483178200621E-5</v>
      </c>
      <c r="E82" s="172">
        <f t="shared" si="14"/>
        <v>1.037616639216604</v>
      </c>
      <c r="F82" s="173" t="str">
        <f t="shared" si="3"/>
        <v>C</v>
      </c>
      <c r="G82" s="173" t="str">
        <f t="shared" si="10"/>
        <v>C</v>
      </c>
      <c r="I82" s="182" t="s">
        <v>186</v>
      </c>
      <c r="J82" s="171">
        <f>'Юнит 17'!U67</f>
        <v>0</v>
      </c>
      <c r="K82" s="172">
        <f t="shared" si="11"/>
        <v>0</v>
      </c>
      <c r="L82" s="172">
        <f t="shared" si="15"/>
        <v>0.99351032448377552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17'!AO75</f>
        <v>-47.845023999999988</v>
      </c>
      <c r="D83" s="172">
        <f t="shared" si="9"/>
        <v>-8.4538176208623901E-5</v>
      </c>
      <c r="E83" s="172">
        <f t="shared" si="14"/>
        <v>1.0375321010403953</v>
      </c>
      <c r="F83" s="173" t="str">
        <f t="shared" si="3"/>
        <v>C</v>
      </c>
      <c r="G83" s="173" t="str">
        <f t="shared" si="10"/>
        <v>C</v>
      </c>
      <c r="I83" s="182" t="s">
        <v>187</v>
      </c>
      <c r="J83" s="171">
        <f>'Юнит 17'!U68</f>
        <v>0</v>
      </c>
      <c r="K83" s="172">
        <f t="shared" si="11"/>
        <v>0</v>
      </c>
      <c r="L83" s="172">
        <f t="shared" si="15"/>
        <v>0.99351032448377552</v>
      </c>
      <c r="M83" s="173" t="str">
        <f t="shared" si="4"/>
        <v>C</v>
      </c>
    </row>
    <row r="84" spans="2:13" ht="26.5" outlineLevel="1" thickBot="1">
      <c r="B84" s="182" t="s">
        <v>209</v>
      </c>
      <c r="C84" s="171">
        <f>'Юнит 17'!AO90</f>
        <v>-49.819868776534157</v>
      </c>
      <c r="D84" s="172">
        <f t="shared" si="9"/>
        <v>-8.8027562601309712E-5</v>
      </c>
      <c r="E84" s="172">
        <f t="shared" si="14"/>
        <v>1.0374440734777939</v>
      </c>
      <c r="F84" s="173" t="str">
        <f t="shared" si="3"/>
        <v>C</v>
      </c>
      <c r="G84" s="173" t="str">
        <f t="shared" si="10"/>
        <v>C</v>
      </c>
      <c r="I84" s="182" t="s">
        <v>189</v>
      </c>
      <c r="J84" s="171">
        <f>'Юнит 17'!U70</f>
        <v>0</v>
      </c>
      <c r="K84" s="172">
        <f t="shared" si="11"/>
        <v>0</v>
      </c>
      <c r="L84" s="172">
        <f t="shared" si="15"/>
        <v>0.99351032448377552</v>
      </c>
      <c r="M84" s="173" t="str">
        <f t="shared" si="4"/>
        <v>C</v>
      </c>
    </row>
    <row r="85" spans="2:13" ht="15" outlineLevel="1" thickBot="1">
      <c r="B85" s="182" t="s">
        <v>190</v>
      </c>
      <c r="C85" s="171">
        <f>'Юнит 17'!AO71</f>
        <v>-88.547913932844452</v>
      </c>
      <c r="D85" s="172">
        <f t="shared" si="9"/>
        <v>-1.5645679581978826E-4</v>
      </c>
      <c r="E85" s="172">
        <f t="shared" si="14"/>
        <v>1.037287616681974</v>
      </c>
      <c r="F85" s="173" t="str">
        <f t="shared" si="3"/>
        <v>C</v>
      </c>
      <c r="G85" s="173" t="str">
        <f t="shared" si="10"/>
        <v>C</v>
      </c>
      <c r="I85" s="182" t="s">
        <v>190</v>
      </c>
      <c r="J85" s="171">
        <f>'Юнит 17'!U71</f>
        <v>0</v>
      </c>
      <c r="K85" s="172">
        <f t="shared" si="11"/>
        <v>0</v>
      </c>
      <c r="L85" s="172">
        <f t="shared" si="15"/>
        <v>0.99351032448377552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17'!AO37</f>
        <v>-93.617913932844459</v>
      </c>
      <c r="D86" s="172">
        <f t="shared" si="9"/>
        <v>-1.6541506394350631E-4</v>
      </c>
      <c r="E86" s="172">
        <f t="shared" si="14"/>
        <v>1.0371222016180306</v>
      </c>
      <c r="F86" s="173" t="str">
        <f t="shared" si="3"/>
        <v>C</v>
      </c>
      <c r="G86" s="173" t="str">
        <f t="shared" si="10"/>
        <v>C</v>
      </c>
      <c r="I86" s="182" t="s">
        <v>191</v>
      </c>
      <c r="J86" s="171">
        <f>'Юнит 17'!U72</f>
        <v>0</v>
      </c>
      <c r="K86" s="172">
        <f t="shared" si="11"/>
        <v>0</v>
      </c>
      <c r="L86" s="172">
        <f t="shared" si="15"/>
        <v>0.99351032448377552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17'!AO38</f>
        <v>-118.20447124662294</v>
      </c>
      <c r="D87" s="172">
        <f t="shared" si="9"/>
        <v>-2.0885746486184708E-4</v>
      </c>
      <c r="E87" s="172">
        <f t="shared" si="14"/>
        <v>1.0369133441531688</v>
      </c>
      <c r="F87" s="173" t="str">
        <f t="shared" si="3"/>
        <v>C</v>
      </c>
      <c r="G87" s="173" t="str">
        <f t="shared" si="10"/>
        <v>C</v>
      </c>
      <c r="I87" s="182" t="s">
        <v>193</v>
      </c>
      <c r="J87" s="171">
        <f>'Юнит 17'!U74</f>
        <v>0</v>
      </c>
      <c r="K87" s="172">
        <f t="shared" si="11"/>
        <v>0</v>
      </c>
      <c r="L87" s="172">
        <f t="shared" si="15"/>
        <v>0.99351032448377552</v>
      </c>
      <c r="M87" s="173" t="str">
        <f t="shared" si="4"/>
        <v>C</v>
      </c>
    </row>
    <row r="88" spans="2:13" ht="15" outlineLevel="1" thickBot="1">
      <c r="B88" s="182" t="s">
        <v>202</v>
      </c>
      <c r="C88" s="171">
        <f>'Юнит 17'!AO83</f>
        <v>-133.39447124662294</v>
      </c>
      <c r="D88" s="172">
        <f t="shared" si="9"/>
        <v>-2.3569693089720736E-4</v>
      </c>
      <c r="E88" s="172">
        <f t="shared" si="14"/>
        <v>1.0366776472222716</v>
      </c>
      <c r="F88" s="173" t="str">
        <f t="shared" si="3"/>
        <v>C</v>
      </c>
      <c r="G88" s="173" t="str">
        <f t="shared" si="10"/>
        <v>C</v>
      </c>
      <c r="I88" s="182" t="s">
        <v>195</v>
      </c>
      <c r="J88" s="171">
        <f>'Юнит 17'!U76</f>
        <v>0</v>
      </c>
      <c r="K88" s="172">
        <f t="shared" si="11"/>
        <v>0</v>
      </c>
      <c r="L88" s="172">
        <f t="shared" si="15"/>
        <v>0.99351032448377552</v>
      </c>
      <c r="M88" s="173" t="str">
        <f t="shared" si="4"/>
        <v>C</v>
      </c>
    </row>
    <row r="89" spans="2:13" ht="26.5" outlineLevel="1" thickBot="1">
      <c r="B89" s="182" t="s">
        <v>211</v>
      </c>
      <c r="C89" s="171">
        <f>'Юнит 17'!AO92</f>
        <v>-173.37059911231182</v>
      </c>
      <c r="D89" s="172">
        <f t="shared" si="9"/>
        <v>-3.0633142240980621E-4</v>
      </c>
      <c r="E89" s="172">
        <f t="shared" si="14"/>
        <v>1.0363713157998617</v>
      </c>
      <c r="F89" s="173" t="str">
        <f t="shared" si="3"/>
        <v>C</v>
      </c>
      <c r="G89" s="173" t="str">
        <f t="shared" si="10"/>
        <v>C</v>
      </c>
      <c r="I89" s="182" t="s">
        <v>199</v>
      </c>
      <c r="J89" s="171">
        <f>'Юнит 17'!U80</f>
        <v>0</v>
      </c>
      <c r="K89" s="172">
        <f t="shared" si="11"/>
        <v>0</v>
      </c>
      <c r="L89" s="172">
        <f t="shared" si="15"/>
        <v>0.99351032448377552</v>
      </c>
      <c r="M89" s="173" t="str">
        <f t="shared" si="4"/>
        <v>C</v>
      </c>
    </row>
    <row r="90" spans="2:13" ht="26.5" outlineLevel="1" thickBot="1">
      <c r="B90" s="182" t="s">
        <v>161</v>
      </c>
      <c r="C90" s="171">
        <f>'Юнит 17'!AO42</f>
        <v>-209.39576225395601</v>
      </c>
      <c r="D90" s="172">
        <f t="shared" si="9"/>
        <v>-3.6998488801602553E-4</v>
      </c>
      <c r="E90" s="172">
        <f t="shared" si="14"/>
        <v>1.0360013309118457</v>
      </c>
      <c r="F90" s="173" t="str">
        <f t="shared" si="3"/>
        <v>C</v>
      </c>
      <c r="G90" s="173" t="str">
        <f t="shared" si="10"/>
        <v>C</v>
      </c>
      <c r="I90" s="182" t="s">
        <v>200</v>
      </c>
      <c r="J90" s="171">
        <f>'Юнит 17'!U81</f>
        <v>0</v>
      </c>
      <c r="K90" s="172">
        <f t="shared" si="11"/>
        <v>0</v>
      </c>
      <c r="L90" s="172">
        <f t="shared" si="15"/>
        <v>0.99351032448377552</v>
      </c>
      <c r="M90" s="173" t="str">
        <f t="shared" si="4"/>
        <v>C</v>
      </c>
    </row>
    <row r="91" spans="2:13" ht="26.5" outlineLevel="1" thickBot="1">
      <c r="B91" s="182" t="s">
        <v>212</v>
      </c>
      <c r="C91" s="171">
        <f>'Юнит 17'!AO93</f>
        <v>-218.05864338093403</v>
      </c>
      <c r="D91" s="172">
        <f t="shared" si="9"/>
        <v>-3.8529147812635405E-4</v>
      </c>
      <c r="E91" s="172">
        <f t="shared" si="14"/>
        <v>1.0356160394337193</v>
      </c>
      <c r="F91" s="173" t="str">
        <f t="shared" si="3"/>
        <v>C</v>
      </c>
      <c r="G91" s="173" t="str">
        <f t="shared" si="10"/>
        <v>C</v>
      </c>
      <c r="I91" s="182" t="s">
        <v>201</v>
      </c>
      <c r="J91" s="171">
        <f>'Юнит 17'!U82</f>
        <v>0</v>
      </c>
      <c r="K91" s="172">
        <f t="shared" si="11"/>
        <v>0</v>
      </c>
      <c r="L91" s="172">
        <f t="shared" si="15"/>
        <v>0.99351032448377552</v>
      </c>
      <c r="M91" s="173" t="str">
        <f t="shared" si="4"/>
        <v>C</v>
      </c>
    </row>
    <row r="92" spans="2:13" ht="26.5" outlineLevel="1" thickBot="1">
      <c r="B92" s="182" t="s">
        <v>207</v>
      </c>
      <c r="C92" s="171">
        <f>'Юнит 17'!AO88</f>
        <v>-259.75</v>
      </c>
      <c r="D92" s="172">
        <f t="shared" si="9"/>
        <v>-4.5895663612145044E-4</v>
      </c>
      <c r="E92" s="172">
        <f t="shared" si="14"/>
        <v>1.0351570827975978</v>
      </c>
      <c r="F92" s="173" t="str">
        <f t="shared" si="3"/>
        <v>C</v>
      </c>
      <c r="G92" s="173" t="str">
        <f t="shared" si="10"/>
        <v>C</v>
      </c>
      <c r="I92" s="182" t="s">
        <v>202</v>
      </c>
      <c r="J92" s="171">
        <f>'Юнит 17'!U83</f>
        <v>0</v>
      </c>
      <c r="K92" s="172">
        <f t="shared" si="11"/>
        <v>0</v>
      </c>
      <c r="L92" s="172">
        <f t="shared" si="15"/>
        <v>0.99351032448377552</v>
      </c>
      <c r="M92" s="173" t="str">
        <f t="shared" si="4"/>
        <v>C</v>
      </c>
    </row>
    <row r="93" spans="2:13" ht="26.5" outlineLevel="1" thickBot="1">
      <c r="B93" s="182" t="s">
        <v>180</v>
      </c>
      <c r="C93" s="171">
        <f>'Юнит 17'!AO61</f>
        <v>-607.18677352373595</v>
      </c>
      <c r="D93" s="172">
        <f t="shared" si="9"/>
        <v>-1.0728485046155565E-3</v>
      </c>
      <c r="E93" s="172">
        <f t="shared" si="14"/>
        <v>1.0340842342929821</v>
      </c>
      <c r="F93" s="173" t="str">
        <f t="shared" si="3"/>
        <v>C</v>
      </c>
      <c r="G93" s="173" t="e">
        <f t="shared" si="10"/>
        <v>#N/A</v>
      </c>
      <c r="I93" s="182" t="s">
        <v>204</v>
      </c>
      <c r="J93" s="171">
        <f>'Юнит 17'!U85</f>
        <v>0</v>
      </c>
      <c r="K93" s="172">
        <f t="shared" si="11"/>
        <v>0</v>
      </c>
      <c r="L93" s="172">
        <f t="shared" si="15"/>
        <v>0.99351032448377552</v>
      </c>
      <c r="M93" s="173" t="str">
        <f t="shared" si="4"/>
        <v>C</v>
      </c>
    </row>
    <row r="94" spans="2:13" ht="26.5" outlineLevel="1" thickBot="1">
      <c r="B94" s="182" t="s">
        <v>159</v>
      </c>
      <c r="C94" s="171">
        <f>'Юнит 17'!AO40</f>
        <v>-742.27270405248942</v>
      </c>
      <c r="D94" s="172">
        <f t="shared" si="9"/>
        <v>-1.3115341033174339E-3</v>
      </c>
      <c r="E94" s="172">
        <f>E93+D94</f>
        <v>1.0327727001896647</v>
      </c>
      <c r="F94" s="173" t="str">
        <f t="shared" si="3"/>
        <v>C</v>
      </c>
      <c r="G94" s="173" t="str">
        <f t="shared" si="10"/>
        <v>C</v>
      </c>
      <c r="I94" s="182" t="s">
        <v>207</v>
      </c>
      <c r="J94" s="171">
        <f>'Юнит 17'!U88</f>
        <v>0</v>
      </c>
      <c r="K94" s="172">
        <f t="shared" si="11"/>
        <v>0</v>
      </c>
      <c r="L94" s="172">
        <f t="shared" si="15"/>
        <v>0.99351032448377552</v>
      </c>
      <c r="M94" s="173" t="str">
        <f t="shared" si="4"/>
        <v>C</v>
      </c>
    </row>
    <row r="95" spans="2:13" ht="26.5" outlineLevel="1" thickBot="1">
      <c r="B95" s="182" t="s">
        <v>172</v>
      </c>
      <c r="C95" s="171">
        <f>'Юнит 17'!AO53</f>
        <v>-845.62115978386737</v>
      </c>
      <c r="D95" s="172">
        <f t="shared" si="9"/>
        <v>-1.4941422249375297E-3</v>
      </c>
      <c r="E95" s="172">
        <f>E94+D95</f>
        <v>1.0312785579647272</v>
      </c>
      <c r="F95" s="173" t="str">
        <f t="shared" si="3"/>
        <v>C</v>
      </c>
      <c r="G95" s="173" t="str">
        <f t="shared" si="10"/>
        <v>C</v>
      </c>
      <c r="I95" s="182" t="s">
        <v>209</v>
      </c>
      <c r="J95" s="171">
        <f>'Юнит 17'!U90</f>
        <v>0</v>
      </c>
      <c r="K95" s="172">
        <f t="shared" si="11"/>
        <v>0</v>
      </c>
      <c r="L95" s="172">
        <f>L94+K95</f>
        <v>0.99351032448377552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17'!AO77</f>
        <v>-902.74559258973375</v>
      </c>
      <c r="D96" s="172">
        <f t="shared" si="9"/>
        <v>-1.5950763443636172E-3</v>
      </c>
      <c r="E96" s="172">
        <f t="shared" ref="E96:E98" si="16">E95+D96</f>
        <v>1.0296834816203637</v>
      </c>
      <c r="F96" s="173" t="str">
        <f t="shared" si="3"/>
        <v>C</v>
      </c>
      <c r="G96" s="173" t="str">
        <f t="shared" si="10"/>
        <v>C</v>
      </c>
      <c r="I96" s="182" t="s">
        <v>212</v>
      </c>
      <c r="J96" s="171">
        <f>'Юнит 17'!U93</f>
        <v>0</v>
      </c>
      <c r="K96" s="172">
        <f t="shared" si="11"/>
        <v>0</v>
      </c>
      <c r="L96" s="172">
        <f t="shared" ref="L96:L98" si="17">L95+K96</f>
        <v>0.99351032448377552</v>
      </c>
      <c r="M96" s="173" t="str">
        <f t="shared" si="4"/>
        <v>C</v>
      </c>
    </row>
    <row r="97" spans="2:13" ht="26.5" outlineLevel="1" thickBot="1">
      <c r="B97" s="182" t="s">
        <v>177</v>
      </c>
      <c r="C97" s="171">
        <f>'Юнит 17'!AO58</f>
        <v>-927.95036472404479</v>
      </c>
      <c r="D97" s="172">
        <f t="shared" si="9"/>
        <v>-1.6396110794279909E-3</v>
      </c>
      <c r="E97" s="172">
        <f t="shared" si="16"/>
        <v>1.0280438705409358</v>
      </c>
      <c r="F97" s="173" t="str">
        <f t="shared" ref="F97:F105" si="18">IF(AND(E97&lt;=0),"C",IF(E97&lt;=0.8,"A",IF(E97&lt;=0.95,"B","C")))</f>
        <v>C</v>
      </c>
      <c r="G97" s="173" t="str">
        <f t="shared" si="10"/>
        <v>C</v>
      </c>
      <c r="I97" s="182" t="s">
        <v>213</v>
      </c>
      <c r="J97" s="171">
        <f>'Юнит 17'!U94</f>
        <v>0</v>
      </c>
      <c r="K97" s="172">
        <f t="shared" si="11"/>
        <v>0</v>
      </c>
      <c r="L97" s="172">
        <f t="shared" si="17"/>
        <v>0.99351032448377552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17'!AO85</f>
        <v>-1100.8711597838671</v>
      </c>
      <c r="D98" s="172">
        <f t="shared" si="9"/>
        <v>-1.9451477355053837E-3</v>
      </c>
      <c r="E98" s="172">
        <f t="shared" si="16"/>
        <v>1.0260987228054304</v>
      </c>
      <c r="F98" s="173" t="str">
        <f t="shared" si="18"/>
        <v>C</v>
      </c>
      <c r="G98" s="173" t="str">
        <f t="shared" si="10"/>
        <v>C</v>
      </c>
      <c r="I98" s="182" t="s">
        <v>214</v>
      </c>
      <c r="J98" s="171">
        <f>'Юнит 17'!U95</f>
        <v>0</v>
      </c>
      <c r="K98" s="172">
        <f t="shared" si="11"/>
        <v>0</v>
      </c>
      <c r="L98" s="172">
        <f t="shared" si="17"/>
        <v>0.99351032448377552</v>
      </c>
      <c r="M98" s="173" t="str">
        <f t="shared" si="4"/>
        <v>C</v>
      </c>
    </row>
    <row r="99" spans="2:13" ht="26.5" outlineLevel="1" thickBot="1">
      <c r="B99" s="182" t="s">
        <v>199</v>
      </c>
      <c r="C99" s="171">
        <f>'Юнит 17'!AO80</f>
        <v>-1112.3045368583557</v>
      </c>
      <c r="D99" s="172">
        <f t="shared" si="9"/>
        <v>-1.9653495614211313E-3</v>
      </c>
      <c r="E99" s="172">
        <f>E93+D99</f>
        <v>1.032118884731561</v>
      </c>
      <c r="F99" s="173" t="str">
        <f t="shared" si="18"/>
        <v>C</v>
      </c>
      <c r="G99" s="173" t="str">
        <f t="shared" si="10"/>
        <v>C</v>
      </c>
      <c r="I99" s="182" t="s">
        <v>215</v>
      </c>
      <c r="J99" s="171">
        <f>'Юнит 17'!U96</f>
        <v>0</v>
      </c>
      <c r="K99" s="172">
        <f t="shared" si="11"/>
        <v>0</v>
      </c>
      <c r="L99" s="172">
        <f>L93+K99</f>
        <v>0.99351032448377552</v>
      </c>
      <c r="M99" s="173" t="str">
        <f t="shared" ref="M99:M105" si="19">_xlfn.IFS(L99&lt;80%,"A",L99&lt;=95%,"B",L99&gt;95%,"C")</f>
        <v>C</v>
      </c>
    </row>
    <row r="100" spans="2:13" ht="26.5" outlineLevel="1" thickBot="1">
      <c r="B100" s="182" t="s">
        <v>210</v>
      </c>
      <c r="C100" s="171">
        <f>'Юнит 17'!AO91</f>
        <v>-1191.1213065225782</v>
      </c>
      <c r="D100" s="172">
        <f t="shared" ref="D100:D105" si="20">C100/C$106</f>
        <v>-2.1046122350498152E-3</v>
      </c>
      <c r="E100" s="172">
        <f t="shared" ref="E100:E105" si="21">E94+D100</f>
        <v>1.0306680879546148</v>
      </c>
      <c r="F100" s="173" t="str">
        <f t="shared" si="18"/>
        <v>C</v>
      </c>
      <c r="G100" s="173" t="str">
        <f t="shared" si="10"/>
        <v>C</v>
      </c>
      <c r="I100" s="182" t="s">
        <v>216</v>
      </c>
      <c r="J100" s="171">
        <f>'Юнит 17'!U97</f>
        <v>0</v>
      </c>
      <c r="K100" s="172">
        <f t="shared" ref="K100:K105" si="22">J100/J$106</f>
        <v>0</v>
      </c>
      <c r="L100" s="172">
        <f t="shared" ref="L100:L105" si="23">L94+K100</f>
        <v>0.99351032448377552</v>
      </c>
      <c r="M100" s="173" t="str">
        <f t="shared" si="19"/>
        <v>C</v>
      </c>
    </row>
    <row r="101" spans="2:13" ht="15" outlineLevel="1" thickBot="1">
      <c r="B101" s="182" t="s">
        <v>195</v>
      </c>
      <c r="C101" s="171">
        <f>'Юнит 17'!AO76</f>
        <v>-1422.7753319181784</v>
      </c>
      <c r="D101" s="172">
        <f t="shared" si="20"/>
        <v>-2.513925621920105E-3</v>
      </c>
      <c r="E101" s="172">
        <f t="shared" si="21"/>
        <v>1.028764632342807</v>
      </c>
      <c r="F101" s="173" t="str">
        <f t="shared" si="18"/>
        <v>C</v>
      </c>
      <c r="G101" s="173" t="str">
        <f t="shared" si="10"/>
        <v>C</v>
      </c>
      <c r="I101" s="182" t="s">
        <v>256</v>
      </c>
      <c r="J101" s="171">
        <f>'Юнит 17'!U99</f>
        <v>0</v>
      </c>
      <c r="K101" s="172">
        <f t="shared" si="22"/>
        <v>0</v>
      </c>
      <c r="L101" s="172">
        <f t="shared" si="23"/>
        <v>0.99351032448377552</v>
      </c>
      <c r="M101" s="173" t="str">
        <f t="shared" si="19"/>
        <v>C</v>
      </c>
    </row>
    <row r="102" spans="2:13" ht="26.5" outlineLevel="1" thickBot="1">
      <c r="B102" s="182" t="s">
        <v>201</v>
      </c>
      <c r="C102" s="171">
        <f>'Юнит 17'!AO82</f>
        <v>-2319.0807294480892</v>
      </c>
      <c r="D102" s="172">
        <f t="shared" si="20"/>
        <v>-4.0976226775036552E-3</v>
      </c>
      <c r="E102" s="172">
        <f t="shared" si="21"/>
        <v>1.0255858589428601</v>
      </c>
      <c r="F102" s="173" t="str">
        <f t="shared" si="18"/>
        <v>C</v>
      </c>
      <c r="G102" s="173" t="str">
        <f t="shared" si="10"/>
        <v>C</v>
      </c>
      <c r="I102" s="182" t="s">
        <v>258</v>
      </c>
      <c r="J102" s="171">
        <f>'Юнит 17'!U101</f>
        <v>0</v>
      </c>
      <c r="K102" s="172">
        <f t="shared" si="22"/>
        <v>0</v>
      </c>
      <c r="L102" s="172">
        <f t="shared" si="23"/>
        <v>0.99351032448377552</v>
      </c>
      <c r="M102" s="173" t="str">
        <f t="shared" si="19"/>
        <v>C</v>
      </c>
    </row>
    <row r="103" spans="2:13" ht="26.5" outlineLevel="1" thickBot="1">
      <c r="B103" s="182" t="s">
        <v>171</v>
      </c>
      <c r="C103" s="171">
        <f>'Юнит 17'!AO52</f>
        <v>-2448.9349253956002</v>
      </c>
      <c r="D103" s="172">
        <f t="shared" si="20"/>
        <v>-4.3270642365347443E-3</v>
      </c>
      <c r="E103" s="172">
        <f t="shared" si="21"/>
        <v>1.0237168063044011</v>
      </c>
      <c r="F103" s="173" t="str">
        <f t="shared" si="18"/>
        <v>C</v>
      </c>
      <c r="G103" s="173" t="str">
        <f t="shared" si="10"/>
        <v>C</v>
      </c>
      <c r="I103" s="182" t="s">
        <v>260</v>
      </c>
      <c r="J103" s="171">
        <f>'Юнит 17'!U103</f>
        <v>0</v>
      </c>
      <c r="K103" s="172">
        <f t="shared" si="22"/>
        <v>0</v>
      </c>
      <c r="L103" s="172">
        <f t="shared" si="23"/>
        <v>0.99351032448377552</v>
      </c>
      <c r="M103" s="173" t="str">
        <f t="shared" si="19"/>
        <v>C</v>
      </c>
    </row>
    <row r="104" spans="2:13" ht="15" outlineLevel="1" thickBot="1">
      <c r="B104" s="182" t="s">
        <v>164</v>
      </c>
      <c r="C104" s="171">
        <f>'Юнит 17'!AO45</f>
        <v>-3233.9702912319544</v>
      </c>
      <c r="D104" s="172">
        <f t="shared" si="20"/>
        <v>-5.7141564049298377E-3</v>
      </c>
      <c r="E104" s="172">
        <f t="shared" si="21"/>
        <v>1.0203845664005005</v>
      </c>
      <c r="F104" s="173" t="str">
        <f t="shared" si="18"/>
        <v>C</v>
      </c>
      <c r="G104" s="173" t="str">
        <f t="shared" si="10"/>
        <v>C</v>
      </c>
      <c r="I104" s="182" t="s">
        <v>159</v>
      </c>
      <c r="J104" s="171">
        <f>'Юнит 17'!U40</f>
        <v>-1</v>
      </c>
      <c r="K104" s="172">
        <f t="shared" si="22"/>
        <v>-5.8997050147492625E-4</v>
      </c>
      <c r="L104" s="172">
        <f t="shared" si="23"/>
        <v>0.99292035398230061</v>
      </c>
      <c r="M104" s="173" t="str">
        <f t="shared" si="19"/>
        <v>C</v>
      </c>
    </row>
    <row r="105" spans="2:13" ht="15" outlineLevel="1" thickBot="1">
      <c r="B105" s="182" t="s">
        <v>147</v>
      </c>
      <c r="C105" s="171">
        <f>'Юнит 17'!AO28</f>
        <v>-4285.5685588116567</v>
      </c>
      <c r="D105" s="172">
        <f t="shared" si="20"/>
        <v>-7.5722430399231969E-3</v>
      </c>
      <c r="E105" s="172">
        <f t="shared" si="21"/>
        <v>1.0245466416916378</v>
      </c>
      <c r="F105" s="173" t="str">
        <f t="shared" si="18"/>
        <v>C</v>
      </c>
      <c r="G105" s="173" t="e">
        <f t="shared" si="10"/>
        <v>#VALUE!</v>
      </c>
      <c r="I105" s="182" t="s">
        <v>180</v>
      </c>
      <c r="J105" s="171">
        <f>'Юнит 17'!U61</f>
        <v>-1</v>
      </c>
      <c r="K105" s="172">
        <f t="shared" si="22"/>
        <v>-5.8997050147492625E-4</v>
      </c>
      <c r="L105" s="172">
        <f t="shared" si="23"/>
        <v>0.99292035398230061</v>
      </c>
      <c r="M105" s="173" t="str">
        <f t="shared" si="19"/>
        <v>C</v>
      </c>
    </row>
    <row r="106" spans="2:13" outlineLevel="1">
      <c r="C106" s="178">
        <f>SUM(C4:C105)</f>
        <v>565957.60809799947</v>
      </c>
      <c r="D106" s="179">
        <f>SUM(D4:D105)</f>
        <v>0.99999999999999933</v>
      </c>
      <c r="J106" s="178">
        <f>SUM(J4:J105)</f>
        <v>1695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32" priority="4" operator="equal">
      <formula>"C"</formula>
    </cfRule>
    <cfRule type="cellIs" dxfId="231" priority="5" operator="equal">
      <formula>"B"</formula>
    </cfRule>
    <cfRule type="cellIs" dxfId="230" priority="6" operator="equal">
      <formula>"A"</formula>
    </cfRule>
  </conditionalFormatting>
  <conditionalFormatting sqref="F99:G105 D99:D105 M99:M105 K99:K105">
    <cfRule type="cellIs" dxfId="229" priority="1" operator="equal">
      <formula>"C"</formula>
    </cfRule>
    <cfRule type="cellIs" dxfId="228" priority="2" operator="equal">
      <formula>"B"</formula>
    </cfRule>
    <cfRule type="cellIs" dxfId="22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sheetPr codeName="Лист8"/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16'!AO4</f>
        <v>158353.6018683202</v>
      </c>
      <c r="D4" s="172">
        <f t="shared" ref="D4:D35" si="0">C4/C$106</f>
        <v>0.1880596629426953</v>
      </c>
      <c r="E4" s="172">
        <f>D4</f>
        <v>0.1880596629426953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16'!U4</f>
        <v>305</v>
      </c>
      <c r="K4" s="172">
        <f t="shared" ref="K4:K35" si="2">J4/J$106</f>
        <v>0.15844155844155844</v>
      </c>
      <c r="L4" s="172">
        <f>K4</f>
        <v>0.15844155844155844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16'!AO16</f>
        <v>99211.410251114256</v>
      </c>
      <c r="D5" s="172">
        <f t="shared" si="0"/>
        <v>0.11782279753515738</v>
      </c>
      <c r="E5" s="172">
        <f>E4+D5</f>
        <v>0.30588246047785267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16'!U13</f>
        <v>181</v>
      </c>
      <c r="K5" s="172">
        <f t="shared" si="2"/>
        <v>9.4025974025974027E-2</v>
      </c>
      <c r="L5" s="172">
        <f>L4+K5</f>
        <v>0.25246753246753245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16'!AO13</f>
        <v>77693.478202260187</v>
      </c>
      <c r="D6" s="172">
        <f t="shared" si="0"/>
        <v>9.2268247461226416E-2</v>
      </c>
      <c r="E6" s="172">
        <f t="shared" ref="E6:E69" si="5">E5+D6</f>
        <v>0.39815070793907908</v>
      </c>
      <c r="F6" s="173" t="str">
        <f t="shared" si="3"/>
        <v>A</v>
      </c>
      <c r="G6" s="173" t="str">
        <f t="shared" si="1"/>
        <v>A</v>
      </c>
      <c r="I6" s="182" t="s">
        <v>135</v>
      </c>
      <c r="J6" s="171">
        <f>'Юнит 16'!U16</f>
        <v>168</v>
      </c>
      <c r="K6" s="172">
        <f t="shared" si="2"/>
        <v>8.727272727272728E-2</v>
      </c>
      <c r="L6" s="172">
        <f t="shared" ref="L6:L69" si="6">L5+K6</f>
        <v>0.33974025974025973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16'!AO9</f>
        <v>61411.886587613997</v>
      </c>
      <c r="D7" s="172">
        <f t="shared" si="0"/>
        <v>7.2932339751548142E-2</v>
      </c>
      <c r="E7" s="172">
        <f t="shared" si="5"/>
        <v>0.47108304769062725</v>
      </c>
      <c r="F7" s="173" t="str">
        <f t="shared" si="3"/>
        <v>A</v>
      </c>
      <c r="G7" s="173" t="str">
        <f t="shared" si="1"/>
        <v>A</v>
      </c>
      <c r="I7" s="182" t="s">
        <v>128</v>
      </c>
      <c r="J7" s="171">
        <f>'Юнит 16'!U9</f>
        <v>166</v>
      </c>
      <c r="K7" s="172">
        <f t="shared" si="2"/>
        <v>8.6233766233766232E-2</v>
      </c>
      <c r="L7" s="172">
        <f t="shared" si="6"/>
        <v>0.42597402597402595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16'!AO5</f>
        <v>58503.347302026326</v>
      </c>
      <c r="D8" s="172">
        <f t="shared" si="0"/>
        <v>6.94781782342241E-2</v>
      </c>
      <c r="E8" s="172">
        <f t="shared" si="5"/>
        <v>0.54056122592485134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16'!U10</f>
        <v>139</v>
      </c>
      <c r="K8" s="172">
        <f t="shared" si="2"/>
        <v>7.2207792207792207E-2</v>
      </c>
      <c r="L8" s="172">
        <f t="shared" si="6"/>
        <v>0.49818181818181817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16'!AO7</f>
        <v>57203.083550424184</v>
      </c>
      <c r="D9" s="172">
        <f t="shared" si="0"/>
        <v>6.7933993826810105E-2</v>
      </c>
      <c r="E9" s="172">
        <f t="shared" si="5"/>
        <v>0.60849521975166143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'Юнит 16'!U7</f>
        <v>118</v>
      </c>
      <c r="K9" s="172">
        <f t="shared" si="2"/>
        <v>6.1298701298701297E-2</v>
      </c>
      <c r="L9" s="172">
        <f t="shared" si="6"/>
        <v>0.55948051948051947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16'!AO3</f>
        <v>51737.748206760407</v>
      </c>
      <c r="D10" s="172">
        <f t="shared" si="0"/>
        <v>6.1443398662117295E-2</v>
      </c>
      <c r="E10" s="172">
        <f t="shared" si="5"/>
        <v>0.66993861841377877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16'!U3</f>
        <v>112</v>
      </c>
      <c r="K10" s="172">
        <f t="shared" si="2"/>
        <v>5.8181818181818182E-2</v>
      </c>
      <c r="L10" s="172">
        <f t="shared" si="6"/>
        <v>0.61766233766233769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16'!AO10</f>
        <v>41043.76073721773</v>
      </c>
      <c r="D11" s="172">
        <f t="shared" si="0"/>
        <v>4.8743291715968064E-2</v>
      </c>
      <c r="E11" s="172">
        <f t="shared" si="5"/>
        <v>0.7186819101297468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16'!U5</f>
        <v>109</v>
      </c>
      <c r="K11" s="172">
        <f t="shared" si="2"/>
        <v>5.6623376623376624E-2</v>
      </c>
      <c r="L11" s="172">
        <f t="shared" si="6"/>
        <v>0.67428571428571427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16'!AO11</f>
        <v>33767.008316836764</v>
      </c>
      <c r="D12" s="172">
        <f t="shared" si="0"/>
        <v>4.0101469923797907E-2</v>
      </c>
      <c r="E12" s="172">
        <f t="shared" si="5"/>
        <v>0.75878338005354473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16'!U12</f>
        <v>99</v>
      </c>
      <c r="K12" s="172">
        <f t="shared" si="2"/>
        <v>5.1428571428571428E-2</v>
      </c>
      <c r="L12" s="172">
        <f t="shared" si="6"/>
        <v>0.72571428571428565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16'!AO6</f>
        <v>30951.521906497474</v>
      </c>
      <c r="D13" s="172">
        <f t="shared" si="0"/>
        <v>3.6757817369633475E-2</v>
      </c>
      <c r="E13" s="172">
        <f t="shared" si="5"/>
        <v>0.79554119742317819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16'!U11</f>
        <v>78</v>
      </c>
      <c r="K13" s="172">
        <f t="shared" si="2"/>
        <v>4.0519480519480518E-2</v>
      </c>
      <c r="L13" s="172">
        <f t="shared" si="6"/>
        <v>0.76623376623376616</v>
      </c>
      <c r="M13" s="173" t="str">
        <f t="shared" si="4"/>
        <v>A</v>
      </c>
    </row>
    <row r="14" spans="2:17" ht="15" outlineLevel="1" thickBot="1">
      <c r="B14" s="182" t="s">
        <v>131</v>
      </c>
      <c r="C14" s="171">
        <f>'Юнит 16'!AO12</f>
        <v>30790.725760864476</v>
      </c>
      <c r="D14" s="172">
        <f t="shared" si="0"/>
        <v>3.6566856958291705E-2</v>
      </c>
      <c r="E14" s="172">
        <f t="shared" si="5"/>
        <v>0.83210805438146984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16'!U6</f>
        <v>63</v>
      </c>
      <c r="K14" s="172">
        <f t="shared" si="2"/>
        <v>3.272727272727273E-2</v>
      </c>
      <c r="L14" s="172">
        <f t="shared" si="6"/>
        <v>0.79896103896103887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16'!AO15</f>
        <v>25537.369482115922</v>
      </c>
      <c r="D15" s="172">
        <f t="shared" si="0"/>
        <v>3.0328006692537244E-2</v>
      </c>
      <c r="E15" s="172">
        <f t="shared" si="5"/>
        <v>0.86243606107400705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16'!U15</f>
        <v>55</v>
      </c>
      <c r="K15" s="172">
        <f t="shared" si="2"/>
        <v>2.8571428571428571E-2</v>
      </c>
      <c r="L15" s="172">
        <f t="shared" si="6"/>
        <v>0.82753246753246745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16'!AO48</f>
        <v>19712.980643660703</v>
      </c>
      <c r="D16" s="172">
        <f t="shared" si="0"/>
        <v>2.3411002034077283E-2</v>
      </c>
      <c r="E16" s="172">
        <f t="shared" si="5"/>
        <v>0.88584706310808436</v>
      </c>
      <c r="F16" s="173" t="str">
        <f t="shared" si="3"/>
        <v>B</v>
      </c>
      <c r="G16" s="173" t="str">
        <f t="shared" si="1"/>
        <v>B</v>
      </c>
      <c r="I16" s="182" t="s">
        <v>167</v>
      </c>
      <c r="J16" s="171">
        <f>'Юнит 16'!U48</f>
        <v>41</v>
      </c>
      <c r="K16" s="172">
        <f t="shared" si="2"/>
        <v>2.12987012987013E-2</v>
      </c>
      <c r="L16" s="172">
        <f t="shared" si="6"/>
        <v>0.84883116883116871</v>
      </c>
      <c r="M16" s="173" t="str">
        <f t="shared" si="4"/>
        <v>B</v>
      </c>
    </row>
    <row r="17" spans="2:13" ht="15" outlineLevel="1" thickBot="1">
      <c r="B17" s="182" t="s">
        <v>169</v>
      </c>
      <c r="C17" s="171">
        <f>'Юнит 16'!AO50</f>
        <v>16703.1791131024</v>
      </c>
      <c r="D17" s="172">
        <f t="shared" si="0"/>
        <v>1.9836582161822772E-2</v>
      </c>
      <c r="E17" s="172">
        <f t="shared" si="5"/>
        <v>0.90568364526990719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16'!U28</f>
        <v>32</v>
      </c>
      <c r="K17" s="172">
        <f t="shared" si="2"/>
        <v>1.6623376623376623E-2</v>
      </c>
      <c r="L17" s="172">
        <f t="shared" si="6"/>
        <v>0.86545454545454537</v>
      </c>
      <c r="M17" s="173" t="str">
        <f t="shared" si="4"/>
        <v>B</v>
      </c>
    </row>
    <row r="18" spans="2:13" ht="15" outlineLevel="1" thickBot="1">
      <c r="B18" s="182" t="s">
        <v>127</v>
      </c>
      <c r="C18" s="171">
        <f>'Юнит 16'!AO8</f>
        <v>13986.896294749575</v>
      </c>
      <c r="D18" s="172">
        <f t="shared" si="0"/>
        <v>1.6610743120275457E-2</v>
      </c>
      <c r="E18" s="172">
        <f t="shared" si="5"/>
        <v>0.92229438839018263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16'!U50</f>
        <v>32</v>
      </c>
      <c r="K18" s="172">
        <f t="shared" si="2"/>
        <v>1.6623376623376623E-2</v>
      </c>
      <c r="L18" s="172">
        <f t="shared" si="6"/>
        <v>0.88207792207792202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'Юнит 16'!AO28</f>
        <v>12084.527337570167</v>
      </c>
      <c r="D19" s="172">
        <f t="shared" si="0"/>
        <v>1.4351502656788544E-2</v>
      </c>
      <c r="E19" s="172">
        <f t="shared" si="5"/>
        <v>0.93664589104697116</v>
      </c>
      <c r="F19" s="173" t="str">
        <f t="shared" si="3"/>
        <v>B</v>
      </c>
      <c r="G19" s="173" t="str">
        <f t="shared" si="1"/>
        <v>B</v>
      </c>
      <c r="I19" s="182" t="s">
        <v>127</v>
      </c>
      <c r="J19" s="171">
        <f>'Юнит 16'!U8</f>
        <v>29</v>
      </c>
      <c r="K19" s="172">
        <f t="shared" si="2"/>
        <v>1.5064935064935066E-2</v>
      </c>
      <c r="L19" s="172">
        <f t="shared" si="6"/>
        <v>0.89714285714285713</v>
      </c>
      <c r="M19" s="173" t="str">
        <f t="shared" si="4"/>
        <v>B</v>
      </c>
    </row>
    <row r="20" spans="2:13" ht="26.5" outlineLevel="1" thickBot="1">
      <c r="B20" s="182" t="s">
        <v>164</v>
      </c>
      <c r="C20" s="171">
        <f>'Юнит 16'!AO45</f>
        <v>10449.953982867186</v>
      </c>
      <c r="D20" s="172">
        <f t="shared" si="0"/>
        <v>1.2410294433459521E-2</v>
      </c>
      <c r="E20" s="172">
        <f t="shared" si="5"/>
        <v>0.94905618548043069</v>
      </c>
      <c r="F20" s="173" t="str">
        <f t="shared" si="3"/>
        <v>B</v>
      </c>
      <c r="G20" s="173" t="str">
        <f t="shared" si="1"/>
        <v>C</v>
      </c>
      <c r="I20" s="182" t="s">
        <v>137</v>
      </c>
      <c r="J20" s="171">
        <f>'Юнит 16'!U18</f>
        <v>29</v>
      </c>
      <c r="K20" s="172">
        <f t="shared" si="2"/>
        <v>1.5064935064935066E-2</v>
      </c>
      <c r="L20" s="172">
        <f t="shared" si="6"/>
        <v>0.91220779220779225</v>
      </c>
      <c r="M20" s="173" t="str">
        <f t="shared" si="4"/>
        <v>B</v>
      </c>
    </row>
    <row r="21" spans="2:13" ht="26.5" outlineLevel="1" thickBot="1">
      <c r="B21" s="182" t="s">
        <v>137</v>
      </c>
      <c r="C21" s="171">
        <f>'Юнит 16'!AO18</f>
        <v>9493.4544023656636</v>
      </c>
      <c r="D21" s="172">
        <f t="shared" si="0"/>
        <v>1.1274362022755498E-2</v>
      </c>
      <c r="E21" s="172">
        <f t="shared" si="5"/>
        <v>0.96033054750318614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'Юнит 16'!U49</f>
        <v>25</v>
      </c>
      <c r="K21" s="172">
        <f t="shared" si="2"/>
        <v>1.2987012987012988E-2</v>
      </c>
      <c r="L21" s="172">
        <f t="shared" si="6"/>
        <v>0.92519480519480524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16'!AO49</f>
        <v>8440.6416316758896</v>
      </c>
      <c r="D22" s="172">
        <f t="shared" si="0"/>
        <v>1.0024048720994766E-2</v>
      </c>
      <c r="E22" s="172">
        <f t="shared" si="5"/>
        <v>0.97035459622418085</v>
      </c>
      <c r="F22" s="173" t="str">
        <f t="shared" si="3"/>
        <v>C</v>
      </c>
      <c r="G22" s="173" t="str">
        <f t="shared" si="1"/>
        <v>B</v>
      </c>
      <c r="I22" s="182" t="s">
        <v>133</v>
      </c>
      <c r="J22" s="171">
        <f>'Юнит 16'!U14</f>
        <v>24</v>
      </c>
      <c r="K22" s="172">
        <f t="shared" si="2"/>
        <v>1.2467532467532468E-2</v>
      </c>
      <c r="L22" s="172">
        <f t="shared" si="6"/>
        <v>0.93766233766233775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16'!AO17</f>
        <v>8153.919048161204</v>
      </c>
      <c r="D23" s="172">
        <f t="shared" si="0"/>
        <v>9.6835389266001371E-3</v>
      </c>
      <c r="E23" s="172">
        <f t="shared" si="5"/>
        <v>0.98003813515078098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'Юнит 16'!U17</f>
        <v>20</v>
      </c>
      <c r="K23" s="172">
        <f t="shared" si="2"/>
        <v>1.038961038961039E-2</v>
      </c>
      <c r="L23" s="172">
        <f t="shared" si="6"/>
        <v>0.94805194805194815</v>
      </c>
      <c r="M23" s="173" t="str">
        <f t="shared" si="4"/>
        <v>B</v>
      </c>
    </row>
    <row r="24" spans="2:13" ht="15" outlineLevel="1" thickBot="1">
      <c r="B24" s="182" t="s">
        <v>133</v>
      </c>
      <c r="C24" s="171">
        <f>'Юнит 16'!AO14</f>
        <v>7514.0944176742232</v>
      </c>
      <c r="D24" s="172">
        <f t="shared" si="0"/>
        <v>8.9236875374800254E-3</v>
      </c>
      <c r="E24" s="172">
        <f t="shared" si="5"/>
        <v>0.98896182268826105</v>
      </c>
      <c r="F24" s="173" t="str">
        <f t="shared" si="3"/>
        <v>C</v>
      </c>
      <c r="G24" s="173" t="str">
        <f t="shared" si="1"/>
        <v>B</v>
      </c>
      <c r="I24" s="182" t="s">
        <v>164</v>
      </c>
      <c r="J24" s="171">
        <f>'Юнит 16'!U45</f>
        <v>20</v>
      </c>
      <c r="K24" s="172">
        <f t="shared" si="2"/>
        <v>1.038961038961039E-2</v>
      </c>
      <c r="L24" s="172">
        <f t="shared" si="6"/>
        <v>0.95844155844155854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16'!AO44</f>
        <v>4138.6463204406846</v>
      </c>
      <c r="D25" s="172">
        <f t="shared" si="0"/>
        <v>4.9150282840317782E-3</v>
      </c>
      <c r="E25" s="172">
        <f t="shared" si="5"/>
        <v>0.99387685097229284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16'!U44</f>
        <v>18</v>
      </c>
      <c r="K25" s="172">
        <f t="shared" si="2"/>
        <v>9.3506493506493506E-3</v>
      </c>
      <c r="L25" s="172">
        <f t="shared" si="6"/>
        <v>0.96779220779220787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16'!AO89</f>
        <v>3447.0665105441035</v>
      </c>
      <c r="D26" s="172">
        <f t="shared" si="0"/>
        <v>4.0937127950713501E-3</v>
      </c>
      <c r="E26" s="172">
        <f t="shared" si="5"/>
        <v>0.99797056376736415</v>
      </c>
      <c r="F26" s="173" t="str">
        <f t="shared" si="3"/>
        <v>C</v>
      </c>
      <c r="G26" s="173" t="str">
        <f t="shared" si="1"/>
        <v>C</v>
      </c>
      <c r="I26" s="182" t="s">
        <v>141</v>
      </c>
      <c r="J26" s="171">
        <f>'Юнит 16'!U22</f>
        <v>7</v>
      </c>
      <c r="K26" s="172">
        <f t="shared" si="2"/>
        <v>3.6363636363636364E-3</v>
      </c>
      <c r="L26" s="172">
        <f t="shared" si="6"/>
        <v>0.97142857142857153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16'!AO47</f>
        <v>3301.6032335586347</v>
      </c>
      <c r="D27" s="172">
        <f t="shared" si="0"/>
        <v>3.9209615944818307E-3</v>
      </c>
      <c r="E27" s="172">
        <f>E26+D27</f>
        <v>1.0018915253618459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16'!U47</f>
        <v>6</v>
      </c>
      <c r="K27" s="172">
        <f t="shared" si="2"/>
        <v>3.1168831168831169E-3</v>
      </c>
      <c r="L27" s="172">
        <f>L26+K27</f>
        <v>0.9745454545454546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16'!AO22</f>
        <v>2282.3549611169315</v>
      </c>
      <c r="D28" s="172">
        <f t="shared" si="0"/>
        <v>2.7105092630615242E-3</v>
      </c>
      <c r="E28" s="172">
        <f>E27+D28</f>
        <v>1.0046020346249074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16'!U89</f>
        <v>6</v>
      </c>
      <c r="K28" s="172">
        <f t="shared" si="2"/>
        <v>3.1168831168831169E-3</v>
      </c>
      <c r="L28" s="172">
        <f t="shared" si="6"/>
        <v>0.97766233766233768</v>
      </c>
      <c r="M28" s="173" t="str">
        <f t="shared" si="4"/>
        <v>C</v>
      </c>
    </row>
    <row r="29" spans="2:13" ht="15" outlineLevel="1" thickBot="1">
      <c r="B29" s="182" t="s">
        <v>259</v>
      </c>
      <c r="C29" s="171">
        <f>'Юнит 16'!AO102</f>
        <v>1901.7490536759035</v>
      </c>
      <c r="D29" s="172">
        <f t="shared" si="0"/>
        <v>2.258504270293009E-3</v>
      </c>
      <c r="E29" s="172">
        <f t="shared" si="5"/>
        <v>1.0068605388952003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16'!U26</f>
        <v>5</v>
      </c>
      <c r="K29" s="172">
        <f t="shared" si="2"/>
        <v>2.5974025974025974E-3</v>
      </c>
      <c r="L29" s="172">
        <f t="shared" si="6"/>
        <v>0.98025974025974028</v>
      </c>
      <c r="M29" s="173" t="str">
        <f t="shared" si="4"/>
        <v>C</v>
      </c>
    </row>
    <row r="30" spans="2:13" ht="15" outlineLevel="1" thickBot="1">
      <c r="B30" s="182" t="s">
        <v>257</v>
      </c>
      <c r="C30" s="171">
        <f>'Юнит 16'!AO100</f>
        <v>957.73960544102738</v>
      </c>
      <c r="D30" s="172">
        <f t="shared" si="0"/>
        <v>1.1374050559069876E-3</v>
      </c>
      <c r="E30" s="172">
        <f t="shared" si="5"/>
        <v>1.0079979439511073</v>
      </c>
      <c r="F30" s="173" t="str">
        <f t="shared" si="3"/>
        <v>C</v>
      </c>
      <c r="G30" s="173" t="str">
        <f t="shared" si="1"/>
        <v>C</v>
      </c>
      <c r="I30" s="182" t="s">
        <v>259</v>
      </c>
      <c r="J30" s="171">
        <f>'Юнит 16'!U102</f>
        <v>5</v>
      </c>
      <c r="K30" s="172">
        <f t="shared" si="2"/>
        <v>2.5974025974025974E-3</v>
      </c>
      <c r="L30" s="172">
        <f t="shared" si="6"/>
        <v>0.98285714285714287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'Юнит 16'!AO20</f>
        <v>894.56625180804383</v>
      </c>
      <c r="D31" s="172">
        <f t="shared" si="0"/>
        <v>1.0623808098462143E-3</v>
      </c>
      <c r="E31" s="172">
        <f t="shared" si="5"/>
        <v>1.0090603247609535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16'!U20</f>
        <v>4</v>
      </c>
      <c r="K31" s="172">
        <f t="shared" si="2"/>
        <v>2.0779220779220779E-3</v>
      </c>
      <c r="L31" s="172">
        <f t="shared" si="6"/>
        <v>0.984935064935065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16'!AO52</f>
        <v>676.14857380871888</v>
      </c>
      <c r="D32" s="172">
        <f t="shared" si="0"/>
        <v>8.0298945770358472E-4</v>
      </c>
      <c r="E32" s="172">
        <f t="shared" si="5"/>
        <v>1.009863314218657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16'!U21</f>
        <v>2</v>
      </c>
      <c r="K32" s="172">
        <f t="shared" si="2"/>
        <v>1.038961038961039E-3</v>
      </c>
      <c r="L32" s="172">
        <f t="shared" si="6"/>
        <v>0.98597402597402606</v>
      </c>
      <c r="M32" s="173" t="str">
        <f t="shared" si="4"/>
        <v>C</v>
      </c>
    </row>
    <row r="33" spans="2:13" ht="15" outlineLevel="1" thickBot="1">
      <c r="B33" s="182" t="s">
        <v>145</v>
      </c>
      <c r="C33" s="171">
        <f>'Юнит 16'!AO26</f>
        <v>516.79116177762739</v>
      </c>
      <c r="D33" s="172">
        <f t="shared" si="0"/>
        <v>6.1373767662374601E-4</v>
      </c>
      <c r="E33" s="172">
        <f t="shared" si="5"/>
        <v>1.0104770518952808</v>
      </c>
      <c r="F33" s="173" t="str">
        <f t="shared" si="3"/>
        <v>C</v>
      </c>
      <c r="G33" s="173" t="str">
        <f t="shared" si="1"/>
        <v>C</v>
      </c>
      <c r="I33" s="182" t="s">
        <v>146</v>
      </c>
      <c r="J33" s="171">
        <f>'Юнит 16'!U27</f>
        <v>2</v>
      </c>
      <c r="K33" s="172">
        <f t="shared" si="2"/>
        <v>1.038961038961039E-3</v>
      </c>
      <c r="L33" s="172">
        <f t="shared" si="6"/>
        <v>0.98701298701298712</v>
      </c>
      <c r="M33" s="173" t="str">
        <f t="shared" si="4"/>
        <v>C</v>
      </c>
    </row>
    <row r="34" spans="2:13" ht="15" outlineLevel="1" thickBot="1">
      <c r="B34" s="182" t="s">
        <v>179</v>
      </c>
      <c r="C34" s="171">
        <f>'Юнит 16'!AO60</f>
        <v>379.49816677931733</v>
      </c>
      <c r="D34" s="172">
        <f t="shared" si="0"/>
        <v>4.5068944747613557E-4</v>
      </c>
      <c r="E34" s="172">
        <f t="shared" si="5"/>
        <v>1.0109277413427569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16'!U52</f>
        <v>2</v>
      </c>
      <c r="K34" s="172">
        <f t="shared" si="2"/>
        <v>1.038961038961039E-3</v>
      </c>
      <c r="L34" s="172">
        <f t="shared" si="6"/>
        <v>0.98805194805194818</v>
      </c>
      <c r="M34" s="173" t="str">
        <f t="shared" si="4"/>
        <v>C</v>
      </c>
    </row>
    <row r="35" spans="2:13" ht="26.5" outlineLevel="1" thickBot="1">
      <c r="B35" s="182" t="s">
        <v>200</v>
      </c>
      <c r="C35" s="171">
        <f>'Юнит 16'!AO81</f>
        <v>378.2549456911118</v>
      </c>
      <c r="D35" s="172">
        <f t="shared" si="0"/>
        <v>4.4921300654866239E-4</v>
      </c>
      <c r="E35" s="172">
        <f t="shared" si="5"/>
        <v>1.0113769543493056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16'!U75</f>
        <v>2</v>
      </c>
      <c r="K35" s="172">
        <f t="shared" si="2"/>
        <v>1.038961038961039E-3</v>
      </c>
      <c r="L35" s="172">
        <f t="shared" si="6"/>
        <v>0.98909090909090924</v>
      </c>
      <c r="M35" s="173" t="str">
        <f t="shared" si="4"/>
        <v>C</v>
      </c>
    </row>
    <row r="36" spans="2:13" ht="15" outlineLevel="1" thickBot="1">
      <c r="B36" s="182" t="s">
        <v>202</v>
      </c>
      <c r="C36" s="171">
        <f>'Юнит 16'!AO83</f>
        <v>303.24024058803667</v>
      </c>
      <c r="D36" s="172">
        <f t="shared" ref="D36:D67" si="7">C36/C$106</f>
        <v>3.6012605184105212E-4</v>
      </c>
      <c r="E36" s="172">
        <f t="shared" si="5"/>
        <v>1.0117370804011467</v>
      </c>
      <c r="F36" s="173" t="str">
        <f t="shared" si="3"/>
        <v>C</v>
      </c>
      <c r="G36" s="173" t="str">
        <f t="shared" si="1"/>
        <v>C</v>
      </c>
      <c r="I36" s="182" t="s">
        <v>197</v>
      </c>
      <c r="J36" s="171">
        <f>'Юнит 16'!U78</f>
        <v>2</v>
      </c>
      <c r="K36" s="172">
        <f t="shared" ref="K36:K67" si="8">J36/J$106</f>
        <v>1.038961038961039E-3</v>
      </c>
      <c r="L36" s="172">
        <f t="shared" si="6"/>
        <v>0.9901298701298703</v>
      </c>
      <c r="M36" s="173" t="str">
        <f t="shared" si="4"/>
        <v>C</v>
      </c>
    </row>
    <row r="37" spans="2:13" ht="26.5" outlineLevel="1" thickBot="1">
      <c r="B37" s="182" t="s">
        <v>206</v>
      </c>
      <c r="C37" s="171">
        <f>'Юнит 16'!AO87</f>
        <v>289.30564754410295</v>
      </c>
      <c r="D37" s="172">
        <f t="shared" si="7"/>
        <v>3.4357742370649965E-4</v>
      </c>
      <c r="E37" s="172">
        <f t="shared" si="5"/>
        <v>1.0120806578248533</v>
      </c>
      <c r="F37" s="173" t="str">
        <f t="shared" si="3"/>
        <v>C</v>
      </c>
      <c r="G37" s="173" t="str">
        <f t="shared" si="1"/>
        <v>C</v>
      </c>
      <c r="I37" s="182" t="s">
        <v>198</v>
      </c>
      <c r="J37" s="171">
        <f>'Юнит 16'!U79</f>
        <v>2</v>
      </c>
      <c r="K37" s="172">
        <f t="shared" si="8"/>
        <v>1.038961038961039E-3</v>
      </c>
      <c r="L37" s="172">
        <f t="shared" si="6"/>
        <v>0.99116883116883137</v>
      </c>
      <c r="M37" s="173" t="str">
        <f t="shared" si="4"/>
        <v>C</v>
      </c>
    </row>
    <row r="38" spans="2:13" ht="26.5" outlineLevel="1" thickBot="1">
      <c r="B38" s="182" t="s">
        <v>188</v>
      </c>
      <c r="C38" s="171">
        <f>'Юнит 16'!AO69</f>
        <v>287.7056035147009</v>
      </c>
      <c r="D38" s="172">
        <f t="shared" si="7"/>
        <v>3.416772222755714E-4</v>
      </c>
      <c r="E38" s="172">
        <f t="shared" si="5"/>
        <v>1.0124223350471289</v>
      </c>
      <c r="F38" s="173" t="str">
        <f t="shared" si="3"/>
        <v>C</v>
      </c>
      <c r="G38" s="173" t="str">
        <f t="shared" si="1"/>
        <v>C</v>
      </c>
      <c r="I38" s="182" t="s">
        <v>199</v>
      </c>
      <c r="J38" s="171">
        <f>'Юнит 16'!U80</f>
        <v>2</v>
      </c>
      <c r="K38" s="172">
        <f t="shared" si="8"/>
        <v>1.038961038961039E-3</v>
      </c>
      <c r="L38" s="172">
        <f t="shared" si="6"/>
        <v>0.99220779220779243</v>
      </c>
      <c r="M38" s="173" t="str">
        <f t="shared" si="4"/>
        <v>C</v>
      </c>
    </row>
    <row r="39" spans="2:13" ht="26.5" outlineLevel="1" thickBot="1">
      <c r="B39" s="182" t="s">
        <v>143</v>
      </c>
      <c r="C39" s="171">
        <f>'Юнит 16'!AO24</f>
        <v>269.29608786752271</v>
      </c>
      <c r="D39" s="172">
        <f t="shared" si="7"/>
        <v>3.1981420642560342E-4</v>
      </c>
      <c r="E39" s="172">
        <f>E35+D39</f>
        <v>1.0116967685557312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'Юнит 16'!U87</f>
        <v>2</v>
      </c>
      <c r="K39" s="172">
        <f t="shared" si="8"/>
        <v>1.038961038961039E-3</v>
      </c>
      <c r="L39" s="172">
        <f>L35+K39</f>
        <v>0.9901298701298703</v>
      </c>
      <c r="M39" s="173" t="str">
        <f t="shared" si="4"/>
        <v>C</v>
      </c>
    </row>
    <row r="40" spans="2:13" ht="15" outlineLevel="1" thickBot="1">
      <c r="B40" s="182" t="s">
        <v>180</v>
      </c>
      <c r="C40" s="171">
        <f>'Юнит 16'!AO61</f>
        <v>224.87776729334246</v>
      </c>
      <c r="D40" s="172">
        <f t="shared" si="7"/>
        <v>2.6706331034805699E-4</v>
      </c>
      <c r="E40" s="172">
        <f t="shared" si="5"/>
        <v>1.0119638318660793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16'!U100</f>
        <v>2</v>
      </c>
      <c r="K40" s="172">
        <f t="shared" si="8"/>
        <v>1.038961038961039E-3</v>
      </c>
      <c r="L40" s="172">
        <f t="shared" si="6"/>
        <v>0.99116883116883137</v>
      </c>
      <c r="M40" s="173" t="str">
        <f t="shared" si="4"/>
        <v>C</v>
      </c>
    </row>
    <row r="41" spans="2:13" ht="15" outlineLevel="1" thickBot="1">
      <c r="B41" s="182" t="s">
        <v>161</v>
      </c>
      <c r="C41" s="171">
        <f>'Юнит 16'!AO42</f>
        <v>207.64038786752283</v>
      </c>
      <c r="D41" s="172">
        <f t="shared" si="7"/>
        <v>2.465923155200984E-4</v>
      </c>
      <c r="E41" s="172">
        <f t="shared" si="5"/>
        <v>1.0122104241815995</v>
      </c>
      <c r="F41" s="173" t="str">
        <f t="shared" si="3"/>
        <v>C</v>
      </c>
      <c r="G41" s="173" t="str">
        <f t="shared" si="1"/>
        <v>C</v>
      </c>
      <c r="I41" s="182" t="s">
        <v>143</v>
      </c>
      <c r="J41" s="171">
        <f>'Юнит 16'!U24</f>
        <v>1</v>
      </c>
      <c r="K41" s="172">
        <f t="shared" si="8"/>
        <v>5.1948051948051948E-4</v>
      </c>
      <c r="L41" s="172">
        <f t="shared" si="6"/>
        <v>0.99168831168831184</v>
      </c>
      <c r="M41" s="173" t="str">
        <f t="shared" si="4"/>
        <v>C</v>
      </c>
    </row>
    <row r="42" spans="2:13" ht="15" outlineLevel="1" thickBot="1">
      <c r="B42" s="182" t="s">
        <v>217</v>
      </c>
      <c r="C42" s="171">
        <f>'Юнит 16'!AO98</f>
        <v>163.70867160290632</v>
      </c>
      <c r="D42" s="172">
        <f t="shared" si="7"/>
        <v>1.9441930741834372E-4</v>
      </c>
      <c r="E42" s="172">
        <f t="shared" si="5"/>
        <v>1.0124048434890178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16'!U33</f>
        <v>1</v>
      </c>
      <c r="K42" s="172">
        <f t="shared" si="8"/>
        <v>5.1948051948051948E-4</v>
      </c>
      <c r="L42" s="172">
        <f t="shared" si="6"/>
        <v>0.99220779220779232</v>
      </c>
      <c r="M42" s="173" t="str">
        <f t="shared" si="4"/>
        <v>C</v>
      </c>
    </row>
    <row r="43" spans="2:13" ht="26.5" outlineLevel="1" thickBot="1">
      <c r="B43" s="182" t="s">
        <v>196</v>
      </c>
      <c r="C43" s="171">
        <f>'Юнит 16'!AO77</f>
        <v>147.75797732342011</v>
      </c>
      <c r="D43" s="172">
        <f t="shared" si="7"/>
        <v>1.7547637113833061E-4</v>
      </c>
      <c r="E43" s="172">
        <f t="shared" si="5"/>
        <v>1.0125803198601562</v>
      </c>
      <c r="F43" s="173" t="str">
        <f t="shared" si="3"/>
        <v>C</v>
      </c>
      <c r="G43" s="173" t="str">
        <f t="shared" si="1"/>
        <v>C</v>
      </c>
      <c r="I43" s="182" t="s">
        <v>161</v>
      </c>
      <c r="J43" s="171">
        <f>'Юнит 16'!U42</f>
        <v>1</v>
      </c>
      <c r="K43" s="172">
        <f t="shared" si="8"/>
        <v>5.1948051948051948E-4</v>
      </c>
      <c r="L43" s="172">
        <f t="shared" si="6"/>
        <v>0.99272727272727279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16'!AO73</f>
        <v>144.1827070294018</v>
      </c>
      <c r="D44" s="172">
        <f t="shared" si="7"/>
        <v>1.7123040440003551E-4</v>
      </c>
      <c r="E44" s="172">
        <f t="shared" si="5"/>
        <v>1.0127515502645561</v>
      </c>
      <c r="F44" s="173" t="str">
        <f t="shared" si="3"/>
        <v>C</v>
      </c>
      <c r="G44" s="173" t="str">
        <f t="shared" si="1"/>
        <v>C</v>
      </c>
      <c r="I44" s="182" t="s">
        <v>162</v>
      </c>
      <c r="J44" s="171">
        <f>'Юнит 16'!U43</f>
        <v>1</v>
      </c>
      <c r="K44" s="172">
        <f t="shared" si="8"/>
        <v>5.1948051948051948E-4</v>
      </c>
      <c r="L44" s="172">
        <f t="shared" si="6"/>
        <v>0.99324675324675327</v>
      </c>
      <c r="M44" s="173" t="str">
        <f t="shared" si="4"/>
        <v>C</v>
      </c>
    </row>
    <row r="45" spans="2:13" ht="15" outlineLevel="1" thickBot="1">
      <c r="B45" s="182" t="s">
        <v>194</v>
      </c>
      <c r="C45" s="171">
        <f>'Юнит 16'!AO75</f>
        <v>126.55779999999999</v>
      </c>
      <c r="D45" s="172">
        <f t="shared" si="7"/>
        <v>1.5029918441994395E-4</v>
      </c>
      <c r="E45" s="172">
        <f t="shared" si="5"/>
        <v>1.0129018494489761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16'!U58</f>
        <v>1</v>
      </c>
      <c r="K45" s="172">
        <f t="shared" si="8"/>
        <v>5.1948051948051948E-4</v>
      </c>
      <c r="L45" s="172">
        <f t="shared" si="6"/>
        <v>0.99376623376623374</v>
      </c>
      <c r="M45" s="173" t="str">
        <f t="shared" si="4"/>
        <v>C</v>
      </c>
    </row>
    <row r="46" spans="2:13" ht="15" outlineLevel="1" thickBot="1">
      <c r="B46" s="182" t="s">
        <v>162</v>
      </c>
      <c r="C46" s="171">
        <f>'Юнит 16'!AO43</f>
        <v>108.44550702940182</v>
      </c>
      <c r="D46" s="172">
        <f t="shared" si="7"/>
        <v>1.2878914820363814E-4</v>
      </c>
      <c r="E46" s="172">
        <f t="shared" si="5"/>
        <v>1.0130306385971797</v>
      </c>
      <c r="F46" s="173" t="str">
        <f t="shared" si="3"/>
        <v>C</v>
      </c>
      <c r="G46" s="173" t="str">
        <f t="shared" si="1"/>
        <v>C</v>
      </c>
      <c r="I46" s="182" t="s">
        <v>179</v>
      </c>
      <c r="J46" s="171">
        <f>'Юнит 16'!U60</f>
        <v>1</v>
      </c>
      <c r="K46" s="172">
        <f t="shared" si="8"/>
        <v>5.1948051948051948E-4</v>
      </c>
      <c r="L46" s="172">
        <f t="shared" si="6"/>
        <v>0.99428571428571422</v>
      </c>
      <c r="M46" s="173" t="str">
        <f t="shared" si="4"/>
        <v>C</v>
      </c>
    </row>
    <row r="47" spans="2:13" ht="15" outlineLevel="1" thickBot="1">
      <c r="B47" s="182" t="s">
        <v>146</v>
      </c>
      <c r="C47" s="171">
        <f>'Юнит 16'!AO27</f>
        <v>31.522842514700798</v>
      </c>
      <c r="D47" s="172">
        <f t="shared" si="7"/>
        <v>3.7436313846778832E-5</v>
      </c>
      <c r="E47" s="172">
        <f t="shared" si="5"/>
        <v>1.0130680749110264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16'!U61</f>
        <v>1</v>
      </c>
      <c r="K47" s="172">
        <f t="shared" si="8"/>
        <v>5.1948051948051948E-4</v>
      </c>
      <c r="L47" s="172">
        <f t="shared" si="6"/>
        <v>0.99480519480519469</v>
      </c>
      <c r="M47" s="173" t="str">
        <f t="shared" si="4"/>
        <v>C</v>
      </c>
    </row>
    <row r="48" spans="2:13" ht="26.5" outlineLevel="1" thickBot="1">
      <c r="B48" s="182" t="s">
        <v>138</v>
      </c>
      <c r="C48" s="171">
        <f>'Юнит 16'!AO19</f>
        <v>0</v>
      </c>
      <c r="D48" s="172">
        <f t="shared" si="7"/>
        <v>0</v>
      </c>
      <c r="E48" s="172">
        <f t="shared" si="5"/>
        <v>1.0130680749110264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16'!U69</f>
        <v>1</v>
      </c>
      <c r="K48" s="172">
        <f t="shared" si="8"/>
        <v>5.1948051948051948E-4</v>
      </c>
      <c r="L48" s="172">
        <f t="shared" si="6"/>
        <v>0.99532467532467517</v>
      </c>
      <c r="M48" s="173" t="str">
        <f t="shared" si="4"/>
        <v>C</v>
      </c>
    </row>
    <row r="49" spans="2:13" ht="15" outlineLevel="1" thickBot="1">
      <c r="B49" s="182" t="s">
        <v>142</v>
      </c>
      <c r="C49" s="171">
        <f>'Юнит 16'!AO23</f>
        <v>0</v>
      </c>
      <c r="D49" s="172">
        <f t="shared" si="7"/>
        <v>0</v>
      </c>
      <c r="E49" s="172">
        <f t="shared" si="5"/>
        <v>1.0130680749110264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16'!U73</f>
        <v>1</v>
      </c>
      <c r="K49" s="172">
        <f t="shared" si="8"/>
        <v>5.1948051948051948E-4</v>
      </c>
      <c r="L49" s="172">
        <f t="shared" si="6"/>
        <v>0.99584415584415564</v>
      </c>
      <c r="M49" s="173" t="str">
        <f t="shared" si="4"/>
        <v>C</v>
      </c>
    </row>
    <row r="50" spans="2:13" ht="26.5" outlineLevel="1" thickBot="1">
      <c r="B50" s="182" t="s">
        <v>144</v>
      </c>
      <c r="C50" s="171">
        <f>'Юнит 16'!AO25</f>
        <v>0</v>
      </c>
      <c r="D50" s="172">
        <f t="shared" si="7"/>
        <v>0</v>
      </c>
      <c r="E50" s="172">
        <f t="shared" si="5"/>
        <v>1.0130680749110264</v>
      </c>
      <c r="F50" s="173" t="str">
        <f t="shared" si="3"/>
        <v>C</v>
      </c>
      <c r="G50" s="173" t="str">
        <f t="shared" si="1"/>
        <v>C</v>
      </c>
      <c r="I50" s="182" t="s">
        <v>196</v>
      </c>
      <c r="J50" s="171">
        <f>'Юнит 16'!U77</f>
        <v>1</v>
      </c>
      <c r="K50" s="172">
        <f t="shared" si="8"/>
        <v>5.1948051948051948E-4</v>
      </c>
      <c r="L50" s="172">
        <f t="shared" si="6"/>
        <v>0.99636363636363612</v>
      </c>
      <c r="M50" s="173" t="str">
        <f t="shared" si="4"/>
        <v>C</v>
      </c>
    </row>
    <row r="51" spans="2:13" ht="26.5" outlineLevel="1" thickBot="1">
      <c r="B51" s="182" t="s">
        <v>148</v>
      </c>
      <c r="C51" s="171">
        <f>'Юнит 16'!AO29</f>
        <v>0</v>
      </c>
      <c r="D51" s="172">
        <f t="shared" si="7"/>
        <v>0</v>
      </c>
      <c r="E51" s="172">
        <f t="shared" si="5"/>
        <v>1.0130680749110264</v>
      </c>
      <c r="F51" s="173" t="str">
        <f t="shared" si="3"/>
        <v>C</v>
      </c>
      <c r="G51" s="173" t="str">
        <f t="shared" si="1"/>
        <v>C</v>
      </c>
      <c r="I51" s="182" t="s">
        <v>200</v>
      </c>
      <c r="J51" s="171">
        <f>'Юнит 16'!U81</f>
        <v>1</v>
      </c>
      <c r="K51" s="172">
        <f t="shared" si="8"/>
        <v>5.1948051948051948E-4</v>
      </c>
      <c r="L51" s="172">
        <f t="shared" si="6"/>
        <v>0.99688311688311659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'Юнит 16'!AO30</f>
        <v>0</v>
      </c>
      <c r="D52" s="172">
        <f t="shared" si="7"/>
        <v>0</v>
      </c>
      <c r="E52" s="172">
        <f t="shared" si="5"/>
        <v>1.0130680749110264</v>
      </c>
      <c r="F52" s="173" t="str">
        <f t="shared" si="3"/>
        <v>C</v>
      </c>
      <c r="G52" s="173" t="str">
        <f t="shared" si="1"/>
        <v>C</v>
      </c>
      <c r="I52" s="182" t="s">
        <v>202</v>
      </c>
      <c r="J52" s="171">
        <f>'Юнит 16'!U83</f>
        <v>1</v>
      </c>
      <c r="K52" s="172">
        <f t="shared" si="8"/>
        <v>5.1948051948051948E-4</v>
      </c>
      <c r="L52" s="172">
        <f t="shared" si="6"/>
        <v>0.99740259740259707</v>
      </c>
      <c r="M52" s="173" t="str">
        <f t="shared" si="4"/>
        <v>C</v>
      </c>
    </row>
    <row r="53" spans="2:13" ht="15" outlineLevel="1" thickBot="1">
      <c r="B53" s="182" t="s">
        <v>150</v>
      </c>
      <c r="C53" s="171">
        <f>'Юнит 16'!AO31</f>
        <v>0</v>
      </c>
      <c r="D53" s="172">
        <f t="shared" si="7"/>
        <v>0</v>
      </c>
      <c r="E53" s="172">
        <f t="shared" si="5"/>
        <v>1.0130680749110264</v>
      </c>
      <c r="F53" s="173" t="str">
        <f t="shared" si="3"/>
        <v>C</v>
      </c>
      <c r="G53" s="173" t="str">
        <f t="shared" si="1"/>
        <v>C</v>
      </c>
      <c r="I53" s="182" t="s">
        <v>217</v>
      </c>
      <c r="J53" s="171">
        <f>'Юнит 16'!U98</f>
        <v>1</v>
      </c>
      <c r="K53" s="172">
        <f t="shared" si="8"/>
        <v>5.1948051948051948E-4</v>
      </c>
      <c r="L53" s="172">
        <f t="shared" si="6"/>
        <v>0.99792207792207754</v>
      </c>
      <c r="M53" s="173" t="str">
        <f t="shared" si="4"/>
        <v>C</v>
      </c>
    </row>
    <row r="54" spans="2:13" ht="26.5" outlineLevel="1" thickBot="1">
      <c r="B54" s="182" t="s">
        <v>151</v>
      </c>
      <c r="C54" s="171">
        <f>'Юнит 16'!AO32</f>
        <v>0</v>
      </c>
      <c r="D54" s="172">
        <f t="shared" si="7"/>
        <v>0</v>
      </c>
      <c r="E54" s="172">
        <f t="shared" si="5"/>
        <v>1.0130680749110264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16'!U19</f>
        <v>0</v>
      </c>
      <c r="K54" s="172">
        <f t="shared" si="8"/>
        <v>0</v>
      </c>
      <c r="L54" s="172">
        <f t="shared" si="6"/>
        <v>0.99792207792207754</v>
      </c>
      <c r="M54" s="173" t="str">
        <f t="shared" si="4"/>
        <v>C</v>
      </c>
    </row>
    <row r="55" spans="2:13" ht="15" outlineLevel="1" thickBot="1">
      <c r="B55" s="182" t="s">
        <v>154</v>
      </c>
      <c r="C55" s="171">
        <f>'Юнит 16'!AO35</f>
        <v>0</v>
      </c>
      <c r="D55" s="172">
        <f t="shared" si="7"/>
        <v>0</v>
      </c>
      <c r="E55" s="172">
        <f t="shared" si="5"/>
        <v>1.0130680749110264</v>
      </c>
      <c r="F55" s="173" t="str">
        <f t="shared" si="3"/>
        <v>C</v>
      </c>
      <c r="G55" s="173" t="str">
        <f t="shared" si="1"/>
        <v>C</v>
      </c>
      <c r="I55" s="182" t="s">
        <v>142</v>
      </c>
      <c r="J55" s="171">
        <f>'Юнит 16'!U23</f>
        <v>0</v>
      </c>
      <c r="K55" s="172">
        <f t="shared" si="8"/>
        <v>0</v>
      </c>
      <c r="L55" s="172">
        <f t="shared" si="6"/>
        <v>0.99792207792207754</v>
      </c>
      <c r="M55" s="173" t="str">
        <f t="shared" si="4"/>
        <v>C</v>
      </c>
    </row>
    <row r="56" spans="2:13" ht="15" outlineLevel="1" thickBot="1">
      <c r="B56" s="182" t="s">
        <v>155</v>
      </c>
      <c r="C56" s="171">
        <f>'Юнит 16'!AO36</f>
        <v>0</v>
      </c>
      <c r="D56" s="172">
        <f t="shared" si="7"/>
        <v>0</v>
      </c>
      <c r="E56" s="172">
        <f t="shared" si="5"/>
        <v>1.0130680749110264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16'!U25</f>
        <v>0</v>
      </c>
      <c r="K56" s="172">
        <f t="shared" si="8"/>
        <v>0</v>
      </c>
      <c r="L56" s="172">
        <f t="shared" si="6"/>
        <v>0.99792207792207754</v>
      </c>
      <c r="M56" s="173" t="str">
        <f t="shared" si="4"/>
        <v>C</v>
      </c>
    </row>
    <row r="57" spans="2:13" ht="26.5" outlineLevel="1" thickBot="1">
      <c r="B57" s="182" t="s">
        <v>165</v>
      </c>
      <c r="C57" s="171">
        <f>'Юнит 16'!AO46</f>
        <v>0</v>
      </c>
      <c r="D57" s="172">
        <f t="shared" si="7"/>
        <v>0</v>
      </c>
      <c r="E57" s="172">
        <f t="shared" si="5"/>
        <v>1.0130680749110264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16'!U29</f>
        <v>0</v>
      </c>
      <c r="K57" s="172">
        <f t="shared" si="8"/>
        <v>0</v>
      </c>
      <c r="L57" s="172">
        <f t="shared" si="6"/>
        <v>0.99792207792207754</v>
      </c>
      <c r="M57" s="173" t="str">
        <f t="shared" si="4"/>
        <v>C</v>
      </c>
    </row>
    <row r="58" spans="2:13" ht="15" outlineLevel="1" thickBot="1">
      <c r="B58" s="182" t="s">
        <v>175</v>
      </c>
      <c r="C58" s="171">
        <f>'Юнит 16'!AO56</f>
        <v>0</v>
      </c>
      <c r="D58" s="172">
        <f t="shared" si="7"/>
        <v>0</v>
      </c>
      <c r="E58" s="172">
        <f t="shared" si="5"/>
        <v>1.0130680749110264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16'!U30</f>
        <v>0</v>
      </c>
      <c r="K58" s="172">
        <f t="shared" si="8"/>
        <v>0</v>
      </c>
      <c r="L58" s="172">
        <f t="shared" si="6"/>
        <v>0.99792207792207754</v>
      </c>
      <c r="M58" s="173" t="str">
        <f t="shared" si="4"/>
        <v>C</v>
      </c>
    </row>
    <row r="59" spans="2:13" ht="15" outlineLevel="1" thickBot="1">
      <c r="B59" s="182" t="s">
        <v>176</v>
      </c>
      <c r="C59" s="171">
        <f>'Юнит 16'!AO57</f>
        <v>0</v>
      </c>
      <c r="D59" s="172">
        <f t="shared" si="7"/>
        <v>0</v>
      </c>
      <c r="E59" s="172">
        <f t="shared" si="5"/>
        <v>1.0130680749110264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16'!U31</f>
        <v>0</v>
      </c>
      <c r="K59" s="172">
        <f t="shared" si="8"/>
        <v>0</v>
      </c>
      <c r="L59" s="172">
        <f t="shared" si="6"/>
        <v>0.99792207792207754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16'!AO59</f>
        <v>0</v>
      </c>
      <c r="D60" s="172">
        <f t="shared" si="7"/>
        <v>0</v>
      </c>
      <c r="E60" s="172">
        <f t="shared" si="5"/>
        <v>1.0130680749110264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16'!U32</f>
        <v>0</v>
      </c>
      <c r="K60" s="172">
        <f t="shared" si="8"/>
        <v>0</v>
      </c>
      <c r="L60" s="172">
        <f t="shared" si="6"/>
        <v>0.99792207792207754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16'!AO62</f>
        <v>0</v>
      </c>
      <c r="D61" s="172">
        <f t="shared" si="7"/>
        <v>0</v>
      </c>
      <c r="E61" s="172">
        <f t="shared" si="5"/>
        <v>1.0130680749110264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16'!U34</f>
        <v>0</v>
      </c>
      <c r="K61" s="172">
        <f t="shared" si="8"/>
        <v>0</v>
      </c>
      <c r="L61" s="172">
        <f t="shared" si="6"/>
        <v>0.99792207792207754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16'!AO63</f>
        <v>0</v>
      </c>
      <c r="D62" s="172">
        <f t="shared" si="7"/>
        <v>0</v>
      </c>
      <c r="E62" s="172">
        <f t="shared" si="5"/>
        <v>1.0130680749110264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16'!U35</f>
        <v>0</v>
      </c>
      <c r="K62" s="172">
        <f t="shared" si="8"/>
        <v>0</v>
      </c>
      <c r="L62" s="172">
        <f t="shared" si="6"/>
        <v>0.99792207792207754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16'!AO64</f>
        <v>0</v>
      </c>
      <c r="D63" s="172">
        <f t="shared" si="7"/>
        <v>0</v>
      </c>
      <c r="E63" s="172">
        <f t="shared" si="5"/>
        <v>1.0130680749110264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16'!U36</f>
        <v>0</v>
      </c>
      <c r="K63" s="172">
        <f t="shared" si="8"/>
        <v>0</v>
      </c>
      <c r="L63" s="172">
        <f t="shared" si="6"/>
        <v>0.99792207792207754</v>
      </c>
      <c r="M63" s="173" t="str">
        <f t="shared" si="4"/>
        <v>C</v>
      </c>
    </row>
    <row r="64" spans="2:13" ht="15" outlineLevel="1" thickBot="1">
      <c r="B64" s="182" t="s">
        <v>186</v>
      </c>
      <c r="C64" s="171">
        <f>'Юнит 16'!AO67</f>
        <v>0</v>
      </c>
      <c r="D64" s="172">
        <f t="shared" si="7"/>
        <v>0</v>
      </c>
      <c r="E64" s="172">
        <f t="shared" si="5"/>
        <v>1.0130680749110264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16'!U37</f>
        <v>0</v>
      </c>
      <c r="K64" s="172">
        <f t="shared" si="8"/>
        <v>0</v>
      </c>
      <c r="L64" s="172">
        <f t="shared" si="6"/>
        <v>0.99792207792207754</v>
      </c>
      <c r="M64" s="173" t="str">
        <f t="shared" si="4"/>
        <v>C</v>
      </c>
    </row>
    <row r="65" spans="2:13" ht="15" outlineLevel="1" thickBot="1">
      <c r="B65" s="182" t="s">
        <v>187</v>
      </c>
      <c r="C65" s="171">
        <f>'Юнит 16'!AO68</f>
        <v>0</v>
      </c>
      <c r="D65" s="172">
        <f t="shared" si="7"/>
        <v>0</v>
      </c>
      <c r="E65" s="172">
        <f t="shared" si="5"/>
        <v>1.0130680749110264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16'!U38</f>
        <v>0</v>
      </c>
      <c r="K65" s="172">
        <f t="shared" si="8"/>
        <v>0</v>
      </c>
      <c r="L65" s="172">
        <f t="shared" si="6"/>
        <v>0.99792207792207754</v>
      </c>
      <c r="M65" s="173" t="str">
        <f t="shared" si="4"/>
        <v>C</v>
      </c>
    </row>
    <row r="66" spans="2:13" ht="15" outlineLevel="1" thickBot="1">
      <c r="B66" s="182" t="s">
        <v>189</v>
      </c>
      <c r="C66" s="171">
        <f>'Юнит 16'!AO70</f>
        <v>0</v>
      </c>
      <c r="D66" s="172">
        <f t="shared" si="7"/>
        <v>0</v>
      </c>
      <c r="E66" s="172">
        <f t="shared" si="5"/>
        <v>1.0130680749110264</v>
      </c>
      <c r="F66" s="173" t="str">
        <f t="shared" si="3"/>
        <v>C</v>
      </c>
      <c r="G66" s="173" t="str">
        <f t="shared" si="1"/>
        <v>C</v>
      </c>
      <c r="I66" s="182" t="s">
        <v>159</v>
      </c>
      <c r="J66" s="171">
        <f>'Юнит 16'!U40</f>
        <v>0</v>
      </c>
      <c r="K66" s="172">
        <f t="shared" si="8"/>
        <v>0</v>
      </c>
      <c r="L66" s="172">
        <f t="shared" si="6"/>
        <v>0.99792207792207754</v>
      </c>
      <c r="M66" s="173" t="str">
        <f t="shared" si="4"/>
        <v>C</v>
      </c>
    </row>
    <row r="67" spans="2:13" ht="15" outlineLevel="1" thickBot="1">
      <c r="B67" s="182" t="s">
        <v>191</v>
      </c>
      <c r="C67" s="171">
        <f>'Юнит 16'!AO72</f>
        <v>0</v>
      </c>
      <c r="D67" s="172">
        <f t="shared" si="7"/>
        <v>0</v>
      </c>
      <c r="E67" s="172">
        <f t="shared" si="5"/>
        <v>1.0130680749110264</v>
      </c>
      <c r="F67" s="173" t="str">
        <f t="shared" si="3"/>
        <v>C</v>
      </c>
      <c r="G67" s="173" t="str">
        <f t="shared" si="1"/>
        <v>C</v>
      </c>
      <c r="I67" s="182" t="s">
        <v>160</v>
      </c>
      <c r="J67" s="171">
        <f>'Юнит 16'!U41</f>
        <v>0</v>
      </c>
      <c r="K67" s="172">
        <f t="shared" si="8"/>
        <v>0</v>
      </c>
      <c r="L67" s="172">
        <f t="shared" si="6"/>
        <v>0.99792207792207754</v>
      </c>
      <c r="M67" s="173" t="str">
        <f t="shared" si="4"/>
        <v>C</v>
      </c>
    </row>
    <row r="68" spans="2:13" ht="26.5" outlineLevel="1" thickBot="1">
      <c r="B68" s="182" t="s">
        <v>193</v>
      </c>
      <c r="C68" s="171">
        <f>'Юнит 16'!AO74</f>
        <v>0</v>
      </c>
      <c r="D68" s="172">
        <f t="shared" ref="D68:D99" si="9">C68/C$106</f>
        <v>0</v>
      </c>
      <c r="E68" s="172">
        <f t="shared" si="5"/>
        <v>1.0130680749110264</v>
      </c>
      <c r="F68" s="173" t="str">
        <f t="shared" si="3"/>
        <v>C</v>
      </c>
      <c r="G68" s="173" t="str">
        <f t="shared" ref="G68:G104" si="10">VLOOKUP(B$4:B$104,I$4:M$104,5,0)</f>
        <v>C</v>
      </c>
      <c r="I68" s="182" t="s">
        <v>165</v>
      </c>
      <c r="J68" s="171">
        <f>'Юнит 16'!U46</f>
        <v>0</v>
      </c>
      <c r="K68" s="172">
        <f t="shared" ref="K68:K99" si="11">J68/J$106</f>
        <v>0</v>
      </c>
      <c r="L68" s="172">
        <f t="shared" si="6"/>
        <v>0.99792207792207754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16'!AO94</f>
        <v>0</v>
      </c>
      <c r="D69" s="172">
        <f t="shared" si="9"/>
        <v>0</v>
      </c>
      <c r="E69" s="172">
        <f t="shared" si="5"/>
        <v>1.0130680749110264</v>
      </c>
      <c r="F69" s="173" t="str">
        <f t="shared" si="3"/>
        <v>C</v>
      </c>
      <c r="G69" s="173" t="str">
        <f t="shared" si="10"/>
        <v>C</v>
      </c>
      <c r="I69" s="182" t="s">
        <v>170</v>
      </c>
      <c r="J69" s="171">
        <f>'Юнит 16'!U51</f>
        <v>0</v>
      </c>
      <c r="K69" s="172">
        <f t="shared" si="11"/>
        <v>0</v>
      </c>
      <c r="L69" s="172">
        <f t="shared" si="6"/>
        <v>0.99792207792207754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16'!AO95</f>
        <v>0</v>
      </c>
      <c r="D70" s="172">
        <f t="shared" si="9"/>
        <v>0</v>
      </c>
      <c r="E70" s="172">
        <f t="shared" ref="E70:E75" si="12">E69+D70</f>
        <v>1.0130680749110264</v>
      </c>
      <c r="F70" s="173" t="str">
        <f t="shared" si="3"/>
        <v>C</v>
      </c>
      <c r="G70" s="173" t="str">
        <f t="shared" si="10"/>
        <v>C</v>
      </c>
      <c r="I70" s="182" t="s">
        <v>173</v>
      </c>
      <c r="J70" s="171">
        <f>'Юнит 16'!U54</f>
        <v>0</v>
      </c>
      <c r="K70" s="172">
        <f t="shared" si="11"/>
        <v>0</v>
      </c>
      <c r="L70" s="172">
        <f t="shared" ref="L70:L75" si="13">L69+K70</f>
        <v>0.99792207792207754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16'!AO96</f>
        <v>0</v>
      </c>
      <c r="D71" s="172">
        <f t="shared" si="9"/>
        <v>0</v>
      </c>
      <c r="E71" s="172">
        <f t="shared" si="12"/>
        <v>1.0130680749110264</v>
      </c>
      <c r="F71" s="173" t="str">
        <f t="shared" si="3"/>
        <v>C</v>
      </c>
      <c r="G71" s="173" t="str">
        <f t="shared" si="10"/>
        <v>C</v>
      </c>
      <c r="I71" s="182" t="s">
        <v>174</v>
      </c>
      <c r="J71" s="171">
        <f>'Юнит 16'!U55</f>
        <v>0</v>
      </c>
      <c r="K71" s="172">
        <f t="shared" si="11"/>
        <v>0</v>
      </c>
      <c r="L71" s="172">
        <f t="shared" si="13"/>
        <v>0.99792207792207754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16'!AO99</f>
        <v>0</v>
      </c>
      <c r="D72" s="172">
        <f t="shared" si="9"/>
        <v>0</v>
      </c>
      <c r="E72" s="172">
        <f t="shared" si="12"/>
        <v>1.0130680749110264</v>
      </c>
      <c r="F72" s="173" t="str">
        <f t="shared" si="3"/>
        <v>C</v>
      </c>
      <c r="G72" s="173" t="str">
        <f t="shared" si="10"/>
        <v>C</v>
      </c>
      <c r="I72" s="182" t="s">
        <v>175</v>
      </c>
      <c r="J72" s="171">
        <f>'Юнит 16'!U56</f>
        <v>0</v>
      </c>
      <c r="K72" s="172">
        <f t="shared" si="11"/>
        <v>0</v>
      </c>
      <c r="L72" s="172">
        <f t="shared" si="13"/>
        <v>0.99792207792207754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16'!AO101</f>
        <v>0</v>
      </c>
      <c r="D73" s="172">
        <f t="shared" si="9"/>
        <v>0</v>
      </c>
      <c r="E73" s="172">
        <f t="shared" si="12"/>
        <v>1.0130680749110264</v>
      </c>
      <c r="F73" s="173" t="str">
        <f t="shared" si="3"/>
        <v>C</v>
      </c>
      <c r="G73" s="173" t="str">
        <f t="shared" si="10"/>
        <v>C</v>
      </c>
      <c r="I73" s="182" t="s">
        <v>176</v>
      </c>
      <c r="J73" s="171">
        <f>'Юнит 16'!U57</f>
        <v>0</v>
      </c>
      <c r="K73" s="172">
        <f t="shared" si="11"/>
        <v>0</v>
      </c>
      <c r="L73" s="172">
        <f t="shared" si="13"/>
        <v>0.99792207792207754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16'!AO103</f>
        <v>0</v>
      </c>
      <c r="D74" s="172">
        <f t="shared" si="9"/>
        <v>0</v>
      </c>
      <c r="E74" s="172">
        <f t="shared" si="12"/>
        <v>1.0130680749110264</v>
      </c>
      <c r="F74" s="173" t="str">
        <f t="shared" si="3"/>
        <v>C</v>
      </c>
      <c r="G74" s="173" t="str">
        <f t="shared" si="10"/>
        <v>C</v>
      </c>
      <c r="I74" s="182" t="s">
        <v>178</v>
      </c>
      <c r="J74" s="171">
        <f>'Юнит 16'!U59</f>
        <v>0</v>
      </c>
      <c r="K74" s="172">
        <f t="shared" si="11"/>
        <v>0</v>
      </c>
      <c r="L74" s="172">
        <f t="shared" si="13"/>
        <v>0.99792207792207754</v>
      </c>
      <c r="M74" s="173" t="str">
        <f t="shared" si="4"/>
        <v>C</v>
      </c>
    </row>
    <row r="75" spans="2:13" ht="15" outlineLevel="1" thickBot="1">
      <c r="B75" s="182" t="s">
        <v>170</v>
      </c>
      <c r="C75" s="171">
        <f>'Юнит 16'!AO51</f>
        <v>-0.93309648529908751</v>
      </c>
      <c r="D75" s="172">
        <f t="shared" si="9"/>
        <v>-1.1081390536621931E-6</v>
      </c>
      <c r="E75" s="172">
        <f t="shared" si="12"/>
        <v>1.0130669667719727</v>
      </c>
      <c r="F75" s="173" t="str">
        <f t="shared" si="3"/>
        <v>C</v>
      </c>
      <c r="G75" s="173" t="str">
        <f t="shared" si="10"/>
        <v>C</v>
      </c>
      <c r="I75" s="182" t="s">
        <v>181</v>
      </c>
      <c r="J75" s="171">
        <f>'Юнит 16'!U62</f>
        <v>0</v>
      </c>
      <c r="K75" s="172">
        <f t="shared" si="11"/>
        <v>0</v>
      </c>
      <c r="L75" s="172">
        <f t="shared" si="13"/>
        <v>0.99792207792207754</v>
      </c>
      <c r="M75" s="173" t="str">
        <f t="shared" si="4"/>
        <v>C</v>
      </c>
    </row>
    <row r="76" spans="2:13" ht="15" outlineLevel="1" thickBot="1">
      <c r="B76" s="182" t="s">
        <v>174</v>
      </c>
      <c r="C76" s="171">
        <f>'Юнит 16'!AO55</f>
        <v>-0.93309648529908751</v>
      </c>
      <c r="D76" s="172">
        <f t="shared" si="9"/>
        <v>-1.1081390536621931E-6</v>
      </c>
      <c r="E76" s="172">
        <f>E49+D76</f>
        <v>1.0130669667719727</v>
      </c>
      <c r="F76" s="173" t="str">
        <f t="shared" si="3"/>
        <v>C</v>
      </c>
      <c r="G76" s="173" t="str">
        <f t="shared" si="10"/>
        <v>C</v>
      </c>
      <c r="I76" s="182" t="s">
        <v>182</v>
      </c>
      <c r="J76" s="171">
        <f>'Юнит 16'!U63</f>
        <v>0</v>
      </c>
      <c r="K76" s="172">
        <f t="shared" si="11"/>
        <v>0</v>
      </c>
      <c r="L76" s="172">
        <f>L49+K76</f>
        <v>0.99584415584415564</v>
      </c>
      <c r="M76" s="173" t="str">
        <f t="shared" si="4"/>
        <v>C</v>
      </c>
    </row>
    <row r="77" spans="2:13" ht="26.5" outlineLevel="1" thickBot="1">
      <c r="B77" s="182" t="s">
        <v>207</v>
      </c>
      <c r="C77" s="171">
        <f>'Юнит 16'!AO88</f>
        <v>-1.63</v>
      </c>
      <c r="D77" s="172">
        <f t="shared" si="9"/>
        <v>-1.9357769383199508E-6</v>
      </c>
      <c r="E77" s="172">
        <f t="shared" ref="E77:E93" si="14">E76+D77</f>
        <v>1.0130650309950344</v>
      </c>
      <c r="F77" s="173" t="str">
        <f t="shared" si="3"/>
        <v>C</v>
      </c>
      <c r="G77" s="173" t="str">
        <f t="shared" si="10"/>
        <v>C</v>
      </c>
      <c r="I77" s="182" t="s">
        <v>183</v>
      </c>
      <c r="J77" s="171">
        <f>'Юнит 16'!U64</f>
        <v>0</v>
      </c>
      <c r="K77" s="172">
        <f t="shared" si="11"/>
        <v>0</v>
      </c>
      <c r="L77" s="172">
        <f t="shared" ref="L77:L94" si="15">L76+K77</f>
        <v>0.99584415584415564</v>
      </c>
      <c r="M77" s="173" t="str">
        <f t="shared" si="4"/>
        <v>C</v>
      </c>
    </row>
    <row r="78" spans="2:13" ht="15" outlineLevel="1" thickBot="1">
      <c r="B78" s="182" t="s">
        <v>185</v>
      </c>
      <c r="C78" s="171">
        <f>'Юнит 16'!AO66</f>
        <v>-1.866192970598175</v>
      </c>
      <c r="D78" s="172">
        <f t="shared" si="9"/>
        <v>-2.2162781073243863E-6</v>
      </c>
      <c r="E78" s="172">
        <f t="shared" si="14"/>
        <v>1.0130628147169272</v>
      </c>
      <c r="F78" s="173" t="str">
        <f t="shared" si="3"/>
        <v>C</v>
      </c>
      <c r="G78" s="173" t="str">
        <f t="shared" si="10"/>
        <v>C</v>
      </c>
      <c r="I78" s="182" t="s">
        <v>184</v>
      </c>
      <c r="J78" s="171">
        <f>'Юнит 16'!U65</f>
        <v>0</v>
      </c>
      <c r="K78" s="172">
        <f t="shared" si="11"/>
        <v>0</v>
      </c>
      <c r="L78" s="172">
        <f t="shared" si="15"/>
        <v>0.99584415584415564</v>
      </c>
      <c r="M78" s="173" t="str">
        <f t="shared" si="4"/>
        <v>C</v>
      </c>
    </row>
    <row r="79" spans="2:13" ht="15" outlineLevel="1" thickBot="1">
      <c r="B79" s="182" t="s">
        <v>184</v>
      </c>
      <c r="C79" s="171">
        <f>'Юнит 16'!AO65</f>
        <v>-2.1830964852990875</v>
      </c>
      <c r="D79" s="172">
        <f t="shared" si="9"/>
        <v>-2.5926305707787198E-6</v>
      </c>
      <c r="E79" s="172">
        <f t="shared" si="14"/>
        <v>1.0130602220863565</v>
      </c>
      <c r="F79" s="173" t="str">
        <f t="shared" si="3"/>
        <v>C</v>
      </c>
      <c r="G79" s="173" t="str">
        <f t="shared" si="10"/>
        <v>C</v>
      </c>
      <c r="I79" s="182" t="s">
        <v>185</v>
      </c>
      <c r="J79" s="171">
        <f>'Юнит 16'!U66</f>
        <v>0</v>
      </c>
      <c r="K79" s="172">
        <f t="shared" si="11"/>
        <v>0</v>
      </c>
      <c r="L79" s="172">
        <f t="shared" si="15"/>
        <v>0.99584415584415564</v>
      </c>
      <c r="M79" s="173" t="str">
        <f t="shared" si="4"/>
        <v>C</v>
      </c>
    </row>
    <row r="80" spans="2:13" ht="15" outlineLevel="1" thickBot="1">
      <c r="B80" s="182" t="s">
        <v>190</v>
      </c>
      <c r="C80" s="171">
        <f>'Юнит 16'!AO71</f>
        <v>-4.5961929705981746</v>
      </c>
      <c r="D80" s="172">
        <f t="shared" si="9"/>
        <v>-5.4584075807068804E-6</v>
      </c>
      <c r="E80" s="172">
        <f t="shared" si="14"/>
        <v>1.0130547636787757</v>
      </c>
      <c r="F80" s="173" t="str">
        <f t="shared" si="3"/>
        <v>C</v>
      </c>
      <c r="G80" s="173" t="str">
        <f t="shared" si="10"/>
        <v>C</v>
      </c>
      <c r="I80" s="182" t="s">
        <v>186</v>
      </c>
      <c r="J80" s="171">
        <f>'Юнит 16'!U67</f>
        <v>0</v>
      </c>
      <c r="K80" s="172">
        <f t="shared" si="11"/>
        <v>0</v>
      </c>
      <c r="L80" s="172">
        <f t="shared" si="15"/>
        <v>0.99584415584415564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16'!AO41</f>
        <v>-37.323859411963497</v>
      </c>
      <c r="D81" s="172">
        <f t="shared" si="9"/>
        <v>-4.4325562146487718E-5</v>
      </c>
      <c r="E81" s="172">
        <f t="shared" si="14"/>
        <v>1.0130104381166292</v>
      </c>
      <c r="F81" s="173" t="str">
        <f t="shared" si="3"/>
        <v>C</v>
      </c>
      <c r="G81" s="173" t="str">
        <f t="shared" si="10"/>
        <v>C</v>
      </c>
      <c r="I81" s="182" t="s">
        <v>187</v>
      </c>
      <c r="J81" s="171">
        <f>'Юнит 16'!U68</f>
        <v>0</v>
      </c>
      <c r="K81" s="172">
        <f t="shared" si="11"/>
        <v>0</v>
      </c>
      <c r="L81" s="172">
        <f t="shared" si="15"/>
        <v>0.99584415584415564</v>
      </c>
      <c r="M81" s="173" t="str">
        <f t="shared" si="4"/>
        <v>C</v>
      </c>
    </row>
    <row r="82" spans="2:13" ht="26.5" outlineLevel="1" thickBot="1">
      <c r="B82" s="182" t="s">
        <v>212</v>
      </c>
      <c r="C82" s="171">
        <f>'Юнит 16'!AO93</f>
        <v>-43.110762926664407</v>
      </c>
      <c r="D82" s="172">
        <f t="shared" si="9"/>
        <v>-5.1198049488843972E-5</v>
      </c>
      <c r="E82" s="172">
        <f t="shared" si="14"/>
        <v>1.0129592400671403</v>
      </c>
      <c r="F82" s="173" t="str">
        <f t="shared" si="3"/>
        <v>C</v>
      </c>
      <c r="G82" s="173" t="str">
        <f t="shared" si="10"/>
        <v>C</v>
      </c>
      <c r="I82" s="182" t="s">
        <v>189</v>
      </c>
      <c r="J82" s="171">
        <f>'Юнит 16'!U70</f>
        <v>0</v>
      </c>
      <c r="K82" s="172">
        <f t="shared" si="11"/>
        <v>0</v>
      </c>
      <c r="L82" s="172">
        <f t="shared" si="15"/>
        <v>0.99584415584415564</v>
      </c>
      <c r="M82" s="173" t="str">
        <f t="shared" si="4"/>
        <v>C</v>
      </c>
    </row>
    <row r="83" spans="2:13" ht="26.5" outlineLevel="1" thickBot="1">
      <c r="B83" s="182" t="s">
        <v>209</v>
      </c>
      <c r="C83" s="171">
        <f>'Юнит 16'!AO90</f>
        <v>-44.7886312943562</v>
      </c>
      <c r="D83" s="172">
        <f t="shared" si="9"/>
        <v>-5.319067457578527E-5</v>
      </c>
      <c r="E83" s="172">
        <f t="shared" si="14"/>
        <v>1.0129060493925646</v>
      </c>
      <c r="F83" s="173" t="str">
        <f t="shared" si="3"/>
        <v>C</v>
      </c>
      <c r="G83" s="173" t="str">
        <f t="shared" si="10"/>
        <v>C</v>
      </c>
      <c r="I83" s="182" t="s">
        <v>190</v>
      </c>
      <c r="J83" s="171">
        <f>'Юнит 16'!U71</f>
        <v>0</v>
      </c>
      <c r="K83" s="172">
        <f t="shared" si="11"/>
        <v>0</v>
      </c>
      <c r="L83" s="172">
        <f t="shared" si="15"/>
        <v>0.99584415584415564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16'!AO97</f>
        <v>-67.183096485299089</v>
      </c>
      <c r="D84" s="172">
        <f t="shared" si="9"/>
        <v>-7.9786189460838116E-5</v>
      </c>
      <c r="E84" s="172">
        <f t="shared" si="14"/>
        <v>1.0128262632031038</v>
      </c>
      <c r="F84" s="173" t="str">
        <f t="shared" si="3"/>
        <v>C</v>
      </c>
      <c r="G84" s="173" t="str">
        <f t="shared" si="10"/>
        <v>C</v>
      </c>
      <c r="I84" s="182" t="s">
        <v>191</v>
      </c>
      <c r="J84" s="171">
        <f>'Юнит 16'!U72</f>
        <v>0</v>
      </c>
      <c r="K84" s="172">
        <f t="shared" si="11"/>
        <v>0</v>
      </c>
      <c r="L84" s="172">
        <f t="shared" si="15"/>
        <v>0.99584415584415564</v>
      </c>
      <c r="M84" s="173" t="str">
        <f t="shared" si="4"/>
        <v>C</v>
      </c>
    </row>
    <row r="85" spans="2:13" ht="15" outlineLevel="1" thickBot="1">
      <c r="B85" s="182" t="s">
        <v>156</v>
      </c>
      <c r="C85" s="171">
        <f>'Юнит 16'!AO37</f>
        <v>-91.89</v>
      </c>
      <c r="D85" s="172">
        <f t="shared" si="9"/>
        <v>-1.0912794040627012E-4</v>
      </c>
      <c r="E85" s="172">
        <f t="shared" si="14"/>
        <v>1.0127171352626976</v>
      </c>
      <c r="F85" s="173" t="str">
        <f t="shared" si="3"/>
        <v>C</v>
      </c>
      <c r="G85" s="173" t="str">
        <f t="shared" si="10"/>
        <v>C</v>
      </c>
      <c r="I85" s="182" t="s">
        <v>193</v>
      </c>
      <c r="J85" s="171">
        <f>'Юнит 16'!U74</f>
        <v>0</v>
      </c>
      <c r="K85" s="172">
        <f t="shared" si="11"/>
        <v>0</v>
      </c>
      <c r="L85" s="172">
        <f t="shared" si="15"/>
        <v>0.99584415584415564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16'!AO34</f>
        <v>-94.37</v>
      </c>
      <c r="D86" s="172">
        <f t="shared" si="9"/>
        <v>-1.1207317157622931E-4</v>
      </c>
      <c r="E86" s="172">
        <f t="shared" si="14"/>
        <v>1.0126050620911213</v>
      </c>
      <c r="F86" s="173" t="str">
        <f t="shared" si="3"/>
        <v>C</v>
      </c>
      <c r="G86" s="173" t="str">
        <f t="shared" si="10"/>
        <v>C</v>
      </c>
      <c r="I86" s="182" t="s">
        <v>195</v>
      </c>
      <c r="J86" s="171">
        <f>'Юнит 16'!U76</f>
        <v>0</v>
      </c>
      <c r="K86" s="172">
        <f t="shared" si="11"/>
        <v>0</v>
      </c>
      <c r="L86" s="172">
        <f t="shared" si="15"/>
        <v>0.99584415584415564</v>
      </c>
      <c r="M86" s="173" t="str">
        <f t="shared" si="4"/>
        <v>C</v>
      </c>
    </row>
    <row r="87" spans="2:13" ht="26.5" outlineLevel="1" thickBot="1">
      <c r="B87" s="182" t="s">
        <v>157</v>
      </c>
      <c r="C87" s="171">
        <f>'Юнит 16'!AO38</f>
        <v>-117.98005238256167</v>
      </c>
      <c r="D87" s="172">
        <f t="shared" si="9"/>
        <v>-1.4011230956070101E-4</v>
      </c>
      <c r="E87" s="172">
        <f t="shared" si="14"/>
        <v>1.0124649497815605</v>
      </c>
      <c r="F87" s="173" t="str">
        <f t="shared" si="3"/>
        <v>C</v>
      </c>
      <c r="G87" s="173" t="str">
        <f t="shared" si="10"/>
        <v>C</v>
      </c>
      <c r="I87" s="182" t="s">
        <v>201</v>
      </c>
      <c r="J87" s="171">
        <f>'Юнит 16'!U82</f>
        <v>0</v>
      </c>
      <c r="K87" s="172">
        <f t="shared" si="11"/>
        <v>0</v>
      </c>
      <c r="L87" s="172">
        <f t="shared" si="15"/>
        <v>0.99584415584415564</v>
      </c>
      <c r="M87" s="173" t="str">
        <f t="shared" si="4"/>
        <v>C</v>
      </c>
    </row>
    <row r="88" spans="2:13" ht="15" outlineLevel="1" thickBot="1">
      <c r="B88" s="182" t="s">
        <v>173</v>
      </c>
      <c r="C88" s="171">
        <f>'Юнит 16'!AO54</f>
        <v>-159.11192970598177</v>
      </c>
      <c r="D88" s="172">
        <f t="shared" si="9"/>
        <v>-1.8896024793645683E-4</v>
      </c>
      <c r="E88" s="172">
        <f t="shared" si="14"/>
        <v>1.0122759895336242</v>
      </c>
      <c r="F88" s="173" t="str">
        <f t="shared" si="3"/>
        <v>C</v>
      </c>
      <c r="G88" s="173" t="str">
        <f t="shared" si="10"/>
        <v>C</v>
      </c>
      <c r="I88" s="182" t="s">
        <v>203</v>
      </c>
      <c r="J88" s="171">
        <f>'Юнит 16'!U84</f>
        <v>0</v>
      </c>
      <c r="K88" s="172">
        <f t="shared" si="11"/>
        <v>0</v>
      </c>
      <c r="L88" s="172">
        <f t="shared" si="15"/>
        <v>0.99584415584415564</v>
      </c>
      <c r="M88" s="173" t="str">
        <f t="shared" si="4"/>
        <v>C</v>
      </c>
    </row>
    <row r="89" spans="2:13" ht="26.5" outlineLevel="1" thickBot="1">
      <c r="B89" s="182" t="s">
        <v>338</v>
      </c>
      <c r="C89" s="171">
        <f>'Юнит 16'!AO104</f>
        <v>-167.75726258871242</v>
      </c>
      <c r="D89" s="172">
        <f t="shared" si="9"/>
        <v>-1.9922738659810662E-4</v>
      </c>
      <c r="E89" s="172">
        <f t="shared" si="14"/>
        <v>1.0120767621470261</v>
      </c>
      <c r="F89" s="173" t="str">
        <f t="shared" si="3"/>
        <v>C</v>
      </c>
      <c r="G89" s="173" t="str">
        <f t="shared" si="10"/>
        <v>C</v>
      </c>
      <c r="I89" s="182" t="s">
        <v>204</v>
      </c>
      <c r="J89" s="171">
        <f>'Юнит 16'!U85</f>
        <v>0</v>
      </c>
      <c r="K89" s="172">
        <f t="shared" si="11"/>
        <v>0</v>
      </c>
      <c r="L89" s="172">
        <f t="shared" si="15"/>
        <v>0.99584415584415564</v>
      </c>
      <c r="M89" s="173" t="str">
        <f t="shared" si="4"/>
        <v>C</v>
      </c>
    </row>
    <row r="90" spans="2:13" ht="26.5" outlineLevel="1" thickBot="1">
      <c r="B90" s="182" t="s">
        <v>159</v>
      </c>
      <c r="C90" s="171">
        <f>'Юнит 16'!AO40</f>
        <v>-200.57360510307541</v>
      </c>
      <c r="D90" s="172">
        <f t="shared" si="9"/>
        <v>-2.3819985226639643E-4</v>
      </c>
      <c r="E90" s="172">
        <f t="shared" si="14"/>
        <v>1.0118385622947597</v>
      </c>
      <c r="F90" s="173" t="str">
        <f t="shared" si="3"/>
        <v>C</v>
      </c>
      <c r="G90" s="173" t="str">
        <f t="shared" si="10"/>
        <v>C</v>
      </c>
      <c r="I90" s="182" t="s">
        <v>205</v>
      </c>
      <c r="J90" s="171">
        <f>'Юнит 16'!U86</f>
        <v>0</v>
      </c>
      <c r="K90" s="172">
        <f t="shared" si="11"/>
        <v>0</v>
      </c>
      <c r="L90" s="172">
        <f t="shared" si="15"/>
        <v>0.99584415584415564</v>
      </c>
      <c r="M90" s="173" t="str">
        <f t="shared" si="4"/>
        <v>C</v>
      </c>
    </row>
    <row r="91" spans="2:13" ht="26.5" outlineLevel="1" thickBot="1">
      <c r="B91" s="182" t="s">
        <v>203</v>
      </c>
      <c r="C91" s="171">
        <f>'Юнит 16'!AO84</f>
        <v>-274.64147347076727</v>
      </c>
      <c r="D91" s="172">
        <f t="shared" si="9"/>
        <v>-3.2616235009259013E-4</v>
      </c>
      <c r="E91" s="172">
        <f t="shared" si="14"/>
        <v>1.0115123999446671</v>
      </c>
      <c r="F91" s="173" t="str">
        <f t="shared" si="3"/>
        <v>C</v>
      </c>
      <c r="G91" s="173" t="str">
        <f t="shared" si="10"/>
        <v>C</v>
      </c>
      <c r="I91" s="182" t="s">
        <v>207</v>
      </c>
      <c r="J91" s="171">
        <f>'Юнит 16'!U88</f>
        <v>0</v>
      </c>
      <c r="K91" s="172">
        <f t="shared" si="11"/>
        <v>0</v>
      </c>
      <c r="L91" s="172">
        <f t="shared" si="15"/>
        <v>0.99584415584415564</v>
      </c>
      <c r="M91" s="173" t="str">
        <f t="shared" si="4"/>
        <v>C</v>
      </c>
    </row>
    <row r="92" spans="2:13" ht="26.5" outlineLevel="1" thickBot="1">
      <c r="B92" s="182" t="s">
        <v>211</v>
      </c>
      <c r="C92" s="171">
        <f>'Юнит 16'!AO92</f>
        <v>-306.48314886786079</v>
      </c>
      <c r="D92" s="172">
        <f t="shared" si="9"/>
        <v>-3.6397730770680077E-4</v>
      </c>
      <c r="E92" s="172">
        <f t="shared" si="14"/>
        <v>1.0111484226369603</v>
      </c>
      <c r="F92" s="173" t="str">
        <f t="shared" si="3"/>
        <v>C</v>
      </c>
      <c r="G92" s="173" t="str">
        <f t="shared" si="10"/>
        <v>C</v>
      </c>
      <c r="I92" s="182" t="s">
        <v>209</v>
      </c>
      <c r="J92" s="171">
        <f>'Юнит 16'!U90</f>
        <v>0</v>
      </c>
      <c r="K92" s="172">
        <f t="shared" si="11"/>
        <v>0</v>
      </c>
      <c r="L92" s="172">
        <f t="shared" si="15"/>
        <v>0.99584415584415564</v>
      </c>
      <c r="M92" s="173" t="str">
        <f t="shared" si="4"/>
        <v>C</v>
      </c>
    </row>
    <row r="93" spans="2:13" ht="26.5" outlineLevel="1" thickBot="1">
      <c r="B93" s="182" t="s">
        <v>201</v>
      </c>
      <c r="C93" s="171">
        <f>'Юнит 16'!AO82</f>
        <v>-340.39005238256163</v>
      </c>
      <c r="D93" s="172">
        <f t="shared" si="9"/>
        <v>-4.0424491621821035E-4</v>
      </c>
      <c r="E93" s="172">
        <f t="shared" si="14"/>
        <v>1.010744177720742</v>
      </c>
      <c r="F93" s="173" t="str">
        <f t="shared" si="3"/>
        <v>C</v>
      </c>
      <c r="G93" s="173" t="str">
        <f t="shared" si="10"/>
        <v>C</v>
      </c>
      <c r="I93" s="182" t="s">
        <v>210</v>
      </c>
      <c r="J93" s="171">
        <f>'Юнит 16'!U91</f>
        <v>0</v>
      </c>
      <c r="K93" s="172">
        <f t="shared" si="11"/>
        <v>0</v>
      </c>
      <c r="L93" s="172">
        <f t="shared" si="15"/>
        <v>0.99584415584415564</v>
      </c>
      <c r="M93" s="173" t="str">
        <f t="shared" si="4"/>
        <v>C</v>
      </c>
    </row>
    <row r="94" spans="2:13" ht="15" outlineLevel="1" thickBot="1">
      <c r="B94" s="182" t="s">
        <v>177</v>
      </c>
      <c r="C94" s="171">
        <f>'Юнит 16'!AO58</f>
        <v>-433.75023322068256</v>
      </c>
      <c r="D94" s="172">
        <f t="shared" si="9"/>
        <v>-5.1511883341073469E-4</v>
      </c>
      <c r="E94" s="172">
        <f>E93+D94</f>
        <v>1.0102290588873313</v>
      </c>
      <c r="F94" s="173" t="str">
        <f t="shared" si="3"/>
        <v>C</v>
      </c>
      <c r="G94" s="173" t="str">
        <f t="shared" si="10"/>
        <v>C</v>
      </c>
      <c r="I94" s="182" t="s">
        <v>211</v>
      </c>
      <c r="J94" s="171">
        <f>'Юнит 16'!U92</f>
        <v>0</v>
      </c>
      <c r="K94" s="172">
        <f t="shared" si="11"/>
        <v>0</v>
      </c>
      <c r="L94" s="172">
        <f t="shared" si="15"/>
        <v>0.99584415584415564</v>
      </c>
      <c r="M94" s="173" t="str">
        <f t="shared" si="4"/>
        <v>C</v>
      </c>
    </row>
    <row r="95" spans="2:13" ht="26.5" outlineLevel="1" thickBot="1">
      <c r="B95" s="182" t="s">
        <v>195</v>
      </c>
      <c r="C95" s="171">
        <f>'Юнит 16'!AO76</f>
        <v>-524.93218401487013</v>
      </c>
      <c r="D95" s="172">
        <f t="shared" si="9"/>
        <v>-6.2340589938522108E-4</v>
      </c>
      <c r="E95" s="172">
        <f>E94+D95</f>
        <v>1.009605652987946</v>
      </c>
      <c r="F95" s="173" t="str">
        <f t="shared" si="3"/>
        <v>C</v>
      </c>
      <c r="G95" s="173" t="str">
        <f t="shared" si="10"/>
        <v>C</v>
      </c>
      <c r="I95" s="182" t="s">
        <v>212</v>
      </c>
      <c r="J95" s="171">
        <f>'Юнит 16'!U93</f>
        <v>0</v>
      </c>
      <c r="K95" s="172">
        <f t="shared" si="11"/>
        <v>0</v>
      </c>
      <c r="L95" s="172">
        <f>L94+K95</f>
        <v>0.99584415584415564</v>
      </c>
      <c r="M95" s="173" t="str">
        <f t="shared" si="4"/>
        <v>C</v>
      </c>
    </row>
    <row r="96" spans="2:13" ht="26.5" outlineLevel="1" thickBot="1">
      <c r="B96" s="182" t="s">
        <v>199</v>
      </c>
      <c r="C96" s="171">
        <f>'Юнит 16'!AO80</f>
        <v>-642.22065079418701</v>
      </c>
      <c r="D96" s="172">
        <f t="shared" si="9"/>
        <v>-7.6269688657682063E-4</v>
      </c>
      <c r="E96" s="172">
        <f t="shared" ref="E96:E98" si="16">E95+D96</f>
        <v>1.0088429561013692</v>
      </c>
      <c r="F96" s="173" t="str">
        <f t="shared" si="3"/>
        <v>C</v>
      </c>
      <c r="G96" s="173" t="str">
        <f t="shared" si="10"/>
        <v>C</v>
      </c>
      <c r="I96" s="182" t="s">
        <v>213</v>
      </c>
      <c r="J96" s="171">
        <f>'Юнит 16'!U94</f>
        <v>0</v>
      </c>
      <c r="K96" s="172">
        <f t="shared" si="11"/>
        <v>0</v>
      </c>
      <c r="L96" s="172">
        <f t="shared" ref="L96:L98" si="17">L95+K96</f>
        <v>0.99584415584415564</v>
      </c>
      <c r="M96" s="173" t="str">
        <f t="shared" si="4"/>
        <v>C</v>
      </c>
    </row>
    <row r="97" spans="2:13" ht="26.5" outlineLevel="1" thickBot="1">
      <c r="B97" s="182" t="s">
        <v>158</v>
      </c>
      <c r="C97" s="171">
        <f>'Юнит 16'!AO39</f>
        <v>-653.74717188239276</v>
      </c>
      <c r="D97" s="172">
        <f t="shared" si="9"/>
        <v>-7.763857047986656E-4</v>
      </c>
      <c r="E97" s="172">
        <f t="shared" si="16"/>
        <v>1.0080665703965705</v>
      </c>
      <c r="F97" s="173" t="str">
        <f t="shared" ref="F97:F104" si="18">IF(AND(E97&lt;=0),"C",IF(E97&lt;=0.8,"A",IF(E97&lt;=0.95,"B","C")))</f>
        <v>C</v>
      </c>
      <c r="G97" s="173" t="str">
        <f t="shared" si="10"/>
        <v>C</v>
      </c>
      <c r="I97" s="182" t="s">
        <v>214</v>
      </c>
      <c r="J97" s="171">
        <f>'Юнит 16'!U95</f>
        <v>0</v>
      </c>
      <c r="K97" s="172">
        <f t="shared" si="11"/>
        <v>0</v>
      </c>
      <c r="L97" s="172">
        <f t="shared" si="17"/>
        <v>0.99584415584415564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16'!AO85</f>
        <v>-658.31908752957088</v>
      </c>
      <c r="D98" s="172">
        <f t="shared" si="9"/>
        <v>-7.818152807948322E-4</v>
      </c>
      <c r="E98" s="172">
        <f t="shared" si="16"/>
        <v>1.0072847551157758</v>
      </c>
      <c r="F98" s="173" t="str">
        <f t="shared" si="18"/>
        <v>C</v>
      </c>
      <c r="G98" s="173" t="str">
        <f t="shared" si="10"/>
        <v>C</v>
      </c>
      <c r="I98" s="182" t="s">
        <v>215</v>
      </c>
      <c r="J98" s="171">
        <f>'Юнит 16'!U96</f>
        <v>0</v>
      </c>
      <c r="K98" s="172">
        <f t="shared" si="11"/>
        <v>0</v>
      </c>
      <c r="L98" s="172">
        <f t="shared" si="17"/>
        <v>0.99584415584415564</v>
      </c>
      <c r="M98" s="173" t="str">
        <f t="shared" si="4"/>
        <v>C</v>
      </c>
    </row>
    <row r="99" spans="2:13" ht="26.5" outlineLevel="1" thickBot="1">
      <c r="B99" s="182" t="s">
        <v>198</v>
      </c>
      <c r="C99" s="171">
        <f>'Юнит 16'!AO79</f>
        <v>-720.44590861777624</v>
      </c>
      <c r="D99" s="172">
        <f t="shared" si="9"/>
        <v>-8.5559667190751782E-4</v>
      </c>
      <c r="E99" s="172">
        <f>E93+D99</f>
        <v>1.0098885810488345</v>
      </c>
      <c r="F99" s="173" t="str">
        <f t="shared" si="18"/>
        <v>C</v>
      </c>
      <c r="G99" s="173" t="str">
        <f t="shared" si="10"/>
        <v>C</v>
      </c>
      <c r="I99" s="182" t="s">
        <v>216</v>
      </c>
      <c r="J99" s="171">
        <f>'Юнит 16'!U97</f>
        <v>0</v>
      </c>
      <c r="K99" s="172">
        <f t="shared" si="11"/>
        <v>0</v>
      </c>
      <c r="L99" s="172">
        <f>L93+K99</f>
        <v>0.99584415584415564</v>
      </c>
      <c r="M99" s="173" t="str">
        <f t="shared" ref="M99:M104" si="19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16'!AO78</f>
        <v>-785.18557188239288</v>
      </c>
      <c r="D100" s="172">
        <f t="shared" ref="D100:D105" si="20">C100/C$106</f>
        <v>-9.3248105665736086E-4</v>
      </c>
      <c r="E100" s="172">
        <f t="shared" ref="E100:E104" si="21">E94+D100</f>
        <v>1.0092965778306739</v>
      </c>
      <c r="F100" s="173" t="str">
        <f t="shared" si="18"/>
        <v>C</v>
      </c>
      <c r="G100" s="173" t="str">
        <f t="shared" si="10"/>
        <v>C</v>
      </c>
      <c r="I100" s="182" t="s">
        <v>256</v>
      </c>
      <c r="J100" s="171">
        <f>'Юнит 16'!U99</f>
        <v>0</v>
      </c>
      <c r="K100" s="172">
        <f t="shared" ref="K100:K105" si="22">J100/J$106</f>
        <v>0</v>
      </c>
      <c r="L100" s="172">
        <f t="shared" ref="L100:L104" si="23">L94+K100</f>
        <v>0.99584415584415564</v>
      </c>
      <c r="M100" s="173" t="str">
        <f t="shared" si="19"/>
        <v>C</v>
      </c>
    </row>
    <row r="101" spans="2:13" ht="15" outlineLevel="1" thickBot="1">
      <c r="B101" s="182" t="s">
        <v>210</v>
      </c>
      <c r="C101" s="171">
        <f>'Юнит 16'!AO91</f>
        <v>-805.06883322068268</v>
      </c>
      <c r="D101" s="172">
        <f t="shared" si="20"/>
        <v>-9.5609428288880266E-4</v>
      </c>
      <c r="E101" s="172">
        <f t="shared" si="21"/>
        <v>1.0086495587050572</v>
      </c>
      <c r="F101" s="173" t="str">
        <f t="shared" si="18"/>
        <v>C</v>
      </c>
      <c r="G101" s="173" t="str">
        <f t="shared" si="10"/>
        <v>C</v>
      </c>
      <c r="I101" s="182" t="s">
        <v>258</v>
      </c>
      <c r="J101" s="171">
        <f>'Юнит 16'!U101</f>
        <v>0</v>
      </c>
      <c r="K101" s="172">
        <f t="shared" si="22"/>
        <v>0</v>
      </c>
      <c r="L101" s="172">
        <f t="shared" si="23"/>
        <v>0.99584415584415564</v>
      </c>
      <c r="M101" s="173" t="str">
        <f t="shared" si="19"/>
        <v>C</v>
      </c>
    </row>
    <row r="102" spans="2:13" ht="26.5" outlineLevel="1" thickBot="1">
      <c r="B102" s="182" t="s">
        <v>140</v>
      </c>
      <c r="C102" s="171">
        <f>'Юнит 16'!AO21</f>
        <v>-814.84905873605931</v>
      </c>
      <c r="D102" s="172">
        <f t="shared" si="20"/>
        <v>-9.6770921233925325E-4</v>
      </c>
      <c r="E102" s="172">
        <f t="shared" si="21"/>
        <v>1.00787524688903</v>
      </c>
      <c r="F102" s="173" t="str">
        <f t="shared" si="18"/>
        <v>C</v>
      </c>
      <c r="G102" s="173" t="str">
        <f t="shared" si="10"/>
        <v>C</v>
      </c>
      <c r="I102" s="182" t="s">
        <v>260</v>
      </c>
      <c r="J102" s="171">
        <f>'Юнит 16'!U103</f>
        <v>0</v>
      </c>
      <c r="K102" s="172">
        <f t="shared" si="22"/>
        <v>0</v>
      </c>
      <c r="L102" s="172">
        <f t="shared" si="23"/>
        <v>0.99584415584415564</v>
      </c>
      <c r="M102" s="173" t="str">
        <f t="shared" si="19"/>
        <v>C</v>
      </c>
    </row>
    <row r="103" spans="2:13" ht="15" outlineLevel="1" thickBot="1">
      <c r="B103" s="182" t="s">
        <v>152</v>
      </c>
      <c r="C103" s="171">
        <f>'Юнит 16'!AO33</f>
        <v>-837.95199229469392</v>
      </c>
      <c r="D103" s="172">
        <f t="shared" si="20"/>
        <v>-9.9514609944989312E-4</v>
      </c>
      <c r="E103" s="172">
        <f t="shared" si="21"/>
        <v>1.0070714242971206</v>
      </c>
      <c r="F103" s="173" t="str">
        <f t="shared" si="18"/>
        <v>C</v>
      </c>
      <c r="G103" s="173" t="str">
        <f t="shared" si="10"/>
        <v>C</v>
      </c>
      <c r="I103" s="182" t="s">
        <v>338</v>
      </c>
      <c r="J103" s="171">
        <f>'Юнит 16'!U104</f>
        <v>0</v>
      </c>
      <c r="K103" s="172">
        <f t="shared" si="22"/>
        <v>0</v>
      </c>
      <c r="L103" s="172">
        <f t="shared" si="23"/>
        <v>0.99584415584415564</v>
      </c>
      <c r="M103" s="173" t="str">
        <f t="shared" si="19"/>
        <v>C</v>
      </c>
    </row>
    <row r="104" spans="2:13" ht="26.5" outlineLevel="1" thickBot="1">
      <c r="B104" s="182" t="s">
        <v>205</v>
      </c>
      <c r="C104" s="171">
        <f>'Юнит 16'!AO86</f>
        <v>-1110.0700523825617</v>
      </c>
      <c r="D104" s="172">
        <f t="shared" si="20"/>
        <v>-1.318311660933609E-3</v>
      </c>
      <c r="E104" s="172">
        <f t="shared" si="21"/>
        <v>1.0059664434548421</v>
      </c>
      <c r="F104" s="173" t="str">
        <f t="shared" si="18"/>
        <v>C</v>
      </c>
      <c r="G104" s="173" t="str">
        <f t="shared" si="10"/>
        <v>C</v>
      </c>
      <c r="I104" s="182" t="s">
        <v>158</v>
      </c>
      <c r="J104" s="171">
        <f>'Юнит 16'!U39</f>
        <v>-1</v>
      </c>
      <c r="K104" s="172">
        <f t="shared" si="22"/>
        <v>-5.1948051948051948E-4</v>
      </c>
      <c r="L104" s="172">
        <f t="shared" si="23"/>
        <v>0.99532467532467517</v>
      </c>
      <c r="M104" s="173" t="str">
        <f t="shared" si="19"/>
        <v>C</v>
      </c>
    </row>
    <row r="105" spans="2:13" ht="26.5" outlineLevel="1" thickBot="1">
      <c r="B105" s="182" t="s">
        <v>172</v>
      </c>
      <c r="C105" s="171">
        <f>'Юнит 16'!AO53</f>
        <v>-1939.796105103075</v>
      </c>
      <c r="D105" s="172">
        <f t="shared" si="20"/>
        <v>-2.3036886903689546E-3</v>
      </c>
      <c r="E105" s="172">
        <f t="shared" ref="E105" si="24">E99+D105</f>
        <v>1.0075848923584656</v>
      </c>
      <c r="F105" s="173" t="str">
        <f t="shared" ref="F105" si="25">IF(AND(E105&lt;=0),"C",IF(E105&lt;=0.8,"A",IF(E105&lt;=0.95,"B","C")))</f>
        <v>C</v>
      </c>
      <c r="G105" s="173" t="e">
        <f t="shared" ref="G105" si="26">VLOOKUP(B$4:B$104,I$4:M$104,5,0)</f>
        <v>#VALUE!</v>
      </c>
      <c r="I105" s="182" t="s">
        <v>172</v>
      </c>
      <c r="J105" s="171">
        <f>'Юнит 16'!U53</f>
        <v>-1</v>
      </c>
      <c r="K105" s="172">
        <f t="shared" si="22"/>
        <v>-5.1948051948051948E-4</v>
      </c>
      <c r="L105" s="172">
        <f t="shared" ref="L105" si="27">L99+K105</f>
        <v>0.99532467532467517</v>
      </c>
      <c r="M105" s="173" t="str">
        <f t="shared" ref="M105" si="28">_xlfn.IFS(L105&lt;80%,"A",L105&lt;=95%,"B",L105&gt;95%,"C")</f>
        <v>C</v>
      </c>
    </row>
    <row r="106" spans="2:13" outlineLevel="1">
      <c r="C106" s="178">
        <f>SUM(C4:C105)</f>
        <v>842039.16666900017</v>
      </c>
      <c r="D106" s="179">
        <f>SUM(D4:D105)</f>
        <v>1</v>
      </c>
      <c r="J106" s="178">
        <f>SUM(J4:J105)</f>
        <v>1925</v>
      </c>
      <c r="K106" s="179">
        <f>SUM(K4:K105)</f>
        <v>0.99999999999999989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26" priority="4" operator="equal">
      <formula>"C"</formula>
    </cfRule>
    <cfRule type="cellIs" dxfId="225" priority="5" operator="equal">
      <formula>"B"</formula>
    </cfRule>
    <cfRule type="cellIs" dxfId="224" priority="6" operator="equal">
      <formula>"A"</formula>
    </cfRule>
  </conditionalFormatting>
  <conditionalFormatting sqref="F99:G105 D99:D105 M99:M105 K99:K105">
    <cfRule type="cellIs" dxfId="223" priority="1" operator="equal">
      <formula>"C"</formula>
    </cfRule>
    <cfRule type="cellIs" dxfId="222" priority="2" operator="equal">
      <formula>"B"</formula>
    </cfRule>
    <cfRule type="cellIs" dxfId="22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sheetPr codeName="Лист9"/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20" priority="4" operator="equal">
      <formula>"C"</formula>
    </cfRule>
    <cfRule type="cellIs" dxfId="219" priority="5" operator="equal">
      <formula>"B"</formula>
    </cfRule>
    <cfRule type="cellIs" dxfId="218" priority="6" operator="equal">
      <formula>"A"</formula>
    </cfRule>
  </conditionalFormatting>
  <conditionalFormatting sqref="F99:G104 D99:D104 M99:M104 K99:K104">
    <cfRule type="cellIs" dxfId="217" priority="1" operator="equal">
      <formula>"C"</formula>
    </cfRule>
    <cfRule type="cellIs" dxfId="216" priority="2" operator="equal">
      <formula>"B"</formula>
    </cfRule>
    <cfRule type="cellIs" dxfId="21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sheetPr codeName="Лист10"/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14" priority="4" operator="equal">
      <formula>"C"</formula>
    </cfRule>
    <cfRule type="cellIs" dxfId="213" priority="5" operator="equal">
      <formula>"B"</formula>
    </cfRule>
    <cfRule type="cellIs" dxfId="212" priority="6" operator="equal">
      <formula>"A"</formula>
    </cfRule>
  </conditionalFormatting>
  <conditionalFormatting sqref="F99:G104 D99:D104 M99:M104 K99:K104">
    <cfRule type="cellIs" dxfId="211" priority="1" operator="equal">
      <formula>"C"</formula>
    </cfRule>
    <cfRule type="cellIs" dxfId="210" priority="2" operator="equal">
      <formula>"B"</formula>
    </cfRule>
    <cfRule type="cellIs" dxfId="209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sheetPr codeName="Лист11"/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8" priority="4" operator="equal">
      <formula>"C"</formula>
    </cfRule>
    <cfRule type="cellIs" dxfId="207" priority="5" operator="equal">
      <formula>"B"</formula>
    </cfRule>
    <cfRule type="cellIs" dxfId="206" priority="6" operator="equal">
      <formula>"A"</formula>
    </cfRule>
  </conditionalFormatting>
  <conditionalFormatting sqref="F99:G104 D99:D104 M99:M104 K99:K104">
    <cfRule type="cellIs" dxfId="205" priority="1" operator="equal">
      <formula>"C"</formula>
    </cfRule>
    <cfRule type="cellIs" dxfId="204" priority="2" operator="equal">
      <formula>"B"</formula>
    </cfRule>
    <cfRule type="cellIs" dxfId="20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sheetPr codeName="Лист12"/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2" priority="4" operator="equal">
      <formula>"C"</formula>
    </cfRule>
    <cfRule type="cellIs" dxfId="201" priority="5" operator="equal">
      <formula>"B"</formula>
    </cfRule>
    <cfRule type="cellIs" dxfId="200" priority="6" operator="equal">
      <formula>"A"</formula>
    </cfRule>
  </conditionalFormatting>
  <conditionalFormatting sqref="F99:G104 D99:D104 M99:M104 K99:K104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sheetPr codeName="Лист13"/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sheetPr codeName="Лист14"/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sheetPr codeName="Лист15"/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sheetPr codeName="Лист16"/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sheetPr codeName="Лист17"/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13" operator="equal">
      <formula>"C"</formula>
    </cfRule>
    <cfRule type="cellIs" dxfId="171" priority="14" operator="equal">
      <formula>"B"</formula>
    </cfRule>
    <cfRule type="cellIs" dxfId="170" priority="15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sheetPr codeName="Лист18"/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66" priority="13" operator="equal">
      <formula>"C"</formula>
    </cfRule>
    <cfRule type="cellIs" dxfId="165" priority="14" operator="equal">
      <formula>"B"</formula>
    </cfRule>
    <cfRule type="cellIs" dxfId="164" priority="15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sheetPr codeName="Лист19"/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5" t="s">
        <v>86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578" t="s">
        <v>237</v>
      </c>
      <c r="C102" s="579"/>
      <c r="D102" s="579"/>
      <c r="E102" s="579"/>
      <c r="F102" s="579"/>
      <c r="G102" s="579"/>
      <c r="H102" s="579"/>
      <c r="I102" s="579"/>
      <c r="J102" s="579"/>
      <c r="K102" s="579"/>
      <c r="L102" s="579"/>
      <c r="M102" s="580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60" priority="10" operator="equal">
      <formula>"C"</formula>
    </cfRule>
    <cfRule type="cellIs" dxfId="159" priority="11" operator="equal">
      <formula>"B"</formula>
    </cfRule>
    <cfRule type="cellIs" dxfId="158" priority="12" operator="equal">
      <formula>"A"</formula>
    </cfRule>
  </conditionalFormatting>
  <conditionalFormatting sqref="M104:M108 K104:K108 D104:D108">
    <cfRule type="cellIs" dxfId="157" priority="7" operator="equal">
      <formula>"C"</formula>
    </cfRule>
    <cfRule type="cellIs" dxfId="156" priority="8" operator="equal">
      <formula>"B"</formula>
    </cfRule>
    <cfRule type="cellIs" dxfId="155" priority="9" operator="equal">
      <formula>"A"</formula>
    </cfRule>
  </conditionalFormatting>
  <conditionalFormatting sqref="G104:G108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104:F108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sheetPr codeName="Лист20"/>
  <dimension ref="A1:AZ133"/>
  <sheetViews>
    <sheetView zoomScale="70" zoomScaleNormal="70" workbookViewId="0">
      <pane xSplit="3" ySplit="2" topLeftCell="Z120" activePane="bottomRight" state="frozen"/>
      <selection pane="topRight" activeCell="D1" sqref="D1"/>
      <selection pane="bottomLeft" activeCell="A3" sqref="A3"/>
      <selection pane="bottomRight" activeCell="AE139" sqref="AE13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1" width="11.26953125" style="163" customWidth="1"/>
    <col min="22" max="22" width="11.90625" style="163" customWidth="1"/>
    <col min="23" max="23" width="11.26953125" style="163" customWidth="1"/>
    <col min="24" max="24" width="11.906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1.6328125" style="92" customWidth="1"/>
    <col min="35" max="35" width="11.36328125" style="92" customWidth="1"/>
    <col min="36" max="36" width="11.26953125" style="92" customWidth="1"/>
    <col min="37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07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301"/>
      <c r="AB1" s="224"/>
      <c r="AC1" s="224"/>
      <c r="AD1" s="224"/>
      <c r="AE1" s="225"/>
      <c r="AF1" s="224"/>
      <c r="AG1" s="225"/>
      <c r="AH1" s="581"/>
      <c r="AI1" s="581"/>
      <c r="AJ1" s="283" t="s">
        <v>362</v>
      </c>
      <c r="AK1" s="309"/>
      <c r="AL1" s="308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ДЕКАБРЬ!N3+ЯНВАРЬ!N3+ФЕВРАЛЬ!N3+МАРТ!N3+АПРЕЛЬ!N3</f>
        <v>3060</v>
      </c>
      <c r="O3" s="89"/>
      <c r="P3" s="89"/>
      <c r="Q3" s="233"/>
      <c r="R3" s="92"/>
      <c r="S3" s="93">
        <f>ДЕКАБРЬ!S3+ЯНВАРЬ!S3+ФЕВРАЛЬ!S3+МАРТ!S3+АПРЕЛЬ!S3</f>
        <v>1780</v>
      </c>
      <c r="T3" s="93">
        <f>ДЕКАБРЬ!T3+ЯНВАРЬ!T3+ФЕВРАЛЬ!T3+МАРТ!T3+АПРЕЛЬ!T3</f>
        <v>-19</v>
      </c>
      <c r="U3" s="92">
        <f t="shared" ref="U3:U66" si="1">S3+T3</f>
        <v>1761</v>
      </c>
      <c r="V3" s="93">
        <f>ДЕКАБРЬ!V3+ЯНВАРЬ!V3+ФЕВРАЛЬ!V3+МАРТ!V3+АПРЕЛЬ!V3</f>
        <v>1736044.44</v>
      </c>
      <c r="W3" s="93">
        <f>ДЕКАБРЬ!W3+ЯНВАРЬ!W3+ФЕВРАЛЬ!W3+МАРТ!W3+АПРЕЛЬ!W3</f>
        <v>-17637</v>
      </c>
      <c r="X3" s="92">
        <f t="shared" ref="X3:X66" si="2">V3+W3</f>
        <v>1718407.44</v>
      </c>
      <c r="Y3" s="93">
        <f>ДЕКАБРЬ!Y3+ЯНВАРЬ!Y3+ФЕВРАЛЬ!Y3+МАРТ!Y3+АПРЕЛЬ!Y3</f>
        <v>2617459.54</v>
      </c>
      <c r="Z3" s="93">
        <f>ДЕКАБРЬ!Z3+ЯНВАРЬ!Z3+ФЕВРАЛЬ!Z3+МАРТ!Z3+АПРЕЛЬ!Z3</f>
        <v>-27304.34</v>
      </c>
      <c r="AA3" s="232">
        <f t="shared" ref="AA3:AA66" si="3">Y3+Z3</f>
        <v>2590155.2000000002</v>
      </c>
      <c r="AB3" s="92">
        <f>N3*O3*P3/100</f>
        <v>0</v>
      </c>
      <c r="AC3" s="234">
        <f t="shared" ref="AC3:AC34" si="4">AA3/$AA$127</f>
        <v>5.8664071832869459E-2</v>
      </c>
      <c r="AD3" s="92">
        <f t="shared" ref="AD3:AD66" si="5">U3*K3</f>
        <v>251787.77999999997</v>
      </c>
      <c r="AE3" s="93">
        <f>ДЕКАБРЬ!AE3+ЯНВАРЬ!AE3+ФЕВРАЛЬ!AE3+МАРТ!AE3+АПРЕЛЬ!AE3</f>
        <v>970343.55</v>
      </c>
      <c r="AF3" s="234">
        <f t="shared" ref="AF3:AF66" si="6">IF(AA3=0,0,AE3/AA3)</f>
        <v>0.37462757057955443</v>
      </c>
      <c r="AG3" s="93">
        <f>ДЕКАБРЬ!AG3+ЯНВАРЬ!AG3+ФЕВРАЛЬ!AG3+МАРТ!AG3+АПРЕЛЬ!AG3</f>
        <v>197706.62</v>
      </c>
      <c r="AH3" s="93">
        <f>ДЕКАБРЬ!AH3+ЯНВАРЬ!AH3+ФЕВРАЛЬ!AH3+МАРТ!AH3+АПРЕЛЬ!AH3</f>
        <v>103900</v>
      </c>
      <c r="AI3" s="93">
        <f>ДЕКАБРЬ!AI3+ЯНВАРЬ!AI3+ФЕВРАЛЬ!AI3+МАРТ!AI3+АПРЕЛЬ!AI3</f>
        <v>258057</v>
      </c>
      <c r="AJ3" s="93">
        <f>АПРЕЛЬ!AJ3</f>
        <v>31790</v>
      </c>
      <c r="AK3" s="93"/>
      <c r="AL3" s="93">
        <f>ДЕКАБРЬ!AL3+ЯНВАРЬ!AL3+ФЕВРАЛЬ!AL3+МАРТ!AL3+АПРЕЛЬ!AL3</f>
        <v>8276.0860546461245</v>
      </c>
      <c r="AM3" s="93">
        <f>ДЕКАБРЬ!AM3+ЯНВАРЬ!AM3+ФЕВРАЛЬ!AM3+МАРТ!AM3+АПРЕЛЬ!AM3</f>
        <v>30</v>
      </c>
      <c r="AN3" s="93">
        <f>ДЕКАБРЬ!AN3+ЯНВАРЬ!AN3+ФЕВРАЛЬ!AN3+МАРТ!AN3+АПРЕЛЬ!AN3</f>
        <v>96710.201360175226</v>
      </c>
      <c r="AO3" s="95">
        <f>AA3-AD3-AE3-AG3-AH3-AI3-AJ3-AK3-AL3-AN3-AM3</f>
        <v>671553.96258517902</v>
      </c>
      <c r="AP3" s="96"/>
      <c r="AQ3" s="97">
        <f t="shared" ref="AQ3:AQ97" si="7">IF(U3=0,0,AA3/U3)</f>
        <v>1470.8433844406588</v>
      </c>
      <c r="AR3" s="98">
        <f t="shared" ref="AR3:AR19" si="8">K3</f>
        <v>142.97999999999999</v>
      </c>
      <c r="AS3" s="98">
        <f t="shared" ref="AS3:AS97" si="9">IF(U3=0,0,AE3/U3)</f>
        <v>551.0184838160136</v>
      </c>
      <c r="AT3" s="98">
        <f t="shared" ref="AT3:AT97" si="10">IF(S3=0,AG3/1,AG3/S3)</f>
        <v>111.07113483146067</v>
      </c>
      <c r="AU3" s="98">
        <f>IF(S3=0,0,(AH3+AI3+AJ3)/S3)</f>
        <v>221.2061797752809</v>
      </c>
      <c r="AV3" s="98">
        <f>_xlfn.IFS(U3=0,AO3,U3&lt;0,AO3/-U3,U3&gt;0,AO3/U3)</f>
        <v>381.34807642542819</v>
      </c>
      <c r="AW3" s="234">
        <f t="shared" ref="AW3" si="11">IF(AQ3=0,0,AV3/AQ3)</f>
        <v>0.25927170795988558</v>
      </c>
      <c r="AX3" s="234">
        <f t="shared" ref="AX3" si="12">IF(AR3=0,0,AV3/AR3)</f>
        <v>2.6671427921767257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ДЕКАБРЬ!N4+ЯНВАРЬ!N4+ФЕВРАЛЬ!N4+МАРТ!N4+АПРЕЛЬ!N4</f>
        <v>11266</v>
      </c>
      <c r="O4" s="89"/>
      <c r="P4" s="89"/>
      <c r="Q4" s="233"/>
      <c r="R4" s="92"/>
      <c r="S4" s="93">
        <f>ДЕКАБРЬ!S4+ЯНВАРЬ!S4+ФЕВРАЛЬ!S4+МАРТ!S4+АПРЕЛЬ!S4</f>
        <v>6981</v>
      </c>
      <c r="T4" s="93">
        <f>ДЕКАБРЬ!T4+ЯНВАРЬ!T4+ФЕВРАЛЬ!T4+МАРТ!T4+АПРЕЛЬ!T4</f>
        <v>-111</v>
      </c>
      <c r="U4" s="92">
        <f t="shared" si="1"/>
        <v>6870</v>
      </c>
      <c r="V4" s="93">
        <f>ДЕКАБРЬ!V4+ЯНВАРЬ!V4+ФЕВРАЛЬ!V4+МАРТ!V4+АПРЕЛЬ!V4</f>
        <v>5753848.6800000016</v>
      </c>
      <c r="W4" s="93">
        <f>ДЕКАБРЬ!W4+ЯНВАРЬ!W4+ФЕВРАЛЬ!W4+МАРТ!W4+АПРЕЛЬ!W4</f>
        <v>-96407.63</v>
      </c>
      <c r="X4" s="92">
        <f t="shared" si="2"/>
        <v>5657441.0500000017</v>
      </c>
      <c r="Y4" s="93">
        <f>ДЕКАБРЬ!Y4+ЯНВАРЬ!Y4+ФЕВРАЛЬ!Y4+МАРТ!Y4+АПРЕЛЬ!Y4</f>
        <v>8601399.700000003</v>
      </c>
      <c r="Z4" s="93">
        <f>ДЕКАБРЬ!Z4+ЯНВАРЬ!Z4+ФЕВРАЛЬ!Z4+МАРТ!Z4+АПРЕЛЬ!Z4</f>
        <v>-145413.54</v>
      </c>
      <c r="AA4" s="232">
        <f t="shared" si="3"/>
        <v>8455986.1600000039</v>
      </c>
      <c r="AB4" s="92">
        <f t="shared" ref="AB4:AB67" si="14">N4*O4*P4/100</f>
        <v>0</v>
      </c>
      <c r="AC4" s="234">
        <f t="shared" si="4"/>
        <v>0.19151847715843057</v>
      </c>
      <c r="AD4" s="92">
        <f t="shared" si="5"/>
        <v>845628.3</v>
      </c>
      <c r="AE4" s="93">
        <f>ДЕКАБРЬ!AE4+ЯНВАРЬ!AE4+ФЕВРАЛЬ!AE4+МАРТ!AE4+АПРЕЛЬ!AE4</f>
        <v>3181682.4900000021</v>
      </c>
      <c r="AF4" s="234">
        <f t="shared" si="6"/>
        <v>0.37626391881417182</v>
      </c>
      <c r="AG4" s="93">
        <f>ДЕКАБРЬ!AG4+ЯНВАРЬ!AG4+ФЕВРАЛЬ!AG4+МАРТ!AG4+АПРЕЛЬ!AG4</f>
        <v>726511.39000000199</v>
      </c>
      <c r="AH4" s="93">
        <f>ДЕКАБРЬ!AH4+ЯНВАРЬ!AH4+ФЕВРАЛЬ!AH4+МАРТ!AH4+АПРЕЛЬ!AH4</f>
        <v>55500</v>
      </c>
      <c r="AI4" s="93">
        <f>ДЕКАБРЬ!AI4+ЯНВАРЬ!AI4+ФЕВРАЛЬ!AI4+МАРТ!AI4+АПРЕЛЬ!AI4</f>
        <v>266138</v>
      </c>
      <c r="AJ4" s="93">
        <f>АПРЕЛЬ!AJ4</f>
        <v>69395</v>
      </c>
      <c r="AK4" s="93"/>
      <c r="AL4" s="93">
        <f>ДЕКАБРЬ!AL4+ЯНВАРЬ!AL4+ФЕВРАЛЬ!AL4+МАРТ!AL4+АПРЕЛЬ!AL4</f>
        <v>7099.4419090230749</v>
      </c>
      <c r="AM4" s="93">
        <f>ДЕКАБРЬ!AM4+ЯНВАРЬ!AM4+ФЕВРАЛЬ!AM4+МАРТ!AM4+АПРЕЛЬ!AM4</f>
        <v>240</v>
      </c>
      <c r="AN4" s="93">
        <f>ДЕКАБРЬ!AN4+ЯНВАРЬ!AN4+ФЕВРАЛЬ!AN4+МАРТ!AN4+АПРЕЛЬ!AN4</f>
        <v>318400.27600072895</v>
      </c>
      <c r="AO4" s="95">
        <f t="shared" ref="AO4:AO67" si="15">AA4-AD4-AE4-AG4-AH4-AI4-AJ4-AK4-AL4-AN4-AM4</f>
        <v>2985391.2620902481</v>
      </c>
      <c r="AP4" s="96"/>
      <c r="AQ4" s="97">
        <f t="shared" si="7"/>
        <v>1230.8567918486178</v>
      </c>
      <c r="AR4" s="98">
        <f t="shared" si="8"/>
        <v>123.09</v>
      </c>
      <c r="AS4" s="98">
        <f t="shared" si="9"/>
        <v>463.12700000000029</v>
      </c>
      <c r="AT4" s="98">
        <f t="shared" si="10"/>
        <v>104.06981664518005</v>
      </c>
      <c r="AU4" s="98">
        <f t="shared" ref="AU4:AU70" si="16">IF(S4=0,0,(AH4+AI4+AJ4)/S4)</f>
        <v>56.013894857470277</v>
      </c>
      <c r="AV4" s="98">
        <f t="array" ref="AV4">_xlfn.IFS(U4=0,AO4,U4&lt;0,AO4/-U4,U4&gt;0,AO4/U4)</f>
        <v>434.55476886320935</v>
      </c>
      <c r="AW4" s="234">
        <f>IF(AQ4=0,0,AV4/AQ4)</f>
        <v>0.35305063248710977</v>
      </c>
      <c r="AX4" s="234">
        <f>IF(AR4=0,0,AV4/AR4)</f>
        <v>3.5303823938842256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ДЕКАБРЬ!N5+ЯНВАРЬ!N5+ФЕВРАЛЬ!N5+МАРТ!N5+АПРЕЛЬ!N5</f>
        <v>3180</v>
      </c>
      <c r="O5" s="89"/>
      <c r="P5" s="89"/>
      <c r="Q5" s="233"/>
      <c r="R5" s="92"/>
      <c r="S5" s="93">
        <f>ДЕКАБРЬ!S5+ЯНВАРЬ!S5+ФЕВРАЛЬ!S5+МАРТ!S5+АПРЕЛЬ!S5</f>
        <v>2084</v>
      </c>
      <c r="T5" s="93">
        <f>ДЕКАБРЬ!T5+ЯНВАРЬ!T5+ФЕВРАЛЬ!T5+МАРТ!T5+АПРЕЛЬ!T5</f>
        <v>-28</v>
      </c>
      <c r="U5" s="92">
        <f t="shared" si="1"/>
        <v>2056</v>
      </c>
      <c r="V5" s="93">
        <f>ДЕКАБРЬ!V5+ЯНВАРЬ!V5+ФЕВРАЛЬ!V5+МАРТ!V5+АПРЕЛЬ!V5</f>
        <v>1776887.4500000004</v>
      </c>
      <c r="W5" s="93">
        <f>ДЕКАБРЬ!W5+ЯНВАРЬ!W5+ФЕВРАЛЬ!W5+МАРТ!W5+АПРЕЛЬ!W5</f>
        <v>-22890</v>
      </c>
      <c r="X5" s="92">
        <f t="shared" si="2"/>
        <v>1753997.4500000004</v>
      </c>
      <c r="Y5" s="93">
        <f>ДЕКАБРЬ!Y5+ЯНВАРЬ!Y5+ФЕВРАЛЬ!Y5+МАРТ!Y5+АПРЕЛЬ!Y5</f>
        <v>2687749.52</v>
      </c>
      <c r="Z5" s="93">
        <f>ДЕКАБРЬ!Z5+ЯНВАРЬ!Z5+ФЕВРАЛЬ!Z5+МАРТ!Z5+АПРЕЛЬ!Z5</f>
        <v>-34846.32</v>
      </c>
      <c r="AA5" s="232">
        <f t="shared" si="3"/>
        <v>2652903.2000000002</v>
      </c>
      <c r="AB5" s="92">
        <f t="shared" si="14"/>
        <v>0</v>
      </c>
      <c r="AC5" s="234">
        <f t="shared" si="4"/>
        <v>6.008524272616917E-2</v>
      </c>
      <c r="AD5" s="92">
        <f t="shared" si="5"/>
        <v>253073.04</v>
      </c>
      <c r="AE5" s="93">
        <f>ДЕКАБРЬ!AE5+ЯНВАРЬ!AE5+ФЕВРАЛЬ!AE5+МАРТ!AE5+АПРЕЛЬ!AE5</f>
        <v>996808.1399999999</v>
      </c>
      <c r="AF5" s="234">
        <f t="shared" si="6"/>
        <v>0.37574237160255219</v>
      </c>
      <c r="AG5" s="93">
        <f>ДЕКАБРЬ!AG5+ЯНВАРЬ!AG5+ФЕВРАЛЬ!AG5+МАРТ!AG5+АПРЕЛЬ!AG5</f>
        <v>193726.0799999999</v>
      </c>
      <c r="AH5" s="93">
        <f>ДЕКАБРЬ!AH5+ЯНВАРЬ!AH5+ФЕВРАЛЬ!AH5+МАРТ!AH5+АПРЕЛЬ!AH5</f>
        <v>58500</v>
      </c>
      <c r="AI5" s="93">
        <f>ДЕКАБРЬ!AI5+ЯНВАРЬ!AI5+ФЕВРАЛЬ!AI5+МАРТ!AI5+АПРЕЛЬ!AI5</f>
        <v>191371</v>
      </c>
      <c r="AJ5" s="93">
        <f>АПРЕЛЬ!AJ5</f>
        <v>26969</v>
      </c>
      <c r="AK5" s="93"/>
      <c r="AL5" s="93">
        <f>ДЕКАБРЬ!AL5+ЯНВАРЬ!AL5+ФЕВРАЛЬ!AL5+МАРТ!AL5+АПРЕЛЬ!AL5</f>
        <v>6526.210615971484</v>
      </c>
      <c r="AM5" s="93">
        <f>ДЕКАБРЬ!AM5+ЯНВАРЬ!AM5+ФЕВРАЛЬ!AM5+МАРТ!AM5+АПРЕЛЬ!AM5</f>
        <v>1570</v>
      </c>
      <c r="AN5" s="93">
        <f>ДЕКАБРЬ!AN5+ЯНВАРЬ!AN5+ФЕВРАЛЬ!AN5+МАРТ!AN5+АПРЕЛЬ!AN5</f>
        <v>98810.322117390693</v>
      </c>
      <c r="AO5" s="95">
        <f t="shared" si="15"/>
        <v>825549.40726663824</v>
      </c>
      <c r="AP5" s="96"/>
      <c r="AQ5" s="97">
        <f t="shared" si="7"/>
        <v>1290.3225680933854</v>
      </c>
      <c r="AR5" s="98">
        <f t="shared" si="8"/>
        <v>123.09</v>
      </c>
      <c r="AS5" s="98">
        <f t="shared" si="9"/>
        <v>484.82886186770423</v>
      </c>
      <c r="AT5" s="98">
        <f t="shared" si="10"/>
        <v>92.958771593090162</v>
      </c>
      <c r="AU5" s="98">
        <f t="shared" si="16"/>
        <v>132.84069097888676</v>
      </c>
      <c r="AV5" s="98">
        <f t="array" ref="AV5">_xlfn.IFS(U5=0,AO5,U5&lt;0,AO5/-U5,U5&gt;0,AO5/U5)</f>
        <v>401.5318128728785</v>
      </c>
      <c r="AW5" s="234">
        <f>IF(AQ5=0,0,AV5/AQ5)</f>
        <v>0.31118715800359326</v>
      </c>
      <c r="AX5" s="234">
        <f>IF(AR5=0,0,AV5/AR5)</f>
        <v>3.2620993815328498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ДЕКАБРЬ!N6+ЯНВАРЬ!N6+ФЕВРАЛЬ!N6+МАРТ!N6+АПРЕЛЬ!N6</f>
        <v>2073</v>
      </c>
      <c r="O6" s="89"/>
      <c r="P6" s="89"/>
      <c r="Q6" s="233"/>
      <c r="R6" s="92"/>
      <c r="S6" s="93">
        <f>ДЕКАБРЬ!S6+ЯНВАРЬ!S6+ФЕВРАЛЬ!S6+МАРТ!S6+АПРЕЛЬ!S6</f>
        <v>1381</v>
      </c>
      <c r="T6" s="93">
        <f>ДЕКАБРЬ!T6+ЯНВАРЬ!T6+ФЕВРАЛЬ!T6+МАРТ!T6+АПРЕЛЬ!T6</f>
        <v>-33</v>
      </c>
      <c r="U6" s="92">
        <f t="shared" si="1"/>
        <v>1348</v>
      </c>
      <c r="V6" s="93">
        <f>ДЕКАБРЬ!V6+ЯНВАРЬ!V6+ФЕВРАЛЬ!V6+МАРТ!V6+АПРЕЛЬ!V6</f>
        <v>1081133.43</v>
      </c>
      <c r="W6" s="93">
        <f>ДЕКАБРЬ!W6+ЯНВАРЬ!W6+ФЕВРАЛЬ!W6+МАРТ!W6+АПРЕЛЬ!W6</f>
        <v>-24790</v>
      </c>
      <c r="X6" s="92">
        <f t="shared" si="2"/>
        <v>1056343.43</v>
      </c>
      <c r="Y6" s="93">
        <f>ДЕКАБРЬ!Y6+ЯНВАРЬ!Y6+ФЕВРАЛЬ!Y6+МАРТ!Y6+АПРЕЛЬ!Y6</f>
        <v>1611789.1099999999</v>
      </c>
      <c r="Z6" s="93">
        <f>ДЕКАБРЬ!Z6+ЯНВАРЬ!Z6+ФЕВРАЛЬ!Z6+МАРТ!Z6+АПРЕЛЬ!Z6</f>
        <v>-37513.97</v>
      </c>
      <c r="AA6" s="232">
        <f t="shared" si="3"/>
        <v>1574275.14</v>
      </c>
      <c r="AB6" s="92">
        <f t="shared" si="14"/>
        <v>0</v>
      </c>
      <c r="AC6" s="234">
        <f t="shared" si="4"/>
        <v>3.5655542917914965E-2</v>
      </c>
      <c r="AD6" s="92">
        <f t="shared" si="5"/>
        <v>165925.32</v>
      </c>
      <c r="AE6" s="93">
        <f>ДЕКАБРЬ!AE6+ЯНВАРЬ!AE6+ФЕВРАЛЬ!AE6+МАРТ!AE6+АПРЕЛЬ!AE6</f>
        <v>590725.96</v>
      </c>
      <c r="AF6" s="234">
        <f t="shared" si="6"/>
        <v>0.37523679628200191</v>
      </c>
      <c r="AG6" s="93">
        <f>ДЕКАБРЬ!AG6+ЯНВАРЬ!AG6+ФЕВРАЛЬ!AG6+МАРТ!AG6+АПРЕЛЬ!AG6</f>
        <v>138445.59999999992</v>
      </c>
      <c r="AH6" s="93">
        <f>ДЕКАБРЬ!AH6+ЯНВАРЬ!AH6+ФЕВРАЛЬ!AH6+МАРТ!AH6+АПРЕЛЬ!AH6</f>
        <v>42900</v>
      </c>
      <c r="AI6" s="93">
        <f>ДЕКАБРЬ!AI6+ЯНВАРЬ!AI6+ФЕВРАЛЬ!AI6+МАРТ!AI6+АПРЕЛЬ!AI6</f>
        <v>105050</v>
      </c>
      <c r="AJ6" s="93">
        <f>АПРЕЛЬ!AJ6</f>
        <v>3990</v>
      </c>
      <c r="AK6" s="93"/>
      <c r="AL6" s="93">
        <f>ДЕКАБРЬ!AL6+ЯНВАРЬ!AL6+ФЕВРАЛЬ!AL6+МАРТ!AL6+АПРЕЛЬ!AL6</f>
        <v>5273.0258666146556</v>
      </c>
      <c r="AM6" s="93">
        <f>ДЕКАБРЬ!AM6+ЯНВАРЬ!AM6+ФЕВРАЛЬ!AM6+МАРТ!AM6+АПРЕЛЬ!AM6</f>
        <v>1450.98</v>
      </c>
      <c r="AN6" s="93">
        <f>ДЕКАБРЬ!AN6+ЯНВАРЬ!AN6+ФЕВРАЛЬ!AN6+МАРТ!AN6+АПРЕЛЬ!AN6</f>
        <v>59429.500591040029</v>
      </c>
      <c r="AO6" s="95">
        <f t="shared" si="15"/>
        <v>461084.75354234537</v>
      </c>
      <c r="AP6" s="96"/>
      <c r="AQ6" s="97">
        <f t="shared" si="7"/>
        <v>1167.8598961424332</v>
      </c>
      <c r="AR6" s="98">
        <f t="shared" si="8"/>
        <v>123.09</v>
      </c>
      <c r="AS6" s="98">
        <f t="shared" si="9"/>
        <v>438.22400593471809</v>
      </c>
      <c r="AT6" s="98">
        <f t="shared" si="10"/>
        <v>100.25025343953651</v>
      </c>
      <c r="AU6" s="98">
        <f t="shared" si="16"/>
        <v>110.02172338884866</v>
      </c>
      <c r="AV6" s="98">
        <f t="array" ref="AV6">_xlfn.IFS(U6=0,AO6,U6&lt;0,AO6/-U6,U6&gt;0,AO6/U6)</f>
        <v>342.05100411153217</v>
      </c>
      <c r="AW6" s="234">
        <f t="shared" ref="AW6" si="19">IF(AQ6=0,0,AV6/AQ6)</f>
        <v>0.29288701944587997</v>
      </c>
      <c r="AX6" s="234">
        <f t="shared" ref="AX6" si="20">IF(AR6=0,0,AV6/AR6)</f>
        <v>2.7788691535586332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ДЕКАБРЬ!N7+ЯНВАРЬ!N7+ФЕВРАЛЬ!N7+МАРТ!N7+АПРЕЛЬ!N7</f>
        <v>3936</v>
      </c>
      <c r="O7" s="89"/>
      <c r="P7" s="89"/>
      <c r="Q7" s="233"/>
      <c r="R7" s="92"/>
      <c r="S7" s="93">
        <f>ДЕКАБРЬ!S7+ЯНВАРЬ!S7+ФЕВРАЛЬ!S7+МАРТ!S7+АПРЕЛЬ!S7</f>
        <v>2338</v>
      </c>
      <c r="T7" s="93">
        <f>ДЕКАБРЬ!T7+ЯНВАРЬ!T7+ФЕВРАЛЬ!T7+МАРТ!T7+АПРЕЛЬ!T7</f>
        <v>-59</v>
      </c>
      <c r="U7" s="92">
        <f t="shared" si="1"/>
        <v>2279</v>
      </c>
      <c r="V7" s="93">
        <f>ДЕКАБРЬ!V7+ЯНВАРЬ!V7+ФЕВРАЛЬ!V7+МАРТ!V7+АПРЕЛЬ!V7</f>
        <v>2032923.17</v>
      </c>
      <c r="W7" s="93">
        <f>ДЕКАБРЬ!W7+ЯНВАРЬ!W7+ФЕВРАЛЬ!W7+МАРТ!W7+АПРЕЛЬ!W7</f>
        <v>-50579.94</v>
      </c>
      <c r="X7" s="92">
        <f t="shared" si="2"/>
        <v>1982343.23</v>
      </c>
      <c r="Y7" s="93">
        <f>ДЕКАБРЬ!Y7+ЯНВАРЬ!Y7+ФЕВРАЛЬ!Y7+МАРТ!Y7+АПРЕЛЬ!Y7</f>
        <v>3094124.4699999997</v>
      </c>
      <c r="Z7" s="93">
        <f>ДЕКАБРЬ!Z7+ЯНВАРЬ!Z7+ФЕВРАЛЬ!Z7+МАРТ!Z7+АПРЕЛЬ!Z7</f>
        <v>-76281.929999999993</v>
      </c>
      <c r="AA7" s="232">
        <f t="shared" si="3"/>
        <v>3017842.5399999996</v>
      </c>
      <c r="AB7" s="92">
        <f t="shared" si="14"/>
        <v>0</v>
      </c>
      <c r="AC7" s="234">
        <f t="shared" si="4"/>
        <v>6.8350704060841289E-2</v>
      </c>
      <c r="AD7" s="92">
        <f t="shared" si="5"/>
        <v>267189.95999999996</v>
      </c>
      <c r="AE7" s="93">
        <f>ДЕКАБРЬ!AE7+ЯНВАРЬ!AE7+ФЕВРАЛЬ!AE7+МАРТ!AE7+АПРЕЛЬ!AE7</f>
        <v>1133637.1699999995</v>
      </c>
      <c r="AF7" s="234">
        <f t="shared" si="6"/>
        <v>0.37564490359394287</v>
      </c>
      <c r="AG7" s="93">
        <f>ДЕКАБРЬ!AG7+ЯНВАРЬ!AG7+ФЕВРАЛЬ!AG7+МАРТ!AG7+АПРЕЛЬ!AG7</f>
        <v>253768.05999999971</v>
      </c>
      <c r="AH7" s="93">
        <f>ДЕКАБРЬ!AH7+ЯНВАРЬ!AH7+ФЕВРАЛЬ!AH7+МАРТ!AH7+АПРЕЛЬ!AH7</f>
        <v>80000</v>
      </c>
      <c r="AI7" s="93">
        <f>ДЕКАБРЬ!AI7+ЯНВАРЬ!AI7+ФЕВРАЛЬ!AI7+МАРТ!AI7+АПРЕЛЬ!AI7</f>
        <v>261229</v>
      </c>
      <c r="AJ7" s="93">
        <f>АПРЕЛЬ!AJ7</f>
        <v>16213</v>
      </c>
      <c r="AK7" s="93"/>
      <c r="AL7" s="93">
        <f>ДЕКАБРЬ!AL7+ЯНВАРЬ!AL7+ФЕВРАЛЬ!AL7+МАРТ!AL7+АПРЕЛЬ!AL7</f>
        <v>7456.9190346657033</v>
      </c>
      <c r="AM7" s="93">
        <f>ДЕКАБРЬ!AM7+ЯНВАРЬ!AM7+ФЕВРАЛЬ!AM7+МАРТ!AM7+АПРЕЛЬ!AM7</f>
        <v>20</v>
      </c>
      <c r="AN7" s="93">
        <f>ДЕКАБРЬ!AN7+ЯНВАРЬ!AN7+ФЕВРАЛЬ!AN7+МАРТ!AN7+АПРЕЛЬ!AN7</f>
        <v>111857.77634894417</v>
      </c>
      <c r="AO7" s="95">
        <f t="shared" si="15"/>
        <v>886470.6546163907</v>
      </c>
      <c r="AP7" s="96"/>
      <c r="AQ7" s="97">
        <f t="shared" si="7"/>
        <v>1324.1959368143921</v>
      </c>
      <c r="AR7" s="98">
        <f t="shared" si="8"/>
        <v>117.24</v>
      </c>
      <c r="AS7" s="98">
        <f t="shared" si="9"/>
        <v>497.42745502413317</v>
      </c>
      <c r="AT7" s="98">
        <f t="shared" si="10"/>
        <v>108.5406586826346</v>
      </c>
      <c r="AU7" s="98">
        <f t="shared" si="16"/>
        <v>152.88366124893071</v>
      </c>
      <c r="AV7" s="98">
        <f t="array" ref="AV7">_xlfn.IFS(U7=0,AO7,U7&lt;0,AO7/-U7,U7&gt;0,AO7/U7)</f>
        <v>388.9735211129402</v>
      </c>
      <c r="AW7" s="234">
        <f>IF(AQ7=0,0,AV7/AQ7)</f>
        <v>0.2937431767451959</v>
      </c>
      <c r="AX7" s="234">
        <f>IF(AR7=0,0,AV7/AR7)</f>
        <v>3.317754359544014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ДЕКАБРЬ!N8+ЯНВАРЬ!N8+ФЕВРАЛЬ!N8+МАРТ!N8+АПРЕЛЬ!N8</f>
        <v>1335</v>
      </c>
      <c r="O8" s="89"/>
      <c r="P8" s="89"/>
      <c r="Q8" s="233"/>
      <c r="R8" s="92"/>
      <c r="S8" s="93">
        <f>ДЕКАБРЬ!S8+ЯНВАРЬ!S8+ФЕВРАЛЬ!S8+МАРТ!S8+АПРЕЛЬ!S8</f>
        <v>681</v>
      </c>
      <c r="T8" s="93">
        <f>ДЕКАБРЬ!T8+ЯНВАРЬ!T8+ФЕВРАЛЬ!T8+МАРТ!T8+АПРЕЛЬ!T8</f>
        <v>-17</v>
      </c>
      <c r="U8" s="92">
        <f t="shared" si="1"/>
        <v>664</v>
      </c>
      <c r="V8" s="93">
        <f>ДЕКАБРЬ!V8+ЯНВАРЬ!V8+ФЕВРАЛЬ!V8+МАРТ!V8+АПРЕЛЬ!V8</f>
        <v>622168.92999999993</v>
      </c>
      <c r="W8" s="93">
        <f>ДЕКАБРЬ!W8+ЯНВАРЬ!W8+ФЕВРАЛЬ!W8+МАРТ!W8+АПРЕЛЬ!W8</f>
        <v>-17045.2</v>
      </c>
      <c r="X8" s="92">
        <f t="shared" si="2"/>
        <v>605123.73</v>
      </c>
      <c r="Y8" s="93">
        <f>ДЕКАБРЬ!Y8+ЯНВАРЬ!Y8+ФЕВРАЛЬ!Y8+МАРТ!Y8+АПРЕЛЬ!Y8</f>
        <v>936662.97</v>
      </c>
      <c r="Z8" s="93">
        <f>ДЕКАБРЬ!Z8+ЯНВАРЬ!Z8+ФЕВРАЛЬ!Z8+МАРТ!Z8+АПРЕЛЬ!Z8</f>
        <v>-24215</v>
      </c>
      <c r="AA8" s="232">
        <f t="shared" si="3"/>
        <v>912447.97</v>
      </c>
      <c r="AB8" s="92">
        <f t="shared" si="14"/>
        <v>0</v>
      </c>
      <c r="AC8" s="234">
        <f t="shared" si="4"/>
        <v>2.0665909616472369E-2</v>
      </c>
      <c r="AD8" s="92">
        <f t="shared" si="5"/>
        <v>112806.95999999999</v>
      </c>
      <c r="AE8" s="93">
        <f>ДЕКАБРЬ!AE8+ЯНВАРЬ!AE8+ФЕВРАЛЬ!AE8+МАРТ!AE8+АПРЕЛЬ!AE8</f>
        <v>341146.88</v>
      </c>
      <c r="AF8" s="234">
        <f t="shared" si="6"/>
        <v>0.37388091290290232</v>
      </c>
      <c r="AG8" s="93">
        <f>ДЕКАБРЬ!AG8+ЯНВАРЬ!AG8+ФЕВРАЛЬ!AG8+МАРТ!AG8+АПРЕЛЬ!AG8</f>
        <v>95712.089999999967</v>
      </c>
      <c r="AH8" s="93">
        <f>ДЕКАБРЬ!AH8+ЯНВАРЬ!AH8+ФЕВРАЛЬ!AH8+МАРТ!AH8+АПРЕЛЬ!AH8</f>
        <v>45712</v>
      </c>
      <c r="AI8" s="93">
        <f>ДЕКАБРЬ!AI8+ЯНВАРЬ!AI8+ФЕВРАЛЬ!AI8+МАРТ!AI8+АПРЕЛЬ!AI8</f>
        <v>100909</v>
      </c>
      <c r="AJ8" s="93">
        <f>АПРЕЛЬ!AJ8</f>
        <v>2833</v>
      </c>
      <c r="AK8" s="93"/>
      <c r="AL8" s="93">
        <f>ДЕКАБРЬ!AL8+ЯНВАРЬ!AL8+ФЕВРАЛЬ!AL8+МАРТ!AL8+АПРЕЛЬ!AL8</f>
        <v>3061.736774486697</v>
      </c>
      <c r="AM8" s="93">
        <f>ДЕКАБРЬ!AM8+ЯНВАРЬ!AM8+ФЕВРАЛЬ!AM8+МАРТ!AM8+АПРЕЛЬ!AM8</f>
        <v>90</v>
      </c>
      <c r="AN8" s="93">
        <f>ДЕКАБРЬ!AN8+ЯНВАРЬ!AN8+ФЕВРАЛЬ!AN8+МАРТ!AN8+АПРЕЛЬ!AN8</f>
        <v>34448.077051575958</v>
      </c>
      <c r="AO8" s="95">
        <f t="shared" si="15"/>
        <v>175728.22617393738</v>
      </c>
      <c r="AP8" s="96"/>
      <c r="AQ8" s="97">
        <f t="shared" si="7"/>
        <v>1374.1686295180723</v>
      </c>
      <c r="AR8" s="98">
        <f t="shared" si="8"/>
        <v>169.89</v>
      </c>
      <c r="AS8" s="98">
        <f t="shared" si="9"/>
        <v>513.77542168674699</v>
      </c>
      <c r="AT8" s="98">
        <f t="shared" si="10"/>
        <v>140.54638766519818</v>
      </c>
      <c r="AU8" s="98">
        <f t="shared" si="16"/>
        <v>219.46255506607929</v>
      </c>
      <c r="AV8" s="98">
        <f t="array" ref="AV8">_xlfn.IFS(U8=0,AO8,U8&lt;0,AO8/-U8,U8&gt;0,AO8/U8)</f>
        <v>264.65094303303823</v>
      </c>
      <c r="AW8" s="234">
        <f>IF(AQ8=0,0,AV8/AQ8)</f>
        <v>0.19258985931432057</v>
      </c>
      <c r="AX8" s="234">
        <f>IF(AR8=0,0,AV8/AR8)</f>
        <v>1.5577782272825844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ДЕКАБРЬ!N9+ЯНВАРЬ!N9+ФЕВРАЛЬ!N9+МАРТ!N9+АПРЕЛЬ!N9</f>
        <v>5319</v>
      </c>
      <c r="O9" s="89"/>
      <c r="P9" s="89"/>
      <c r="Q9" s="233"/>
      <c r="R9" s="92"/>
      <c r="S9" s="93">
        <f>ДЕКАБРЬ!S9+ЯНВАРЬ!S9+ФЕВРАЛЬ!S9+МАРТ!S9+АПРЕЛЬ!S9</f>
        <v>2520</v>
      </c>
      <c r="T9" s="93">
        <f>ДЕКАБРЬ!T9+ЯНВАРЬ!T9+ФЕВРАЛЬ!T9+МАРТ!T9+АПРЕЛЬ!T9</f>
        <v>-61</v>
      </c>
      <c r="U9" s="92">
        <f t="shared" si="1"/>
        <v>2459</v>
      </c>
      <c r="V9" s="93">
        <f>ДЕКАБРЬ!V9+ЯНВАРЬ!V9+ФЕВРАЛЬ!V9+МАРТ!V9+АПРЕЛЬ!V9</f>
        <v>2544632.2200000002</v>
      </c>
      <c r="W9" s="93">
        <f>ДЕКАБРЬ!W9+ЯНВАРЬ!W9+ФЕВРАЛЬ!W9+МАРТ!W9+АПРЕЛЬ!W9</f>
        <v>-62059.46</v>
      </c>
      <c r="X9" s="92">
        <f t="shared" si="2"/>
        <v>2482572.7600000002</v>
      </c>
      <c r="Y9" s="93">
        <f>ДЕКАБРЬ!Y9+ЯНВАРЬ!Y9+ФЕВРАЛЬ!Y9+МАРТ!Y9+АПРЕЛЬ!Y9</f>
        <v>3834856.23</v>
      </c>
      <c r="Z9" s="93">
        <f>ДЕКАБРЬ!Z9+ЯНВАРЬ!Z9+ФЕВРАЛЬ!Z9+МАРТ!Z9+АПРЕЛЬ!Z9</f>
        <v>-93324.63</v>
      </c>
      <c r="AA9" s="232">
        <f t="shared" si="3"/>
        <v>3741531.6</v>
      </c>
      <c r="AB9" s="92">
        <f t="shared" si="14"/>
        <v>0</v>
      </c>
      <c r="AC9" s="234">
        <f t="shared" si="4"/>
        <v>8.4741438871057215E-2</v>
      </c>
      <c r="AD9" s="92">
        <f t="shared" si="5"/>
        <v>302678.31</v>
      </c>
      <c r="AE9" s="93">
        <f>ДЕКАБРЬ!AE9+ЯНВАРЬ!AE9+ФЕВРАЛЬ!AE9+МАРТ!AE9+АПРЕЛЬ!AE9</f>
        <v>1406163.6199999996</v>
      </c>
      <c r="AF9" s="234">
        <f t="shared" si="6"/>
        <v>0.37582566989411492</v>
      </c>
      <c r="AG9" s="93">
        <f>ДЕКАБРЬ!AG9+ЯНВАРЬ!AG9+ФЕВРАЛЬ!AG9+МАРТ!AG9+АПРЕЛЬ!AG9</f>
        <v>370389.10999999987</v>
      </c>
      <c r="AH9" s="93">
        <f>ДЕКАБРЬ!AH9+ЯНВАРЬ!AH9+ФЕВРАЛЬ!AH9+МАРТ!AH9+АПРЕЛЬ!AH9</f>
        <v>124086</v>
      </c>
      <c r="AI9" s="93">
        <f>ДЕКАБРЬ!AI9+ЯНВАРЬ!AI9+ФЕВРАЛЬ!AI9+МАРТ!AI9+АПРЕЛЬ!AI9</f>
        <v>373434</v>
      </c>
      <c r="AJ9" s="93">
        <f>АПРЕЛЬ!AJ9</f>
        <v>51788</v>
      </c>
      <c r="AK9" s="93"/>
      <c r="AL9" s="93">
        <f>ДЕКАБРЬ!AL9+ЯНВАРЬ!AL9+ФЕВРАЛЬ!AL9+МАРТ!AL9+АПРЕЛЬ!AL9</f>
        <v>5835.9407683894278</v>
      </c>
      <c r="AM9" s="93">
        <f>ДЕКАБРЬ!AM9+ЯНВАРЬ!AM9+ФЕВРАЛЬ!AM9+МАРТ!AM9+АПРЕЛЬ!AM9</f>
        <v>1892</v>
      </c>
      <c r="AN9" s="93">
        <f>ДЕКАБРЬ!AN9+ЯНВАРЬ!AN9+ФЕВРАЛЬ!AN9+МАРТ!AN9+АПРЕЛЬ!AN9</f>
        <v>139945.76068420295</v>
      </c>
      <c r="AO9" s="95">
        <f t="shared" si="15"/>
        <v>965318.85854740813</v>
      </c>
      <c r="AP9" s="96"/>
      <c r="AQ9" s="97">
        <f t="shared" si="7"/>
        <v>1521.5663277755186</v>
      </c>
      <c r="AR9" s="98">
        <f t="shared" si="8"/>
        <v>123.09</v>
      </c>
      <c r="AS9" s="98">
        <f t="shared" si="9"/>
        <v>571.84368442456264</v>
      </c>
      <c r="AT9" s="98">
        <f t="shared" si="10"/>
        <v>146.97980555555552</v>
      </c>
      <c r="AU9" s="98">
        <f t="shared" si="16"/>
        <v>217.97936507936507</v>
      </c>
      <c r="AV9" s="98">
        <f t="array" ref="AV9">_xlfn.IFS(U9=0,AO9,U9&lt;0,AO9/-U9,U9&gt;0,AO9/U9)</f>
        <v>392.56561958007649</v>
      </c>
      <c r="AW9" s="234">
        <f>IF(AQ9=0,0,AV9/AQ9)</f>
        <v>0.25800099043595087</v>
      </c>
      <c r="AX9" s="234">
        <f>IF(AR9=0,0,AV9/AR9)</f>
        <v>3.1892568005530628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ДЕКАБРЬ!N10+ЯНВАРЬ!N10+ФЕВРАЛЬ!N10+МАРТ!N10+АПРЕЛЬ!N10</f>
        <v>3712</v>
      </c>
      <c r="O10" s="89"/>
      <c r="P10" s="89"/>
      <c r="Q10" s="233"/>
      <c r="R10" s="92"/>
      <c r="S10" s="93">
        <f>ДЕКАБРЬ!S10+ЯНВАРЬ!S10+ФЕВРАЛЬ!S10+МАРТ!S10+АПРЕЛЬ!S10</f>
        <v>2154</v>
      </c>
      <c r="T10" s="93">
        <f>ДЕКАБРЬ!T10+ЯНВАРЬ!T10+ФЕВРАЛЬ!T10+МАРТ!T10+АПРЕЛЬ!T10</f>
        <v>-35</v>
      </c>
      <c r="U10" s="92">
        <f t="shared" si="1"/>
        <v>2119</v>
      </c>
      <c r="V10" s="93">
        <f>ДЕКАБРЬ!V10+ЯНВАРЬ!V10+ФЕВРАЛЬ!V10+МАРТ!V10+АПРЕЛЬ!V10</f>
        <v>1735454.0899999999</v>
      </c>
      <c r="W10" s="93">
        <f>ДЕКАБРЬ!W10+ЯНВАРЬ!W10+ФЕВРАЛЬ!W10+МАРТ!W10+АПРЕЛЬ!W10</f>
        <v>-28968</v>
      </c>
      <c r="X10" s="92">
        <f t="shared" si="2"/>
        <v>1706486.0899999999</v>
      </c>
      <c r="Y10" s="93">
        <f>ДЕКАБРЬ!Y10+ЯНВАРЬ!Y10+ФЕВРАЛЬ!Y10+МАРТ!Y10+АПРЕЛЬ!Y10</f>
        <v>2635017.46</v>
      </c>
      <c r="Z10" s="93">
        <f>ДЕКАБРЬ!Z10+ЯНВАРЬ!Z10+ФЕВРАЛЬ!Z10+МАРТ!Z10+АПРЕЛЬ!Z10</f>
        <v>-44528.880000000005</v>
      </c>
      <c r="AA10" s="232">
        <f t="shared" si="3"/>
        <v>2590488.58</v>
      </c>
      <c r="AB10" s="92">
        <f t="shared" si="14"/>
        <v>0</v>
      </c>
      <c r="AC10" s="234">
        <f t="shared" si="4"/>
        <v>5.8671622511017096E-2</v>
      </c>
      <c r="AD10" s="92">
        <f t="shared" si="5"/>
        <v>260827.71000000002</v>
      </c>
      <c r="AE10" s="93">
        <f>ДЕКАБРЬ!AE10+ЯНВАРЬ!AE10+ФЕВРАЛЬ!AE10+МАРТ!AE10+АПРЕЛЬ!AE10</f>
        <v>975749.94999999925</v>
      </c>
      <c r="AF10" s="234">
        <f t="shared" si="6"/>
        <v>0.37666637773790118</v>
      </c>
      <c r="AG10" s="93">
        <f>ДЕКАБРЬ!AG10+ЯНВАРЬ!AG10+ФЕВРАЛЬ!AG10+МАРТ!AG10+АПРЕЛЬ!AG10</f>
        <v>241659.59999999971</v>
      </c>
      <c r="AH10" s="93">
        <f>ДЕКАБРЬ!AH10+ЯНВАРЬ!AH10+ФЕВРАЛЬ!AH10+МАРТ!AH10+АПРЕЛЬ!AH10</f>
        <v>88500</v>
      </c>
      <c r="AI10" s="93">
        <f>ДЕКАБРЬ!AI10+ЯНВАРЬ!AI10+ФЕВРАЛЬ!AI10+МАРТ!AI10+АПРЕЛЬ!AI10</f>
        <v>288660</v>
      </c>
      <c r="AJ10" s="93">
        <f>АПРЕЛЬ!AJ10</f>
        <v>27241</v>
      </c>
      <c r="AK10" s="93"/>
      <c r="AL10" s="93">
        <f>ДЕКАБРЬ!AL10+ЯНВАРЬ!AL10+ФЕВРАЛЬ!AL10+МАРТ!AL10+АПРЕЛЬ!AL10</f>
        <v>6880.4195303856559</v>
      </c>
      <c r="AM10" s="93">
        <f>ДЕКАБРЬ!AM10+ЯНВАРЬ!AM10+ФЕВРАЛЬ!AM10+МАРТ!AM10+АПРЕЛЬ!AM10</f>
        <v>220</v>
      </c>
      <c r="AN10" s="93">
        <f>ДЕКАБРЬ!AN10+ЯНВАРЬ!AN10+ФЕВРАЛЬ!AN10+МАРТ!AN10+АПРЕЛЬ!AN10</f>
        <v>96215.661232050174</v>
      </c>
      <c r="AO10" s="95">
        <f t="shared" si="15"/>
        <v>604534.23923756543</v>
      </c>
      <c r="AP10" s="96"/>
      <c r="AQ10" s="97">
        <f t="shared" si="7"/>
        <v>1222.505228881548</v>
      </c>
      <c r="AR10" s="98">
        <f t="shared" si="8"/>
        <v>123.09</v>
      </c>
      <c r="AS10" s="98">
        <f t="shared" si="9"/>
        <v>460.47661632845649</v>
      </c>
      <c r="AT10" s="98">
        <f t="shared" si="10"/>
        <v>112.1910863509748</v>
      </c>
      <c r="AU10" s="98">
        <f t="shared" si="16"/>
        <v>187.74419684308265</v>
      </c>
      <c r="AV10" s="98">
        <f t="array" ref="AV10">_xlfn.IFS(U10=0,AO10,U10&lt;0,AO10/-U10,U10&gt;0,AO10/U10)</f>
        <v>285.29223182518427</v>
      </c>
      <c r="AW10" s="234">
        <f>IF(AQ10=0,0,AV10/AQ10)</f>
        <v>0.23336688063591673</v>
      </c>
      <c r="AX10" s="234">
        <f>IF(AR10=0,0,AV10/AR10)</f>
        <v>2.3177531223103767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ДЕКАБРЬ!N11+ЯНВАРЬ!N11+ФЕВРАЛЬ!N11+МАРТ!N11+АПРЕЛЬ!N11</f>
        <v>1772</v>
      </c>
      <c r="O11" s="89"/>
      <c r="P11" s="89"/>
      <c r="Q11" s="233"/>
      <c r="R11" s="92"/>
      <c r="S11" s="93">
        <f>ДЕКАБРЬ!S11+ЯНВАРЬ!S11+ФЕВРАЛЬ!S11+МАРТ!S11+АПРЕЛЬ!S11</f>
        <v>1065</v>
      </c>
      <c r="T11" s="93">
        <f>ДЕКАБРЬ!T11+ЯНВАРЬ!T11+ФЕВРАЛЬ!T11+МАРТ!T11+АПРЕЛЬ!T11</f>
        <v>-19</v>
      </c>
      <c r="U11" s="92">
        <f t="shared" si="1"/>
        <v>1046</v>
      </c>
      <c r="V11" s="93">
        <f>ДЕКАБРЬ!V11+ЯНВАРЬ!V11+ФЕВРАЛЬ!V11+МАРТ!V11+АПРЕЛЬ!V11</f>
        <v>896336.83000000007</v>
      </c>
      <c r="W11" s="93">
        <f>ДЕКАБРЬ!W11+ЯНВАРЬ!W11+ФЕВРАЛЬ!W11+МАРТ!W11+АПРЕЛЬ!W11</f>
        <v>-16253</v>
      </c>
      <c r="X11" s="92">
        <f t="shared" si="2"/>
        <v>880083.83000000007</v>
      </c>
      <c r="Y11" s="93">
        <f>ДЕКАБРЬ!Y11+ЯНВАРЬ!Y11+ФЕВРАЛЬ!Y11+МАРТ!Y11+АПРЕЛЬ!Y11</f>
        <v>1358444.24</v>
      </c>
      <c r="Z11" s="93">
        <f>ДЕКАБРЬ!Z11+ЯНВАРЬ!Z11+ФЕВРАЛЬ!Z11+МАРТ!Z11+АПРЕЛЬ!Z11</f>
        <v>-24601</v>
      </c>
      <c r="AA11" s="232">
        <f t="shared" si="3"/>
        <v>1333843.24</v>
      </c>
      <c r="AB11" s="92">
        <f t="shared" si="14"/>
        <v>0</v>
      </c>
      <c r="AC11" s="234">
        <f t="shared" si="4"/>
        <v>3.0210033609239836E-2</v>
      </c>
      <c r="AD11" s="92">
        <f t="shared" si="5"/>
        <v>128752.14</v>
      </c>
      <c r="AE11" s="93">
        <f>ДЕКАБРЬ!AE11+ЯНВАРЬ!AE11+ФЕВРАЛЬ!AE11+МАРТ!AE11+АПРЕЛЬ!AE11</f>
        <v>500674.11</v>
      </c>
      <c r="AF11" s="234">
        <f t="shared" si="6"/>
        <v>0.37536203279779712</v>
      </c>
      <c r="AG11" s="93">
        <f>ДЕКАБРЬ!AG11+ЯНВАРЬ!AG11+ФЕВРАЛЬ!AG11+МАРТ!AG11+АПРЕЛЬ!AG11</f>
        <v>115198.39999999999</v>
      </c>
      <c r="AH11" s="93">
        <f>ДЕКАБРЬ!AH11+ЯНВАРЬ!AH11+ФЕВРАЛЬ!AH11+МАРТ!AH11+АПРЕЛЬ!AH11</f>
        <v>34208</v>
      </c>
      <c r="AI11" s="93">
        <f>ДЕКАБРЬ!AI11+ЯНВАРЬ!AI11+ФЕВРАЛЬ!AI11+МАРТ!AI11+АПРЕЛЬ!AI11</f>
        <v>107484</v>
      </c>
      <c r="AJ11" s="93">
        <f>АПРЕЛЬ!AJ11</f>
        <v>11342</v>
      </c>
      <c r="AK11" s="93"/>
      <c r="AL11" s="93">
        <f>ДЕКАБРЬ!AL11+ЯНВАРЬ!AL11+ФЕВРАЛЬ!AL11+МАРТ!AL11+АПРЕЛЬ!AL11</f>
        <v>3763.0360053034101</v>
      </c>
      <c r="AM11" s="93">
        <f>ДЕКАБРЬ!AM11+ЯНВАРЬ!AM11+ФЕВРАЛЬ!AM11+МАРТ!AM11+АПРЕЛЬ!AM11</f>
        <v>70</v>
      </c>
      <c r="AN11" s="93">
        <f>ДЕКАБРЬ!AN11+ЯНВАРЬ!AN11+ФЕВРАЛЬ!AN11+МАРТ!AN11+АПРЕЛЬ!AN11</f>
        <v>49673.147721552712</v>
      </c>
      <c r="AO11" s="95">
        <f t="shared" si="15"/>
        <v>382678.40627314395</v>
      </c>
      <c r="AP11" s="96"/>
      <c r="AQ11" s="97">
        <f t="shared" si="7"/>
        <v>1275.184741873805</v>
      </c>
      <c r="AR11" s="98">
        <f t="shared" si="8"/>
        <v>123.09</v>
      </c>
      <c r="AS11" s="98">
        <f t="shared" si="9"/>
        <v>478.65593690248562</v>
      </c>
      <c r="AT11" s="98">
        <f t="shared" si="10"/>
        <v>108.1675117370892</v>
      </c>
      <c r="AU11" s="98">
        <f t="shared" si="16"/>
        <v>143.69389671361503</v>
      </c>
      <c r="AV11" s="98">
        <f t="array" ref="AV11">_xlfn.IFS(U11=0,AO11,U11&lt;0,AO11/-U11,U11&gt;0,AO11/U11)</f>
        <v>365.84933678120836</v>
      </c>
      <c r="AW11" s="234">
        <f t="shared" ref="AW11:AW28" si="23">IF(AQ11=0,0,AV11/AQ11)</f>
        <v>0.28689908588744201</v>
      </c>
      <c r="AX11" s="234">
        <f t="shared" ref="AX11:AX28" si="24">IF(AR11=0,0,AV11/AR11)</f>
        <v>2.9722100640280149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ДЕКАБРЬ!N12+ЯНВАРЬ!N12+ФЕВРАЛЬ!N12+МАРТ!N12+АПРЕЛЬ!N12</f>
        <v>2605</v>
      </c>
      <c r="O12" s="89"/>
      <c r="P12" s="89"/>
      <c r="Q12" s="233"/>
      <c r="R12" s="92"/>
      <c r="S12" s="93">
        <f>ДЕКАБРЬ!S12+ЯНВАРЬ!S12+ФЕВРАЛЬ!S12+МАРТ!S12+АПРЕЛЬ!S12</f>
        <v>1392</v>
      </c>
      <c r="T12" s="93">
        <f>ДЕКАБРЬ!T12+ЯНВАРЬ!T12+ФЕВРАЛЬ!T12+МАРТ!T12+АПРЕЛЬ!T12</f>
        <v>-20</v>
      </c>
      <c r="U12" s="92">
        <f t="shared" si="1"/>
        <v>1372</v>
      </c>
      <c r="V12" s="93">
        <f>ДЕКАБРЬ!V12+ЯНВАРЬ!V12+ФЕВРАЛЬ!V12+МАРТ!V12+АПРЕЛЬ!V12</f>
        <v>1198968.3199999998</v>
      </c>
      <c r="W12" s="93">
        <f>ДЕКАБРЬ!W12+ЯНВАРЬ!W12+ФЕВРАЛЬ!W12+МАРТ!W12+АПРЕЛЬ!W12</f>
        <v>-16315</v>
      </c>
      <c r="X12" s="92">
        <f t="shared" si="2"/>
        <v>1182653.3199999998</v>
      </c>
      <c r="Y12" s="93">
        <f>ДЕКАБРЬ!Y12+ЯНВАРЬ!Y12+ФЕВРАЛЬ!Y12+МАРТ!Y12+АПРЕЛЬ!Y12</f>
        <v>1823189.1</v>
      </c>
      <c r="Z12" s="93">
        <f>ДЕКАБРЬ!Z12+ЯНВАРЬ!Z12+ФЕВРАЛЬ!Z12+МАРТ!Z12+АПРЕЛЬ!Z12</f>
        <v>-25267.31</v>
      </c>
      <c r="AA12" s="232">
        <f t="shared" si="3"/>
        <v>1797921.79</v>
      </c>
      <c r="AB12" s="92">
        <f t="shared" si="14"/>
        <v>0</v>
      </c>
      <c r="AC12" s="234">
        <f t="shared" si="4"/>
        <v>4.0720885388814243E-2</v>
      </c>
      <c r="AD12" s="92">
        <f t="shared" si="5"/>
        <v>160853.28</v>
      </c>
      <c r="AE12" s="93">
        <f>ДЕКАБРЬ!AE12+ЯНВАРЬ!AE12+ФЕВРАЛЬ!AE12+МАРТ!AE12+АПРЕЛЬ!AE12</f>
        <v>675932.58000000019</v>
      </c>
      <c r="AF12" s="234">
        <f t="shared" si="6"/>
        <v>0.37595215974327789</v>
      </c>
      <c r="AG12" s="93">
        <f>ДЕКАБРЬ!AG12+ЯНВАРЬ!AG12+ФЕВРАЛЬ!AG12+МАРТ!AG12+АПРЕЛЬ!AG12</f>
        <v>177717.43999999997</v>
      </c>
      <c r="AH12" s="93">
        <f>ДЕКАБРЬ!AH12+ЯНВАРЬ!AH12+ФЕВРАЛЬ!AH12+МАРТ!AH12+АПРЕЛЬ!AH12</f>
        <v>52656</v>
      </c>
      <c r="AI12" s="93">
        <f>ДЕКАБРЬ!AI12+ЯНВАРЬ!AI12+ФЕВРАЛЬ!AI12+МАРТ!AI12+АПРЕЛЬ!AI12</f>
        <v>161752</v>
      </c>
      <c r="AJ12" s="93">
        <f>АПРЕЛЬ!AJ12</f>
        <v>10971</v>
      </c>
      <c r="AK12" s="93"/>
      <c r="AL12" s="93">
        <f>ДЕКАБРЬ!AL12+ЯНВАРЬ!AL12+ФЕВРАЛЬ!AL12+МАРТ!AL12+АПРЕЛЬ!AL12</f>
        <v>5790.7500641010829</v>
      </c>
      <c r="AM12" s="93">
        <f>ДЕКАБРЬ!AM12+ЯНВАРЬ!AM12+ФЕВРАЛЬ!AM12+МАРТ!AM12+АПРЕЛЬ!AM12</f>
        <v>180</v>
      </c>
      <c r="AN12" s="93">
        <f>ДЕКАБРЬ!AN12+ЯНВАРЬ!AN12+ФЕВРАЛЬ!AN12+МАРТ!AN12+АПРЕЛЬ!AN12</f>
        <v>66817.254908256757</v>
      </c>
      <c r="AO12" s="95">
        <f t="shared" si="15"/>
        <v>485251.48502764205</v>
      </c>
      <c r="AP12" s="96"/>
      <c r="AQ12" s="97">
        <f t="shared" si="7"/>
        <v>1310.4386224489797</v>
      </c>
      <c r="AR12" s="98">
        <f t="shared" si="8"/>
        <v>117.24</v>
      </c>
      <c r="AS12" s="98">
        <f t="shared" si="9"/>
        <v>492.66223032069985</v>
      </c>
      <c r="AT12" s="98">
        <f t="shared" si="10"/>
        <v>127.67057471264366</v>
      </c>
      <c r="AU12" s="98">
        <f t="shared" si="16"/>
        <v>161.91020114942529</v>
      </c>
      <c r="AV12" s="98">
        <f t="array" ref="AV12">_xlfn.IFS(U12=0,AO12,U12&lt;0,AO12/-U12,U12&gt;0,AO12/U12)</f>
        <v>353.68184039915599</v>
      </c>
      <c r="AW12" s="234">
        <f t="shared" si="23"/>
        <v>0.26989576950821759</v>
      </c>
      <c r="AX12" s="234">
        <f t="shared" si="24"/>
        <v>3.01673354144623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ДЕКАБРЬ!N13+ЯНВАРЬ!N13+ФЕВРАЛЬ!N13+МАРТ!N13+АПРЕЛЬ!N13</f>
        <v>4453</v>
      </c>
      <c r="O13" s="89"/>
      <c r="P13" s="89"/>
      <c r="Q13" s="233"/>
      <c r="R13" s="92"/>
      <c r="S13" s="93">
        <f>ДЕКАБРЬ!S13+ЯНВАРЬ!S13+ФЕВРАЛЬ!S13+МАРТ!S13+АПРЕЛЬ!S13</f>
        <v>2326</v>
      </c>
      <c r="T13" s="93">
        <f>ДЕКАБРЬ!T13+ЯНВАРЬ!T13+ФЕВРАЛЬ!T13+МАРТ!T13+АПРЕЛЬ!T13</f>
        <v>-44</v>
      </c>
      <c r="U13" s="92">
        <f t="shared" si="1"/>
        <v>2282</v>
      </c>
      <c r="V13" s="93">
        <f>ДЕКАБРЬ!V13+ЯНВАРЬ!V13+ФЕВРАЛЬ!V13+МАРТ!V13+АПРЕЛЬ!V13</f>
        <v>2430571.7599999998</v>
      </c>
      <c r="W13" s="93">
        <f>ДЕКАБРЬ!W13+ЯНВАРЬ!W13+ФЕВРАЛЬ!W13+МАРТ!W13+АПРЕЛЬ!W13</f>
        <v>-46866.400000000001</v>
      </c>
      <c r="X13" s="92">
        <f t="shared" si="2"/>
        <v>2383705.36</v>
      </c>
      <c r="Y13" s="93">
        <f>ДЕКАБРЬ!Y13+ЯНВАРЬ!Y13+ФЕВРАЛЬ!Y13+МАРТ!Y13+АПРЕЛЬ!Y13</f>
        <v>3642219.9899999998</v>
      </c>
      <c r="Z13" s="93">
        <f>ДЕКАБРЬ!Z13+ЯНВАРЬ!Z13+ФЕВРАЛЬ!Z13+МАРТ!Z13+АПРЕЛЬ!Z13</f>
        <v>-70110.859999999986</v>
      </c>
      <c r="AA13" s="232">
        <f t="shared" si="3"/>
        <v>3572109.13</v>
      </c>
      <c r="AB13" s="92">
        <f t="shared" si="14"/>
        <v>0</v>
      </c>
      <c r="AC13" s="234">
        <f t="shared" si="4"/>
        <v>8.0904212456909458E-2</v>
      </c>
      <c r="AD13" s="92">
        <f t="shared" si="5"/>
        <v>280891.38</v>
      </c>
      <c r="AE13" s="93">
        <f>ДЕКАБРЬ!AE13+ЯНВАРЬ!AE13+ФЕВРАЛЬ!AE13+МАРТ!AE13+АПРЕЛЬ!AE13</f>
        <v>1345686.9699999997</v>
      </c>
      <c r="AF13" s="234">
        <f t="shared" si="6"/>
        <v>0.37672056508531132</v>
      </c>
      <c r="AG13" s="93">
        <f>ДЕКАБРЬ!AG13+ЯНВАРЬ!AG13+ФЕВРАЛЬ!AG13+МАРТ!AG13+АПРЕЛЬ!AG13</f>
        <v>305387.01000000013</v>
      </c>
      <c r="AH13" s="93">
        <f>ДЕКАБРЬ!AH13+ЯНВАРЬ!AH13+ФЕВРАЛЬ!AH13+МАРТ!AH13+АПРЕЛЬ!AH13</f>
        <v>102500</v>
      </c>
      <c r="AI13" s="93">
        <f>ДЕКАБРЬ!AI13+ЯНВАРЬ!AI13+ФЕВРАЛЬ!AI13+МАРТ!AI13+АПРЕЛЬ!AI13</f>
        <v>393055</v>
      </c>
      <c r="AJ13" s="93">
        <f>АПРЕЛЬ!AJ13</f>
        <v>73739</v>
      </c>
      <c r="AK13" s="93"/>
      <c r="AL13" s="93">
        <f>ДЕКАБРЬ!AL13+ЯНВАРЬ!AL13+ФЕВРАЛЬ!AL13+МАРТ!AL13+АПРЕЛЬ!AL13</f>
        <v>7135.5618678611681</v>
      </c>
      <c r="AM13" s="93">
        <f>ДЕКАБРЬ!AM13+ЯНВАРЬ!AM13+ФЕВРАЛЬ!AM13+МАРТ!AM13+АПРЕЛЬ!AM13</f>
        <v>5326.11</v>
      </c>
      <c r="AN13" s="93">
        <f>ДЕКАБРЬ!AN13+ЯНВАРЬ!AN13+ФЕВРАЛЬ!AN13+МАРТ!AN13+АПРЕЛЬ!AN13</f>
        <v>134543.86474130515</v>
      </c>
      <c r="AO13" s="95">
        <f t="shared" si="15"/>
        <v>923844.23339083383</v>
      </c>
      <c r="AP13" s="96"/>
      <c r="AQ13" s="97">
        <f t="shared" si="7"/>
        <v>1565.3414241893076</v>
      </c>
      <c r="AR13" s="98">
        <f t="shared" si="8"/>
        <v>123.09</v>
      </c>
      <c r="AS13" s="98">
        <f t="shared" si="9"/>
        <v>589.69630587204199</v>
      </c>
      <c r="AT13" s="98">
        <f t="shared" si="10"/>
        <v>131.29278159931218</v>
      </c>
      <c r="AU13" s="98">
        <f t="shared" si="16"/>
        <v>244.7523645743766</v>
      </c>
      <c r="AV13" s="98">
        <f t="array" ref="AV13">_xlfn.IFS(U13=0,AO13,U13&lt;0,AO13/-U13,U13&gt;0,AO13/U13)</f>
        <v>404.8397166480429</v>
      </c>
      <c r="AW13" s="234">
        <f t="shared" si="23"/>
        <v>0.25862710229987679</v>
      </c>
      <c r="AX13" s="234">
        <f t="shared" si="24"/>
        <v>3.2889732443581354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ДЕКАБРЬ!N14+ЯНВАРЬ!N14+ФЕВРАЛЬ!N14+МАРТ!N14+АПРЕЛЬ!N14</f>
        <v>1044</v>
      </c>
      <c r="O14" s="89"/>
      <c r="P14" s="89"/>
      <c r="Q14" s="233"/>
      <c r="R14" s="92"/>
      <c r="S14" s="93">
        <f>ДЕКАБРЬ!S14+ЯНВАРЬ!S14+ФЕВРАЛЬ!S14+МАРТ!S14+АПРЕЛЬ!S14</f>
        <v>623</v>
      </c>
      <c r="T14" s="93">
        <f>ДЕКАБРЬ!T14+ЯНВАРЬ!T14+ФЕВРАЛЬ!T14+МАРТ!T14+АПРЕЛЬ!T14</f>
        <v>-10</v>
      </c>
      <c r="U14" s="92">
        <f t="shared" si="1"/>
        <v>613</v>
      </c>
      <c r="V14" s="93">
        <f>ДЕКАБРЬ!V14+ЯНВАРЬ!V14+ФЕВРАЛЬ!V14+МАРТ!V14+АПРЕЛЬ!V14</f>
        <v>501404.65</v>
      </c>
      <c r="W14" s="93">
        <f>ДЕКАБРЬ!W14+ЯНВАРЬ!W14+ФЕВРАЛЬ!W14+МАРТ!W14+АПРЕЛЬ!W14</f>
        <v>-8331</v>
      </c>
      <c r="X14" s="92">
        <f t="shared" si="2"/>
        <v>493073.65</v>
      </c>
      <c r="Y14" s="93">
        <f>ДЕКАБРЬ!Y14+ЯНВАРЬ!Y14+ФЕВРАЛЬ!Y14+МАРТ!Y14+АПРЕЛЬ!Y14</f>
        <v>760107.36</v>
      </c>
      <c r="Z14" s="93">
        <f>ДЕКАБРЬ!Z14+ЯНВАРЬ!Z14+ФЕВРАЛЬ!Z14+МАРТ!Z14+АПРЕЛЬ!Z14</f>
        <v>-12889.56</v>
      </c>
      <c r="AA14" s="232">
        <f t="shared" si="3"/>
        <v>747217.79999999993</v>
      </c>
      <c r="AB14" s="92">
        <f t="shared" si="14"/>
        <v>0</v>
      </c>
      <c r="AC14" s="234">
        <f t="shared" si="4"/>
        <v>1.6923634033203367E-2</v>
      </c>
      <c r="AD14" s="92">
        <f t="shared" si="5"/>
        <v>75454.17</v>
      </c>
      <c r="AE14" s="93">
        <f>ДЕКАБРЬ!AE14+ЯНВАРЬ!AE14+ФЕВРАЛЬ!AE14+МАРТ!AE14+АПРЕЛЬ!AE14</f>
        <v>281137.58</v>
      </c>
      <c r="AF14" s="234">
        <f t="shared" si="6"/>
        <v>0.37624582819092378</v>
      </c>
      <c r="AG14" s="93">
        <f>ДЕКАБРЬ!AG14+ЯНВАРЬ!AG14+ФЕВРАЛЬ!AG14+МАРТ!AG14+АПРЕЛЬ!AG14</f>
        <v>68505.189999999988</v>
      </c>
      <c r="AH14" s="93">
        <f>ДЕКАБРЬ!AH14+ЯНВАРЬ!AH14+ФЕВРАЛЬ!AH14+МАРТ!AH14+АПРЕЛЬ!AH14</f>
        <v>24111</v>
      </c>
      <c r="AI14" s="93">
        <f>ДЕКАБРЬ!AI14+ЯНВАРЬ!AI14+ФЕВРАЛЬ!AI14+МАРТ!AI14+АПРЕЛЬ!AI14</f>
        <v>58379</v>
      </c>
      <c r="AJ14" s="93">
        <f>АПРЕЛЬ!AJ14</f>
        <v>1004</v>
      </c>
      <c r="AK14" s="93"/>
      <c r="AL14" s="93">
        <f>ДЕКАБРЬ!AL14+ЯНВАРЬ!AL14+ФЕВРАЛЬ!AL14+МАРТ!AL14+АПРЕЛЬ!AL14</f>
        <v>4757.2922596740764</v>
      </c>
      <c r="AM14" s="93">
        <f>ДЕКАБРЬ!AM14+ЯНВАРЬ!AM14+ФЕВРАЛЬ!AM14+МАРТ!AM14+АПРЕЛЬ!AM14</f>
        <v>180</v>
      </c>
      <c r="AN14" s="93">
        <f>ДЕКАБРЬ!AN14+ЯНВАРЬ!AN14+ФЕВРАЛЬ!AN14+МАРТ!AN14+АПРЕЛЬ!AN14</f>
        <v>27778.857000927925</v>
      </c>
      <c r="AO14" s="95">
        <f t="shared" si="15"/>
        <v>205910.71073939785</v>
      </c>
      <c r="AP14" s="96"/>
      <c r="AQ14" s="97">
        <f t="shared" si="7"/>
        <v>1218.9523654159868</v>
      </c>
      <c r="AR14" s="98">
        <f t="shared" si="8"/>
        <v>123.09</v>
      </c>
      <c r="AS14" s="98">
        <f t="shared" si="9"/>
        <v>458.62574225122353</v>
      </c>
      <c r="AT14" s="98">
        <f t="shared" si="10"/>
        <v>109.96017656500801</v>
      </c>
      <c r="AU14" s="98">
        <f t="shared" si="16"/>
        <v>134.01926163723917</v>
      </c>
      <c r="AV14" s="98">
        <f t="array" ref="AV14">_xlfn.IFS(U14=0,AO14,U14&lt;0,AO14/-U14,U14&gt;0,AO14/U14)</f>
        <v>335.90654280489048</v>
      </c>
      <c r="AW14" s="234">
        <f t="shared" si="23"/>
        <v>0.27556986830265268</v>
      </c>
      <c r="AX14" s="234">
        <f t="shared" si="24"/>
        <v>2.7289507092768743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ДЕКАБРЬ!N15+ЯНВАРЬ!N15+ФЕВРАЛЬ!N15+МАРТ!N15+АПРЕЛЬ!N15</f>
        <v>969</v>
      </c>
      <c r="O15" s="89"/>
      <c r="P15" s="89"/>
      <c r="Q15" s="233"/>
      <c r="R15" s="92"/>
      <c r="S15" s="93">
        <f>ДЕКАБРЬ!S15+ЯНВАРЬ!S15+ФЕВРАЛЬ!S15+МАРТ!S15+АПРЕЛЬ!S15</f>
        <v>607</v>
      </c>
      <c r="T15" s="93">
        <f>ДЕКАБРЬ!T15+ЯНВАРЬ!T15+ФЕВРАЛЬ!T15+МАРТ!T15+АПРЕЛЬ!T15</f>
        <v>-7</v>
      </c>
      <c r="U15" s="92">
        <f t="shared" si="1"/>
        <v>600</v>
      </c>
      <c r="V15" s="93">
        <f>ДЕКАБРЬ!V15+ЯНВАРЬ!V15+ФЕВРАЛЬ!V15+МАРТ!V15+АПРЕЛЬ!V15</f>
        <v>493020.49</v>
      </c>
      <c r="W15" s="93">
        <f>ДЕКАБРЬ!W15+ЯНВАРЬ!W15+ФЕВРАЛЬ!W15+МАРТ!W15+АПРЕЛЬ!W15</f>
        <v>-6333.46</v>
      </c>
      <c r="X15" s="92">
        <f t="shared" si="2"/>
        <v>486687.02999999997</v>
      </c>
      <c r="Y15" s="93">
        <f>ДЕКАБРЬ!Y15+ЯНВАРЬ!Y15+ФЕВРАЛЬ!Y15+МАРТ!Y15+АПРЕЛЬ!Y15</f>
        <v>744320.5</v>
      </c>
      <c r="Z15" s="93">
        <f>ДЕКАБРЬ!Z15+ЯНВАРЬ!Z15+ФЕВРАЛЬ!Z15+МАРТ!Z15+АПРЕЛЬ!Z15</f>
        <v>-9314.92</v>
      </c>
      <c r="AA15" s="232">
        <f t="shared" si="3"/>
        <v>735005.58</v>
      </c>
      <c r="AB15" s="92">
        <f t="shared" si="14"/>
        <v>0</v>
      </c>
      <c r="AC15" s="234">
        <f t="shared" si="4"/>
        <v>1.6647041128145478E-2</v>
      </c>
      <c r="AD15" s="92">
        <f t="shared" si="5"/>
        <v>73854</v>
      </c>
      <c r="AE15" s="93">
        <f>ДЕКАБРЬ!AE15+ЯНВАРЬ!AE15+ФЕВРАЛЬ!AE15+МАРТ!AE15+АПРЕЛЬ!AE15</f>
        <v>276909.02</v>
      </c>
      <c r="AF15" s="234">
        <f t="shared" si="6"/>
        <v>0.37674410580665257</v>
      </c>
      <c r="AG15" s="93">
        <f>ДЕКАБРЬ!AG15+ЯНВАРЬ!AG15+ФЕВРАЛЬ!AG15+МАРТ!AG15+АПРЕЛЬ!AG15</f>
        <v>63645.869999999988</v>
      </c>
      <c r="AH15" s="93">
        <f>ДЕКАБРЬ!AH15+ЯНВАРЬ!AH15+ФЕВРАЛЬ!AH15+МАРТ!AH15+АПРЕЛЬ!AH15</f>
        <v>15890</v>
      </c>
      <c r="AI15" s="93">
        <f>ДЕКАБРЬ!AI15+ЯНВАРЬ!AI15+ФЕВРАЛЬ!AI15+МАРТ!AI15+АПРЕЛЬ!AI15</f>
        <v>44899</v>
      </c>
      <c r="AJ15" s="93">
        <f>АПРЕЛЬ!AJ15</f>
        <v>2937</v>
      </c>
      <c r="AK15" s="93"/>
      <c r="AL15" s="93">
        <f>ДЕКАБРЬ!AL15+ЯНВАРЬ!AL15+ФЕВРАЛЬ!AL15+МАРТ!AL15+АПРЕЛЬ!AL15</f>
        <v>5360.1044582255245</v>
      </c>
      <c r="AM15" s="93">
        <f>ДЕКАБРЬ!AM15+ЯНВАРЬ!AM15+ФЕВРАЛЬ!AM15+МАРТ!AM15+АПРЕЛЬ!AM15</f>
        <v>-1493</v>
      </c>
      <c r="AN15" s="93">
        <f>ДЕКАБРЬ!AN15+ЯНВАРЬ!AN15+ФЕВРАЛЬ!AN15+МАРТ!AN15+АПРЕЛЬ!AN15</f>
        <v>27553.116723960837</v>
      </c>
      <c r="AO15" s="95">
        <f t="shared" si="15"/>
        <v>225450.46881781358</v>
      </c>
      <c r="AP15" s="96"/>
      <c r="AQ15" s="97">
        <f t="shared" si="7"/>
        <v>1225.0092999999999</v>
      </c>
      <c r="AR15" s="98">
        <f t="shared" si="8"/>
        <v>123.09</v>
      </c>
      <c r="AS15" s="98">
        <f t="shared" si="9"/>
        <v>461.51503333333335</v>
      </c>
      <c r="AT15" s="98">
        <f t="shared" si="10"/>
        <v>104.85316309719933</v>
      </c>
      <c r="AU15" s="98">
        <f t="shared" si="16"/>
        <v>104.98517298187809</v>
      </c>
      <c r="AV15" s="98">
        <f t="array" ref="AV15">_xlfn.IFS(U15=0,AO15,U15&lt;0,AO15/-U15,U15&gt;0,AO15/U15)</f>
        <v>375.75078136302267</v>
      </c>
      <c r="AW15" s="234">
        <f t="shared" si="23"/>
        <v>0.30673300305803614</v>
      </c>
      <c r="AX15" s="234">
        <f t="shared" si="24"/>
        <v>3.0526507544319008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ДЕКАБРЬ!N16+ЯНВАРЬ!N16+ФЕВРАЛЬ!N16+МАРТ!N16+АПРЕЛЬ!N16</f>
        <v>3142</v>
      </c>
      <c r="O16" s="89"/>
      <c r="P16" s="89"/>
      <c r="Q16" s="233"/>
      <c r="R16" s="92"/>
      <c r="S16" s="93">
        <f>ДЕКАБРЬ!S16+ЯНВАРЬ!S16+ФЕВРАЛЬ!S16+МАРТ!S16+АПРЕЛЬ!S16</f>
        <v>1984</v>
      </c>
      <c r="T16" s="93">
        <f>ДЕКАБРЬ!T16+ЯНВАРЬ!T16+ФЕВРАЛЬ!T16+МАРТ!T16+АПРЕЛЬ!T16</f>
        <v>-23</v>
      </c>
      <c r="U16" s="92">
        <f t="shared" si="1"/>
        <v>1961</v>
      </c>
      <c r="V16" s="93">
        <f>ДЕКАБРЬ!V16+ЯНВАРЬ!V16+ФЕВРАЛЬ!V16+МАРТ!V16+АПРЕЛЬ!V16</f>
        <v>1773027.9400000002</v>
      </c>
      <c r="W16" s="93">
        <f>ДЕКАБРЬ!W16+ЯНВАРЬ!W16+ФЕВРАЛЬ!W16+МАРТ!W16+АПРЕЛЬ!W16</f>
        <v>-20362</v>
      </c>
      <c r="X16" s="92">
        <f t="shared" si="2"/>
        <v>1752665.9400000002</v>
      </c>
      <c r="Y16" s="93">
        <f>ДЕКАБРЬ!Y16+ЯНВАРЬ!Y16+ФЕВРАЛЬ!Y16+МАРТ!Y16+АПРЕЛЬ!Y16</f>
        <v>2659799.4499999997</v>
      </c>
      <c r="Z16" s="93">
        <f>ДЕКАБРЬ!Z16+ЯНВАРЬ!Z16+ФЕВРАЛЬ!Z16+МАРТ!Z16+АПРЕЛЬ!Z16</f>
        <v>-30538</v>
      </c>
      <c r="AA16" s="232">
        <f t="shared" si="3"/>
        <v>2629261.4499999997</v>
      </c>
      <c r="AB16" s="92">
        <f t="shared" si="14"/>
        <v>0</v>
      </c>
      <c r="AC16" s="234">
        <f t="shared" si="4"/>
        <v>5.9549783955106045E-2</v>
      </c>
      <c r="AD16" s="92">
        <f t="shared" si="5"/>
        <v>229907.63999999998</v>
      </c>
      <c r="AE16" s="93">
        <f>ДЕКАБРЬ!AE16+ЯНВАРЬ!AE16+ФЕВРАЛЬ!AE16+МАРТ!AE16+АПРЕЛЬ!AE16</f>
        <v>989514.64999999944</v>
      </c>
      <c r="AF16" s="234">
        <f t="shared" si="6"/>
        <v>0.37634699660621407</v>
      </c>
      <c r="AG16" s="93">
        <f>ДЕКАБРЬ!AG16+ЯНВАРЬ!AG16+ФЕВРАЛЬ!AG16+МАРТ!AG16+АПРЕЛЬ!AG16</f>
        <v>197274.26999999996</v>
      </c>
      <c r="AH16" s="93">
        <f>ДЕКАБРЬ!AH16+ЯНВАРЬ!AH16+ФЕВРАЛЬ!AH16+МАРТ!AH16+АПРЕЛЬ!AH16</f>
        <v>49000</v>
      </c>
      <c r="AI16" s="93">
        <f>ДЕКАБРЬ!AI16+ЯНВАРЬ!AI16+ФЕВРАЛЬ!AI16+МАРТ!AI16+АПРЕЛЬ!AI16</f>
        <v>196594</v>
      </c>
      <c r="AJ16" s="93">
        <f>АПРЕЛЬ!AJ16</f>
        <v>21460</v>
      </c>
      <c r="AK16" s="93"/>
      <c r="AL16" s="93">
        <f>ДЕКАБРЬ!AL16+ЯНВАРЬ!AL16+ФЕВРАЛЬ!AL16+МАРТ!AL16+АПРЕЛЬ!AL16</f>
        <v>5004.2045872991112</v>
      </c>
      <c r="AM16" s="93">
        <f>ДЕКАБРЬ!AM16+ЯНВАРЬ!AM16+ФЕВРАЛЬ!AM16+МАРТ!AM16+АПРЕЛЬ!AM16</f>
        <v>1623</v>
      </c>
      <c r="AN16" s="93">
        <f>ДЕКАБРЬ!AN16+ЯНВАРЬ!AN16+ФЕВРАЛЬ!AN16+МАРТ!AN16+АПРЕЛЬ!AN16</f>
        <v>98882.887664826005</v>
      </c>
      <c r="AO16" s="95">
        <f t="shared" si="15"/>
        <v>840000.79774787498</v>
      </c>
      <c r="AP16" s="96"/>
      <c r="AQ16" s="97">
        <f t="shared" si="7"/>
        <v>1340.7758541560427</v>
      </c>
      <c r="AR16" s="98">
        <f t="shared" si="8"/>
        <v>117.24</v>
      </c>
      <c r="AS16" s="98">
        <f t="shared" si="9"/>
        <v>504.59696583375802</v>
      </c>
      <c r="AT16" s="98">
        <f t="shared" si="10"/>
        <v>99.432595766129012</v>
      </c>
      <c r="AU16" s="98">
        <f t="shared" si="16"/>
        <v>134.60383064516128</v>
      </c>
      <c r="AV16" s="98">
        <f t="array" ref="AV16">_xlfn.IFS(U16=0,AO16,U16&lt;0,AO16/-U16,U16&gt;0,AO16/U16)</f>
        <v>428.3532879897374</v>
      </c>
      <c r="AW16" s="234">
        <f t="shared" si="23"/>
        <v>0.31948165434360859</v>
      </c>
      <c r="AX16" s="234">
        <f t="shared" si="24"/>
        <v>3.6536445580837378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ДЕКАБРЬ!N17+ЯНВАРЬ!N17+ФЕВРАЛЬ!N17+МАРТ!N17+АПРЕЛЬ!N17</f>
        <v>795</v>
      </c>
      <c r="O17" s="89"/>
      <c r="P17" s="89"/>
      <c r="Q17" s="233"/>
      <c r="R17" s="92"/>
      <c r="S17" s="93">
        <f>ДЕКАБРЬ!S17+ЯНВАРЬ!S17+ФЕВРАЛЬ!S17+МАРТ!S17+АПРЕЛЬ!S17</f>
        <v>381</v>
      </c>
      <c r="T17" s="93">
        <f>ДЕКАБРЬ!T17+ЯНВАРЬ!T17+ФЕВРАЛЬ!T17+МАРТ!T17+АПРЕЛЬ!T17</f>
        <v>-18</v>
      </c>
      <c r="U17" s="92">
        <f t="shared" si="1"/>
        <v>363</v>
      </c>
      <c r="V17" s="93">
        <f>ДЕКАБРЬ!V17+ЯНВАРЬ!V17+ФЕВРАЛЬ!V17+МАРТ!V17+АПРЕЛЬ!V17</f>
        <v>357025.3</v>
      </c>
      <c r="W17" s="93">
        <f>ДЕКАБРЬ!W17+ЯНВАРЬ!W17+ФЕВРАЛЬ!W17+МАРТ!W17+АПРЕЛЬ!W17</f>
        <v>-16592</v>
      </c>
      <c r="X17" s="92">
        <f t="shared" si="2"/>
        <v>340433.3</v>
      </c>
      <c r="Y17" s="93">
        <f>ДЕКАБРЬ!Y17+ЯНВАРЬ!Y17+ФЕВРАЛЬ!Y17+МАРТ!Y17+АПРЕЛЬ!Y17</f>
        <v>533105.17999999993</v>
      </c>
      <c r="Z17" s="93">
        <f>ДЕКАБРЬ!Z17+ЯНВАРЬ!Z17+ФЕВРАЛЬ!Z17+МАРТ!Z17+АПРЕЛЬ!Z17</f>
        <v>-25099.84</v>
      </c>
      <c r="AA17" s="232">
        <f t="shared" si="3"/>
        <v>508005.33999999991</v>
      </c>
      <c r="AB17" s="92">
        <f t="shared" si="14"/>
        <v>0</v>
      </c>
      <c r="AC17" s="234">
        <f t="shared" si="4"/>
        <v>1.1505743654759091E-2</v>
      </c>
      <c r="AD17" s="92">
        <f t="shared" si="5"/>
        <v>44681.67</v>
      </c>
      <c r="AE17" s="93">
        <f>ДЕКАБРЬ!AE17+ЯНВАРЬ!AE17+ФЕВРАЛЬ!AE17+МАРТ!AE17+АПРЕЛЬ!AE17</f>
        <v>191074.53999999998</v>
      </c>
      <c r="AF17" s="234">
        <f t="shared" si="6"/>
        <v>0.37612703047570328</v>
      </c>
      <c r="AG17" s="93">
        <f>ДЕКАБРЬ!AG17+ЯНВАРЬ!AG17+ФЕВРАЛЬ!AG17+МАРТ!AG17+АПРЕЛЬ!AG17</f>
        <v>57846.69</v>
      </c>
      <c r="AH17" s="93">
        <f>ДЕКАБРЬ!AH17+ЯНВАРЬ!AH17+ФЕВРАЛЬ!AH17+МАРТ!AH17+АПРЕЛЬ!AH17</f>
        <v>14006</v>
      </c>
      <c r="AI17" s="93">
        <f>ДЕКАБРЬ!AI17+ЯНВАРЬ!AI17+ФЕВРАЛЬ!AI17+МАРТ!AI17+АПРЕЛЬ!AI17</f>
        <v>49945</v>
      </c>
      <c r="AJ17" s="93">
        <f>АПРЕЛЬ!AJ17</f>
        <v>3223</v>
      </c>
      <c r="AK17" s="93"/>
      <c r="AL17" s="93">
        <f>ДЕКАБРЬ!AL17+ЯНВАРЬ!AL17+ФЕВРАЛЬ!AL17+МАРТ!AL17+АПРЕЛЬ!AL17</f>
        <v>1317.8700398297217</v>
      </c>
      <c r="AM17" s="93">
        <f>ДЕКАБРЬ!AM17+ЯНВАРЬ!AM17+ФЕВРАЛЬ!AM17+МАРТ!AM17+АПРЕЛЬ!AM17</f>
        <v>0</v>
      </c>
      <c r="AN17" s="93">
        <f>ДЕКАБРЬ!AN17+ЯНВАРЬ!AN17+ФЕВРАЛЬ!AN17+МАРТ!AN17+АПРЕЛЬ!AN17</f>
        <v>19162.84180683209</v>
      </c>
      <c r="AO17" s="95">
        <f t="shared" si="15"/>
        <v>126747.72815333813</v>
      </c>
      <c r="AP17" s="96"/>
      <c r="AQ17" s="97">
        <f t="shared" si="7"/>
        <v>1399.4637465564736</v>
      </c>
      <c r="AR17" s="98">
        <f t="shared" si="8"/>
        <v>123.09</v>
      </c>
      <c r="AS17" s="98">
        <f t="shared" si="9"/>
        <v>526.37614325068864</v>
      </c>
      <c r="AT17" s="98">
        <f t="shared" si="10"/>
        <v>151.82858267716537</v>
      </c>
      <c r="AU17" s="98">
        <f t="shared" si="16"/>
        <v>176.30971128608923</v>
      </c>
      <c r="AV17" s="98">
        <f t="array" ref="AV17">_xlfn.IFS(U17=0,AO17,U17&lt;0,AO17/-U17,U17&gt;0,AO17/U17)</f>
        <v>349.16729518825929</v>
      </c>
      <c r="AW17" s="234">
        <f t="shared" si="23"/>
        <v>0.24950077917160901</v>
      </c>
      <c r="AX17" s="234">
        <f t="shared" si="24"/>
        <v>2.8366828758490477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ДЕКАБРЬ!N18+ЯНВАРЬ!N18+ФЕВРАЛЬ!N18+МАРТ!N18+АПРЕЛЬ!N18</f>
        <v>1381</v>
      </c>
      <c r="O18" s="89"/>
      <c r="P18" s="89"/>
      <c r="Q18" s="233"/>
      <c r="R18" s="92"/>
      <c r="S18" s="93">
        <f>ДЕКАБРЬ!S18+ЯНВАРЬ!S18+ФЕВРАЛЬ!S18+МАРТ!S18+АПРЕЛЬ!S18</f>
        <v>622</v>
      </c>
      <c r="T18" s="93">
        <f>ДЕКАБРЬ!T18+ЯНВАРЬ!T18+ФЕВРАЛЬ!T18+МАРТ!T18+АПРЕЛЬ!T18</f>
        <v>-23</v>
      </c>
      <c r="U18" s="92">
        <f t="shared" si="1"/>
        <v>599</v>
      </c>
      <c r="V18" s="93">
        <f>ДЕКАБРЬ!V18+ЯНВАРЬ!V18+ФЕВРАЛЬ!V18+МАРТ!V18+АПРЕЛЬ!V18</f>
        <v>622245.42999999993</v>
      </c>
      <c r="W18" s="93">
        <f>ДЕКАБРЬ!W18+ЯНВАРЬ!W18+ФЕВРАЛЬ!W18+МАРТ!W18+АПРЕЛЬ!W18</f>
        <v>-23451.54</v>
      </c>
      <c r="X18" s="92">
        <f t="shared" si="2"/>
        <v>598793.8899999999</v>
      </c>
      <c r="Y18" s="93">
        <f>ДЕКАБРЬ!Y18+ЯНВАРЬ!Y18+ФЕВРАЛЬ!Y18+МАРТ!Y18+АПРЕЛЬ!Y18</f>
        <v>937247.05</v>
      </c>
      <c r="Z18" s="93">
        <f>ДЕКАБРЬ!Z18+ЯНВАРЬ!Z18+ФЕВРАЛЬ!Z18+МАРТ!Z18+АПРЕЛЬ!Z18</f>
        <v>-35444.33</v>
      </c>
      <c r="AA18" s="232">
        <f t="shared" si="3"/>
        <v>901802.72000000009</v>
      </c>
      <c r="AB18" s="92">
        <f t="shared" si="14"/>
        <v>0</v>
      </c>
      <c r="AC18" s="234">
        <f t="shared" si="4"/>
        <v>2.042480680121294E-2</v>
      </c>
      <c r="AD18" s="92">
        <f t="shared" si="5"/>
        <v>73730.91</v>
      </c>
      <c r="AE18" s="93">
        <f>ДЕКАБРЬ!AE18+ЯНВАРЬ!AE18+ФЕВРАЛЬ!AE18+МАРТ!AE18+АПРЕЛЬ!AE18</f>
        <v>339530.56</v>
      </c>
      <c r="AF18" s="234">
        <f t="shared" si="6"/>
        <v>0.37650203583329173</v>
      </c>
      <c r="AG18" s="93">
        <f>ДЕКАБРЬ!AG18+ЯНВАРЬ!AG18+ФЕВРАЛЬ!AG18+МАРТ!AG18+АПРЕЛЬ!AG18</f>
        <v>101136.31</v>
      </c>
      <c r="AH18" s="93">
        <f>ДЕКАБРЬ!AH18+ЯНВАРЬ!AH18+ФЕВРАЛЬ!AH18+МАРТ!AH18+АПРЕЛЬ!AH18</f>
        <v>37991</v>
      </c>
      <c r="AI18" s="93">
        <f>ДЕКАБРЬ!AI18+ЯНВАРЬ!AI18+ФЕВРАЛЬ!AI18+МАРТ!AI18+АПРЕЛЬ!AI18</f>
        <v>97663</v>
      </c>
      <c r="AJ18" s="93">
        <f>АПРЕЛЬ!AJ18</f>
        <v>4754</v>
      </c>
      <c r="AK18" s="93"/>
      <c r="AL18" s="93">
        <f>ДЕКАБРЬ!AL18+ЯНВАРЬ!AL18+ФЕВРАЛЬ!AL18+МАРТ!AL18+АПРЕЛЬ!AL18</f>
        <v>3720.2160986410927</v>
      </c>
      <c r="AM18" s="93">
        <f>ДЕКАБРЬ!AM18+ЯНВАРЬ!AM18+ФЕВРАЛЬ!AM18+МАРТ!AM18+АПРЕЛЬ!AM18</f>
        <v>70</v>
      </c>
      <c r="AN18" s="93">
        <f>ДЕКАБРЬ!AN18+ЯНВАРЬ!AN18+ФЕВРАЛЬ!AN18+МАРТ!AN18+АПРЕЛЬ!AN18</f>
        <v>33668.414635613874</v>
      </c>
      <c r="AO18" s="95">
        <f t="shared" si="15"/>
        <v>209538.30926574508</v>
      </c>
      <c r="AP18" s="96"/>
      <c r="AQ18" s="97">
        <f t="shared" si="7"/>
        <v>1505.5137228714525</v>
      </c>
      <c r="AR18" s="98">
        <f t="shared" si="8"/>
        <v>123.09</v>
      </c>
      <c r="AS18" s="98">
        <f t="shared" si="9"/>
        <v>566.82898163606012</v>
      </c>
      <c r="AT18" s="98">
        <f t="shared" si="10"/>
        <v>162.59856913183279</v>
      </c>
      <c r="AU18" s="98">
        <f t="shared" si="16"/>
        <v>225.7363344051447</v>
      </c>
      <c r="AV18" s="98">
        <f t="array" ref="AV18">_xlfn.IFS(U18=0,AO18,U18&lt;0,AO18/-U18,U18&gt;0,AO18/U18)</f>
        <v>349.8135380062522</v>
      </c>
      <c r="AW18" s="234">
        <f t="shared" si="23"/>
        <v>0.2323549315372935</v>
      </c>
      <c r="AX18" s="234">
        <f t="shared" si="24"/>
        <v>2.8419330409152019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ДЕКАБРЬ!N19+ЯНВАРЬ!N19+ФЕВРАЛЬ!N19+МАРТ!N19+АПРЕЛЬ!N19</f>
        <v>0</v>
      </c>
      <c r="O19" s="89"/>
      <c r="P19" s="89"/>
      <c r="Q19" s="233"/>
      <c r="R19" s="92"/>
      <c r="S19" s="93">
        <f>ДЕКАБРЬ!S19+ЯНВАРЬ!S19+ФЕВРАЛЬ!S19+МАРТ!S19+АПРЕЛЬ!S19</f>
        <v>0</v>
      </c>
      <c r="T19" s="93">
        <f>ДЕКАБРЬ!T19+ЯНВАРЬ!T19+ФЕВРАЛЬ!T19+МАРТ!T19+АПРЕЛЬ!T19</f>
        <v>0</v>
      </c>
      <c r="U19" s="92">
        <f t="shared" si="1"/>
        <v>0</v>
      </c>
      <c r="V19" s="93">
        <f>ДЕКАБРЬ!V19+ЯНВАРЬ!V19+ФЕВРАЛЬ!V19+МАРТ!V19+АПРЕЛЬ!V19</f>
        <v>0</v>
      </c>
      <c r="W19" s="93">
        <f>ДЕКАБРЬ!W19+ЯНВАРЬ!W19+ФЕВРАЛЬ!W19+МАРТ!W19+АПРЕЛЬ!W19</f>
        <v>0</v>
      </c>
      <c r="X19" s="92">
        <f t="shared" si="2"/>
        <v>0</v>
      </c>
      <c r="Y19" s="93">
        <f>ДЕКАБРЬ!Y19+ЯНВАРЬ!Y19+ФЕВРАЛЬ!Y19+МАРТ!Y19+АПРЕЛЬ!Y19</f>
        <v>0</v>
      </c>
      <c r="Z19" s="93">
        <f>ДЕКАБРЬ!Z19+ЯНВАРЬ!Z19+ФЕВРАЛЬ!Z19+МАРТ!Z19+АПРЕЛЬ!Z19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ДЕКАБРЬ!AE19+ЯНВАРЬ!AE19+ФЕВРАЛЬ!AE19+МАРТ!AE19+АПРЕЛЬ!AE19</f>
        <v>0</v>
      </c>
      <c r="AF19" s="234">
        <f t="shared" si="6"/>
        <v>0</v>
      </c>
      <c r="AG19" s="93">
        <f>ДЕКАБРЬ!AG19+ЯНВАРЬ!AG19+ФЕВРАЛЬ!AG19+МАРТ!AG19+АПРЕЛЬ!AG19</f>
        <v>0</v>
      </c>
      <c r="AH19" s="93">
        <f>ДЕКАБРЬ!AH19+ЯНВАРЬ!AH19+ФЕВРАЛЬ!AH19+МАРТ!AH19+АПРЕЛЬ!AH19</f>
        <v>0</v>
      </c>
      <c r="AI19" s="93">
        <f>ДЕКАБРЬ!AI19+ЯНВАРЬ!AI19+ФЕВРАЛЬ!AI19+МАРТ!AI19+АПРЕЛЬ!AI19</f>
        <v>0</v>
      </c>
      <c r="AJ19" s="93">
        <f>АПРЕЛЬ!AJ19</f>
        <v>0</v>
      </c>
      <c r="AK19" s="93"/>
      <c r="AL19" s="93">
        <f>ДЕКАБРЬ!AL19+ЯНВАРЬ!AL19+ФЕВРАЛЬ!AL19+МАРТ!AL19+АПРЕЛЬ!AL19</f>
        <v>0</v>
      </c>
      <c r="AM19" s="93">
        <f>ДЕКАБРЬ!AM19+ЯНВАРЬ!AM19+ФЕВРАЛЬ!AM19+МАРТ!AM19+АПРЕЛЬ!AM19</f>
        <v>0</v>
      </c>
      <c r="AN19" s="93">
        <f>ДЕКАБРЬ!AN19+ЯНВАРЬ!AN19+ФЕВРАЛЬ!AN19+МАРТ!AN19+АПРЕЛЬ!AN19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ДЕКАБРЬ!N20+ЯНВАРЬ!N20+ФЕВРАЛЬ!N20+МАРТ!N20+АПРЕЛЬ!N20</f>
        <v>44</v>
      </c>
      <c r="O20" s="89"/>
      <c r="P20" s="89"/>
      <c r="Q20" s="233"/>
      <c r="R20" s="92"/>
      <c r="S20" s="93">
        <f>ДЕКАБРЬ!S20+ЯНВАРЬ!S20+ФЕВРАЛЬ!S20+МАРТ!S20+АПРЕЛЬ!S20</f>
        <v>29</v>
      </c>
      <c r="T20" s="93">
        <f>ДЕКАБРЬ!T20+ЯНВАРЬ!T20+ФЕВРАЛЬ!T20+МАРТ!T20+АПРЕЛЬ!T20</f>
        <v>-1</v>
      </c>
      <c r="U20" s="92">
        <f t="shared" si="1"/>
        <v>28</v>
      </c>
      <c r="V20" s="93">
        <f>ДЕКАБРЬ!V20+ЯНВАРЬ!V20+ФЕВРАЛЬ!V20+МАРТ!V20+АПРЕЛЬ!V20</f>
        <v>24652.95</v>
      </c>
      <c r="W20" s="93">
        <f>ДЕКАБРЬ!W20+ЯНВАРЬ!W20+ФЕВРАЛЬ!W20+МАРТ!W20+АПРЕЛЬ!W20</f>
        <v>-824</v>
      </c>
      <c r="X20" s="92">
        <f t="shared" si="2"/>
        <v>23828.95</v>
      </c>
      <c r="Y20" s="93">
        <f>ДЕКАБРЬ!Y20+ЯНВАРЬ!Y20+ФЕВРАЛЬ!Y20+МАРТ!Y20+АПРЕЛЬ!Y20</f>
        <v>35938.76</v>
      </c>
      <c r="Z20" s="93">
        <f>ДЕКАБРЬ!Z20+ЯНВАРЬ!Z20+ФЕВРАЛЬ!Z20+МАРТ!Z20+АПРЕЛЬ!Z20</f>
        <v>-1201</v>
      </c>
      <c r="AA20" s="232">
        <f t="shared" si="3"/>
        <v>34737.760000000002</v>
      </c>
      <c r="AB20" s="92">
        <f t="shared" si="14"/>
        <v>0</v>
      </c>
      <c r="AC20" s="234">
        <f t="shared" si="4"/>
        <v>7.8677078807979511E-4</v>
      </c>
      <c r="AD20" s="92">
        <f t="shared" si="5"/>
        <v>3282.72</v>
      </c>
      <c r="AE20" s="93">
        <f>ДЕКАБРЬ!AE20+ЯНВАРЬ!AE20+ФЕВРАЛЬ!AE20+МАРТ!AE20+АПРЕЛЬ!AE20</f>
        <v>13167.64</v>
      </c>
      <c r="AF20" s="234">
        <f t="shared" si="6"/>
        <v>0.37905840791116063</v>
      </c>
      <c r="AG20" s="93">
        <f>ДЕКАБРЬ!AG20+ЯНВАРЬ!AG20+ФЕВРАЛЬ!AG20+МАРТ!AG20+АПРЕЛЬ!AG20</f>
        <v>2480.5499999999997</v>
      </c>
      <c r="AH20" s="93">
        <f>ДЕКАБРЬ!AH20+ЯНВАРЬ!AH20+ФЕВРАЛЬ!AH20+МАРТ!AH20+АПРЕЛЬ!AH20</f>
        <v>0</v>
      </c>
      <c r="AI20" s="93">
        <f>ДЕКАБРЬ!AI20+ЯНВАРЬ!AI20+ФЕВРАЛЬ!AI20+МАРТ!AI20+АПРЕЛЬ!AI20</f>
        <v>8200</v>
      </c>
      <c r="AJ20" s="93">
        <f>АПРЕЛЬ!AJ20</f>
        <v>0</v>
      </c>
      <c r="AK20" s="93"/>
      <c r="AL20" s="93">
        <f>ДЕКАБРЬ!AL20+ЯНВАРЬ!AL20+ФЕВРАЛЬ!AL20+МАРТ!AL20+АПРЕЛЬ!AL20</f>
        <v>723.18417718554144</v>
      </c>
      <c r="AM20" s="93">
        <f>ДЕКАБРЬ!AM20+ЯНВАРЬ!AM20+ФЕВРАЛЬ!AM20+МАРТ!AM20+АПРЕЛЬ!AM20</f>
        <v>0</v>
      </c>
      <c r="AN20" s="93">
        <f>ДЕКАБРЬ!AN20+ЯНВАРЬ!AN20+ФЕВРАЛЬ!AN20+МАРТ!AN20+АПРЕЛЬ!AN20</f>
        <v>1353.8289436960868</v>
      </c>
      <c r="AO20" s="95">
        <f t="shared" si="15"/>
        <v>5529.8368791183739</v>
      </c>
      <c r="AP20" s="96"/>
      <c r="AQ20" s="97">
        <f t="shared" si="7"/>
        <v>1240.6342857142859</v>
      </c>
      <c r="AR20" s="98">
        <f>K20</f>
        <v>117.24</v>
      </c>
      <c r="AS20" s="98">
        <f t="shared" si="9"/>
        <v>470.27285714285711</v>
      </c>
      <c r="AT20" s="98">
        <f t="shared" si="10"/>
        <v>85.536206896551718</v>
      </c>
      <c r="AU20" s="98">
        <f t="shared" si="16"/>
        <v>282.75862068965517</v>
      </c>
      <c r="AV20" s="98">
        <f t="array" ref="AV20">_xlfn.IFS(U20=0,AO20,U20&lt;0,AO20/-U20,U20&gt;0,AO20/U20)</f>
        <v>197.49417425422763</v>
      </c>
      <c r="AW20" s="234">
        <f t="shared" si="23"/>
        <v>0.15918806736871846</v>
      </c>
      <c r="AX20" s="234">
        <f t="shared" si="24"/>
        <v>1.6845289513325454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ДЕКАБРЬ!N21+ЯНВАРЬ!N21+ФЕВРАЛЬ!N21+МАРТ!N21+АПРЕЛЬ!N21</f>
        <v>47</v>
      </c>
      <c r="O21" s="89"/>
      <c r="P21" s="89"/>
      <c r="Q21" s="233"/>
      <c r="R21" s="92"/>
      <c r="S21" s="93">
        <f>ДЕКАБРЬ!S21+ЯНВАРЬ!S21+ФЕВРАЛЬ!S21+МАРТ!S21+АПРЕЛЬ!S21</f>
        <v>24</v>
      </c>
      <c r="T21" s="93">
        <f>ДЕКАБРЬ!T21+ЯНВАРЬ!T21+ФЕВРАЛЬ!T21+МАРТ!T21+АПРЕЛЬ!T21</f>
        <v>-2</v>
      </c>
      <c r="U21" s="92">
        <f t="shared" si="1"/>
        <v>22</v>
      </c>
      <c r="V21" s="93">
        <f>ДЕКАБРЬ!V21+ЯНВАРЬ!V21+ФЕВРАЛЬ!V21+МАРТ!V21+АПРЕЛЬ!V21</f>
        <v>19836.559999999998</v>
      </c>
      <c r="W21" s="93">
        <f>ДЕКАБРЬ!W21+ЯНВАРЬ!W21+ФЕВРАЛЬ!W21+МАРТ!W21+АПРЕЛЬ!W21</f>
        <v>-1674</v>
      </c>
      <c r="X21" s="92">
        <f t="shared" si="2"/>
        <v>18162.559999999998</v>
      </c>
      <c r="Y21" s="93">
        <f>ДЕКАБРЬ!Y21+ЯНВАРЬ!Y21+ФЕВРАЛЬ!Y21+МАРТ!Y21+АПРЕЛЬ!Y21</f>
        <v>29247.510000000002</v>
      </c>
      <c r="Z21" s="93">
        <f>ДЕКАБРЬ!Z21+ЯНВАРЬ!Z21+ФЕВРАЛЬ!Z21+МАРТ!Z21+АПРЕЛЬ!Z21</f>
        <v>-2458</v>
      </c>
      <c r="AA21" s="232">
        <f t="shared" si="3"/>
        <v>26789.510000000002</v>
      </c>
      <c r="AB21" s="92">
        <f t="shared" si="14"/>
        <v>0</v>
      </c>
      <c r="AC21" s="234">
        <f t="shared" si="4"/>
        <v>6.0675195795501934E-4</v>
      </c>
      <c r="AD21" s="92">
        <f t="shared" si="5"/>
        <v>2579.2799999999997</v>
      </c>
      <c r="AE21" s="93">
        <f>ДЕКАБРЬ!AE21+ЯНВАРЬ!AE21+ФЕВРАЛЬ!AE21+МАРТ!AE21+АПРЕЛЬ!AE21</f>
        <v>10168.009999999998</v>
      </c>
      <c r="AF21" s="234">
        <f t="shared" si="6"/>
        <v>0.37955192162902562</v>
      </c>
      <c r="AG21" s="93">
        <f>ДЕКАБРЬ!AG21+ЯНВАРЬ!AG21+ФЕВРАЛЬ!AG21+МАРТ!AG21+АПРЕЛЬ!AG21</f>
        <v>2922</v>
      </c>
      <c r="AH21" s="93">
        <f>ДЕКАБРЬ!AH21+ЯНВАРЬ!AH21+ФЕВРАЛЬ!AH21+МАРТ!AH21+АПРЕЛЬ!AH21</f>
        <v>791</v>
      </c>
      <c r="AI21" s="93">
        <f>ДЕКАБРЬ!AI21+ЯНВАРЬ!AI21+ФЕВРАЛЬ!AI21+МАРТ!AI21+АПРЕЛЬ!AI21</f>
        <v>9907</v>
      </c>
      <c r="AJ21" s="93">
        <f>АПРЕЛЬ!AJ21</f>
        <v>0</v>
      </c>
      <c r="AK21" s="93"/>
      <c r="AL21" s="93">
        <f>ДЕКАБРЬ!AL21+ЯНВАРЬ!AL21+ФЕВРАЛЬ!AL21+МАРТ!AL21+АПРЕЛЬ!AL21</f>
        <v>694.10212463395794</v>
      </c>
      <c r="AM21" s="93">
        <f>ДЕКАБРЬ!AM21+ЯНВАРЬ!AM21+ФЕВРАЛЬ!AM21+МАРТ!AM21+АПРЕЛЬ!AM21</f>
        <v>0</v>
      </c>
      <c r="AN21" s="93">
        <f>ДЕКАБРЬ!AN21+ЯНВАРЬ!AN21+ФЕВРАЛЬ!AN21+МАРТ!AN21+АПРЕЛЬ!AN21</f>
        <v>1037.0821759999999</v>
      </c>
      <c r="AO21" s="95">
        <f t="shared" si="15"/>
        <v>-1308.9643006339529</v>
      </c>
      <c r="AP21" s="96"/>
      <c r="AQ21" s="97">
        <f t="shared" si="7"/>
        <v>1217.7050000000002</v>
      </c>
      <c r="AR21" s="98">
        <f t="shared" ref="AR21:AR98" si="26">K21</f>
        <v>117.24</v>
      </c>
      <c r="AS21" s="98">
        <f t="shared" si="9"/>
        <v>462.18227272727268</v>
      </c>
      <c r="AT21" s="98">
        <f t="shared" si="10"/>
        <v>121.75</v>
      </c>
      <c r="AU21" s="98">
        <f t="shared" si="16"/>
        <v>445.75</v>
      </c>
      <c r="AV21" s="98">
        <f t="array" ref="AV21">_xlfn.IFS(U21=0,AO21,U21&lt;0,AO21/-U21,U21&gt;0,AO21/U21)</f>
        <v>-59.498377301543314</v>
      </c>
      <c r="AW21" s="234">
        <f t="shared" si="23"/>
        <v>-4.8861076616703802E-2</v>
      </c>
      <c r="AX21" s="234">
        <f t="shared" si="24"/>
        <v>-0.50749212983233805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ДЕКАБРЬ!N22+ЯНВАРЬ!N22+ФЕВРАЛЬ!N22+МАРТ!N22+АПРЕЛЬ!N22</f>
        <v>61</v>
      </c>
      <c r="O22" s="89"/>
      <c r="P22" s="89"/>
      <c r="Q22" s="233"/>
      <c r="R22" s="92"/>
      <c r="S22" s="93">
        <f>ДЕКАБРЬ!S22+ЯНВАРЬ!S22+ФЕВРАЛЬ!S22+МАРТ!S22+АПРЕЛЬ!S22</f>
        <v>36</v>
      </c>
      <c r="T22" s="93">
        <f>ДЕКАБРЬ!T22+ЯНВАРЬ!T22+ФЕВРАЛЬ!T22+МАРТ!T22+АПРЕЛЬ!T22</f>
        <v>0</v>
      </c>
      <c r="U22" s="92">
        <f t="shared" si="1"/>
        <v>36</v>
      </c>
      <c r="V22" s="93">
        <f>ДЕКАБРЬ!V22+ЯНВАРЬ!V22+ФЕВРАЛЬ!V22+МАРТ!V22+АПРЕЛЬ!V22</f>
        <v>28873.57</v>
      </c>
      <c r="W22" s="93">
        <f>ДЕКАБРЬ!W22+ЯНВАРЬ!W22+ФЕВРАЛЬ!W22+МАРТ!W22+АПРЕЛЬ!W22</f>
        <v>0</v>
      </c>
      <c r="X22" s="92">
        <f t="shared" si="2"/>
        <v>28873.57</v>
      </c>
      <c r="Y22" s="93">
        <f>ДЕКАБРЬ!Y22+ЯНВАРЬ!Y22+ФЕВРАЛЬ!Y22+МАРТ!Y22+АПРЕЛЬ!Y22</f>
        <v>43224.009999999995</v>
      </c>
      <c r="Z22" s="93">
        <f>ДЕКАБРЬ!Z22+ЯНВАРЬ!Z22+ФЕВРАЛЬ!Z22+МАРТ!Z22+АПРЕЛЬ!Z22</f>
        <v>0</v>
      </c>
      <c r="AA22" s="232">
        <f t="shared" si="3"/>
        <v>43224.009999999995</v>
      </c>
      <c r="AB22" s="92">
        <f t="shared" si="14"/>
        <v>0</v>
      </c>
      <c r="AC22" s="234">
        <f t="shared" si="4"/>
        <v>9.7897470682245893E-4</v>
      </c>
      <c r="AD22" s="92">
        <f t="shared" si="5"/>
        <v>4220.6399999999994</v>
      </c>
      <c r="AE22" s="93">
        <f>ДЕКАБРЬ!AE22+ЯНВАРЬ!AE22+ФЕВРАЛЬ!AE22+МАРТ!AE22+АПРЕЛЬ!AE22</f>
        <v>16353.289999999999</v>
      </c>
      <c r="AF22" s="234">
        <f t="shared" si="6"/>
        <v>0.37833810421568942</v>
      </c>
      <c r="AG22" s="93">
        <f>ДЕКАБРЬ!AG22+ЯНВАРЬ!AG22+ФЕВРАЛЬ!AG22+МАРТ!AG22+АПРЕЛЬ!AG22</f>
        <v>3749.74</v>
      </c>
      <c r="AH22" s="93">
        <f>ДЕКАБРЬ!AH22+ЯНВАРЬ!AH22+ФЕВРАЛЬ!AH22+МАРТ!AH22+АПРЕЛЬ!AH22</f>
        <v>0</v>
      </c>
      <c r="AI22" s="93">
        <f>ДЕКАБРЬ!AI22+ЯНВАРЬ!AI22+ФЕВРАЛЬ!AI22+МАРТ!AI22+АПРЕЛЬ!AI22</f>
        <v>9000</v>
      </c>
      <c r="AJ22" s="93">
        <f>АПРЕЛЬ!AJ22</f>
        <v>0</v>
      </c>
      <c r="AK22" s="93"/>
      <c r="AL22" s="93">
        <f>ДЕКАБРЬ!AL22+ЯНВАРЬ!AL22+ФЕВРАЛЬ!AL22+МАРТ!AL22+АПРЕЛЬ!AL22</f>
        <v>675.41478549504143</v>
      </c>
      <c r="AM22" s="93">
        <f>ДЕКАБРЬ!AM22+ЯНВАРЬ!AM22+ФЕВРАЛЬ!AM22+МАРТ!AM22+АПРЕЛЬ!AM22</f>
        <v>0</v>
      </c>
      <c r="AN22" s="93">
        <f>ДЕКАБРЬ!AN22+ЯНВАРЬ!AN22+ФЕВРАЛЬ!AN22+МАРТ!AN22+АПРЕЛЬ!AN22</f>
        <v>1645.8272470867964</v>
      </c>
      <c r="AO22" s="95">
        <f t="shared" si="15"/>
        <v>7579.0979674181599</v>
      </c>
      <c r="AP22" s="96"/>
      <c r="AQ22" s="97">
        <f t="shared" si="7"/>
        <v>1200.6669444444442</v>
      </c>
      <c r="AR22" s="98">
        <f t="shared" si="26"/>
        <v>117.24</v>
      </c>
      <c r="AS22" s="98">
        <f t="shared" si="9"/>
        <v>454.25805555555553</v>
      </c>
      <c r="AT22" s="98">
        <f t="shared" si="10"/>
        <v>104.15944444444443</v>
      </c>
      <c r="AU22" s="98">
        <f t="shared" si="16"/>
        <v>250</v>
      </c>
      <c r="AV22" s="98">
        <f t="array" ref="AV22">_xlfn.IFS(U22=0,AO22,U22&lt;0,AO22/-U22,U22&gt;0,AO22/U22)</f>
        <v>210.53049909494888</v>
      </c>
      <c r="AW22" s="234">
        <f t="shared" si="23"/>
        <v>0.17534462830769662</v>
      </c>
      <c r="AX22" s="234">
        <f t="shared" si="24"/>
        <v>1.7957224419562341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ДЕКАБРЬ!N23+ЯНВАРЬ!N23+ФЕВРАЛЬ!N23+МАРТ!N23+АПРЕЛЬ!N23</f>
        <v>0</v>
      </c>
      <c r="O23" s="89"/>
      <c r="P23" s="89"/>
      <c r="Q23" s="233"/>
      <c r="R23" s="92"/>
      <c r="S23" s="93">
        <f>ДЕКАБРЬ!S23+ЯНВАРЬ!S23+ФЕВРАЛЬ!S23+МАРТ!S23+АПРЕЛЬ!S23</f>
        <v>0</v>
      </c>
      <c r="T23" s="93">
        <f>ДЕКАБРЬ!T23+ЯНВАРЬ!T23+ФЕВРАЛЬ!T23+МАРТ!T23+АПРЕЛЬ!T23</f>
        <v>0</v>
      </c>
      <c r="U23" s="92">
        <f t="shared" si="1"/>
        <v>0</v>
      </c>
      <c r="V23" s="93">
        <f>ДЕКАБРЬ!V23+ЯНВАРЬ!V23+ФЕВРАЛЬ!V23+МАРТ!V23+АПРЕЛЬ!V23</f>
        <v>0</v>
      </c>
      <c r="W23" s="93">
        <f>ДЕКАБРЬ!W23+ЯНВАРЬ!W23+ФЕВРАЛЬ!W23+МАРТ!W23+АПРЕЛЬ!W23</f>
        <v>0</v>
      </c>
      <c r="X23" s="92">
        <f t="shared" si="2"/>
        <v>0</v>
      </c>
      <c r="Y23" s="93">
        <f>ДЕКАБРЬ!Y23+ЯНВАРЬ!Y23+ФЕВРАЛЬ!Y23+МАРТ!Y23+АПРЕЛЬ!Y23</f>
        <v>0</v>
      </c>
      <c r="Z23" s="93">
        <f>ДЕКАБРЬ!Z23+ЯНВАРЬ!Z23+ФЕВРАЛЬ!Z23+МАРТ!Z23+АПРЕЛЬ!Z23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ДЕКАБРЬ!AE23+ЯНВАРЬ!AE23+ФЕВРАЛЬ!AE23+МАРТ!AE23+АПРЕЛЬ!AE23</f>
        <v>0</v>
      </c>
      <c r="AF23" s="234">
        <f t="shared" si="6"/>
        <v>0</v>
      </c>
      <c r="AG23" s="93">
        <f>ДЕКАБРЬ!AG23+ЯНВАРЬ!AG23+ФЕВРАЛЬ!AG23+МАРТ!AG23+АПРЕЛЬ!AG23</f>
        <v>0</v>
      </c>
      <c r="AH23" s="93">
        <f>ДЕКАБРЬ!AH23+ЯНВАРЬ!AH23+ФЕВРАЛЬ!AH23+МАРТ!AH23+АПРЕЛЬ!AH23</f>
        <v>0</v>
      </c>
      <c r="AI23" s="93">
        <f>ДЕКАБРЬ!AI23+ЯНВАРЬ!AI23+ФЕВРАЛЬ!AI23+МАРТ!AI23+АПРЕЛЬ!AI23</f>
        <v>0</v>
      </c>
      <c r="AJ23" s="93">
        <f>АПРЕЛЬ!AJ23</f>
        <v>0</v>
      </c>
      <c r="AK23" s="93"/>
      <c r="AL23" s="93">
        <f>ДЕКАБРЬ!AL23+ЯНВАРЬ!AL23+ФЕВРАЛЬ!AL23+МАРТ!AL23+АПРЕЛЬ!AL23</f>
        <v>0</v>
      </c>
      <c r="AM23" s="93">
        <f>ДЕКАБРЬ!AM23+ЯНВАРЬ!AM23+ФЕВРАЛЬ!AM23+МАРТ!AM23+АПРЕЛЬ!AM23</f>
        <v>0</v>
      </c>
      <c r="AN23" s="93">
        <f>ДЕКАБРЬ!AN23+ЯНВАРЬ!AN23+ФЕВРАЛЬ!AN23+МАРТ!AN23+АПРЕЛЬ!AN23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ДЕКАБРЬ!N24+ЯНВАРЬ!N24+ФЕВРАЛЬ!N24+МАРТ!N24+АПРЕЛЬ!N24</f>
        <v>8</v>
      </c>
      <c r="O24" s="89"/>
      <c r="P24" s="89"/>
      <c r="Q24" s="233"/>
      <c r="R24" s="92"/>
      <c r="S24" s="93">
        <f>ДЕКАБРЬ!S24+ЯНВАРЬ!S24+ФЕВРАЛЬ!S24+МАРТ!S24+АПРЕЛЬ!S24</f>
        <v>7</v>
      </c>
      <c r="T24" s="93">
        <f>ДЕКАБРЬ!T24+ЯНВАРЬ!T24+ФЕВРАЛЬ!T24+МАРТ!T24+АПРЕЛЬ!T24</f>
        <v>0</v>
      </c>
      <c r="U24" s="92">
        <f t="shared" si="1"/>
        <v>7</v>
      </c>
      <c r="V24" s="93">
        <f>ДЕКАБРЬ!V24+ЯНВАРЬ!V24+ФЕВРАЛЬ!V24+МАРТ!V24+АПРЕЛЬ!V24</f>
        <v>4956.21</v>
      </c>
      <c r="W24" s="93">
        <f>ДЕКАБРЬ!W24+ЯНВАРЬ!W24+ФЕВРАЛЬ!W24+МАРТ!W24+АПРЕЛЬ!W24</f>
        <v>0</v>
      </c>
      <c r="X24" s="92">
        <f t="shared" si="2"/>
        <v>4956.21</v>
      </c>
      <c r="Y24" s="93">
        <f>ДЕКАБРЬ!Y24+ЯНВАРЬ!Y24+ФЕВРАЛЬ!Y24+МАРТ!Y24+АПРЕЛЬ!Y24</f>
        <v>6518.22</v>
      </c>
      <c r="Z24" s="93">
        <f>ДЕКАБРЬ!Z24+ЯНВАРЬ!Z24+ФЕВРАЛЬ!Z24+МАРТ!Z24+АПРЕЛЬ!Z24</f>
        <v>0</v>
      </c>
      <c r="AA24" s="232">
        <f t="shared" si="3"/>
        <v>6518.22</v>
      </c>
      <c r="AB24" s="92">
        <f t="shared" si="14"/>
        <v>0</v>
      </c>
      <c r="AC24" s="234">
        <f t="shared" si="4"/>
        <v>1.4763027570797546E-4</v>
      </c>
      <c r="AD24" s="92">
        <f t="shared" si="5"/>
        <v>820.68</v>
      </c>
      <c r="AE24" s="93">
        <f>ДЕКАБРЬ!AE24+ЯНВАРЬ!AE24+ФЕВРАЛЬ!AE24+МАРТ!AE24+АПРЕЛЬ!AE24</f>
        <v>2447.1400000000003</v>
      </c>
      <c r="AF24" s="234">
        <f t="shared" si="6"/>
        <v>0.37543071574755077</v>
      </c>
      <c r="AG24" s="93">
        <f>ДЕКАБРЬ!AG24+ЯНВАРЬ!AG24+ФЕВРАЛЬ!AG24+МАРТ!AG24+АПРЕЛЬ!AG24</f>
        <v>714.59</v>
      </c>
      <c r="AH24" s="93">
        <f>ДЕКАБРЬ!AH24+ЯНВАРЬ!AH24+ФЕВРАЛЬ!AH24+МАРТ!AH24+АПРЕЛЬ!AH24</f>
        <v>0</v>
      </c>
      <c r="AI24" s="93">
        <f>ДЕКАБРЬ!AI24+ЯНВАРЬ!AI24+ФЕВРАЛЬ!AI24+МАРТ!AI24+АПРЕЛЬ!AI24</f>
        <v>0</v>
      </c>
      <c r="AJ24" s="93">
        <f>АПРЕЛЬ!AJ24</f>
        <v>0</v>
      </c>
      <c r="AK24" s="93"/>
      <c r="AL24" s="93">
        <f>ДЕКАБРЬ!AL24+ЯНВАРЬ!AL24+ФЕВРАЛЬ!AL24+МАРТ!AL24+АПРЕЛЬ!AL24</f>
        <v>97.169640573710225</v>
      </c>
      <c r="AM24" s="93">
        <f>ДЕКАБРЬ!AM24+ЯНВАРЬ!AM24+ФЕВРАЛЬ!AM24+МАРТ!AM24+АПРЕЛЬ!AM24</f>
        <v>0</v>
      </c>
      <c r="AN24" s="93">
        <f>ДЕКАБРЬ!AN24+ЯНВАРЬ!AN24+ФЕВРАЛЬ!AN24+МАРТ!AN24+АПРЕЛЬ!AN24</f>
        <v>268.37253629169481</v>
      </c>
      <c r="AO24" s="95">
        <f t="shared" si="15"/>
        <v>2170.2678231345944</v>
      </c>
      <c r="AP24" s="96"/>
      <c r="AQ24" s="97">
        <f t="shared" si="7"/>
        <v>931.1742857142857</v>
      </c>
      <c r="AR24" s="98">
        <f t="shared" si="26"/>
        <v>117.24</v>
      </c>
      <c r="AS24" s="98">
        <f t="shared" si="9"/>
        <v>349.59142857142859</v>
      </c>
      <c r="AT24" s="98">
        <f t="shared" si="10"/>
        <v>102.08428571428571</v>
      </c>
      <c r="AU24" s="98">
        <f t="shared" si="16"/>
        <v>0</v>
      </c>
      <c r="AV24" s="98">
        <f t="array" ref="AV24">_xlfn.IFS(U24=0,AO24,U24&lt;0,AO24/-U24,U24&gt;0,AO24/U24)</f>
        <v>310.03826044779919</v>
      </c>
      <c r="AW24" s="234">
        <f t="shared" si="23"/>
        <v>0.33295406155892165</v>
      </c>
      <c r="AX24" s="234">
        <f t="shared" si="24"/>
        <v>2.644475097644142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ДЕКАБРЬ!N25+ЯНВАРЬ!N25+ФЕВРАЛЬ!N25+МАРТ!N25+АПРЕЛЬ!N25</f>
        <v>15</v>
      </c>
      <c r="O25" s="89"/>
      <c r="P25" s="89"/>
      <c r="Q25" s="233"/>
      <c r="R25" s="92"/>
      <c r="S25" s="93">
        <f>ДЕКАБРЬ!S25+ЯНВАРЬ!S25+ФЕВРАЛЬ!S25+МАРТ!S25+АПРЕЛЬ!S25</f>
        <v>12</v>
      </c>
      <c r="T25" s="93">
        <f>ДЕКАБРЬ!T25+ЯНВАРЬ!T25+ФЕВРАЛЬ!T25+МАРТ!T25+АПРЕЛЬ!T25</f>
        <v>0</v>
      </c>
      <c r="U25" s="92">
        <f t="shared" si="1"/>
        <v>12</v>
      </c>
      <c r="V25" s="93">
        <f>ДЕКАБРЬ!V25+ЯНВАРЬ!V25+ФЕВРАЛЬ!V25+МАРТ!V25+АПРЕЛЬ!V25</f>
        <v>7525.98</v>
      </c>
      <c r="W25" s="93">
        <f>ДЕКАБРЬ!W25+ЯНВАРЬ!W25+ФЕВРАЛЬ!W25+МАРТ!W25+АПРЕЛЬ!W25</f>
        <v>0</v>
      </c>
      <c r="X25" s="92">
        <f t="shared" si="2"/>
        <v>7525.98</v>
      </c>
      <c r="Y25" s="93">
        <f>ДЕКАБРЬ!Y25+ЯНВАРЬ!Y25+ФЕВРАЛЬ!Y25+МАРТ!Y25+АПРЕЛЬ!Y25</f>
        <v>11000.69</v>
      </c>
      <c r="Z25" s="93">
        <f>ДЕКАБРЬ!Z25+ЯНВАРЬ!Z25+ФЕВРАЛЬ!Z25+МАРТ!Z25+АПРЕЛЬ!Z25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2.4915312733813353E-4</v>
      </c>
      <c r="AD25" s="92">
        <f t="shared" si="5"/>
        <v>1406.8799999999999</v>
      </c>
      <c r="AE25" s="93">
        <f>ДЕКАБРЬ!AE25+ЯНВАРЬ!AE25+ФЕВРАЛЬ!AE25+МАРТ!AE25+АПРЕЛЬ!AE25</f>
        <v>4097.170000000001</v>
      </c>
      <c r="AF25" s="234">
        <f t="shared" si="6"/>
        <v>0.37244663743819711</v>
      </c>
      <c r="AG25" s="93">
        <f>ДЕКАБРЬ!AG25+ЯНВАРЬ!AG25+ФЕВРАЛЬ!AG25+МАРТ!AG25+АПРЕЛЬ!AG25</f>
        <v>971.49</v>
      </c>
      <c r="AH25" s="93">
        <f>ДЕКАБРЬ!AH25+ЯНВАРЬ!AH25+ФЕВРАЛЬ!AH25+МАРТ!AH25+АПРЕЛЬ!AH25</f>
        <v>0</v>
      </c>
      <c r="AI25" s="93">
        <f>ДЕКАБРЬ!AI25+ЯНВАРЬ!AI25+ФЕВРАЛЬ!AI25+МАРТ!AI25+АПРЕЛЬ!AI25</f>
        <v>0</v>
      </c>
      <c r="AJ25" s="93">
        <f>АПРЕЛЬ!AJ25</f>
        <v>0</v>
      </c>
      <c r="AK25" s="93"/>
      <c r="AL25" s="93">
        <f>ДЕКАБРЬ!AL25+ЯНВАРЬ!AL25+ФЕВРАЛЬ!AL25+МАРТ!AL25+АПРЕЛЬ!AL25</f>
        <v>38.472051404472026</v>
      </c>
      <c r="AM25" s="93">
        <f>ДЕКАБРЬ!AM25+ЯНВАРЬ!AM25+ФЕВРАЛЬ!AM25+МАРТ!AM25+АПРЕЛЬ!AM25</f>
        <v>0</v>
      </c>
      <c r="AN25" s="93">
        <f>ДЕКАБРЬ!AN25+ЯНВАРЬ!AN25+ФЕВРАЛЬ!AN25+МАРТ!AN25+АПРЕЛЬ!AN25</f>
        <v>428.82955078237967</v>
      </c>
      <c r="AO25" s="95">
        <f t="shared" si="15"/>
        <v>4057.8483978131489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338.15403315109575</v>
      </c>
      <c r="AW25" s="234">
        <f t="shared" si="23"/>
        <v>0.368872170546861</v>
      </c>
      <c r="AX25" s="234">
        <f t="shared" si="24"/>
        <v>2.8842889214525398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ДЕКАБРЬ!N26+ЯНВАРЬ!N26+ФЕВРАЛЬ!N26+МАРТ!N26+АПРЕЛЬ!N26</f>
        <v>1085</v>
      </c>
      <c r="O26" s="89"/>
      <c r="P26" s="89"/>
      <c r="Q26" s="233"/>
      <c r="R26" s="92"/>
      <c r="S26" s="93">
        <f>ДЕКАБРЬ!S26+ЯНВАРЬ!S26+ФЕВРАЛЬ!S26+МАРТ!S26+АПРЕЛЬ!S26</f>
        <v>321</v>
      </c>
      <c r="T26" s="93">
        <f>ДЕКАБРЬ!T26+ЯНВАРЬ!T26+ФЕВРАЛЬ!T26+МАРТ!T26+АПРЕЛЬ!T26</f>
        <v>-11</v>
      </c>
      <c r="U26" s="92">
        <f t="shared" si="1"/>
        <v>310</v>
      </c>
      <c r="V26" s="93">
        <f>ДЕКАБРЬ!V26+ЯНВАРЬ!V26+ФЕВРАЛЬ!V26+МАРТ!V26+АПРЕЛЬ!V26</f>
        <v>183668.09</v>
      </c>
      <c r="W26" s="93">
        <f>ДЕКАБРЬ!W26+ЯНВАРЬ!W26+ФЕВРАЛЬ!W26+МАРТ!W26+АПРЕЛЬ!W26</f>
        <v>-6256</v>
      </c>
      <c r="X26" s="92">
        <f t="shared" si="2"/>
        <v>177412.09</v>
      </c>
      <c r="Y26" s="93">
        <f>ДЕКАБРЬ!Y26+ЯНВАРЬ!Y26+ФЕВРАЛЬ!Y26+МАРТ!Y26+АПРЕЛЬ!Y26</f>
        <v>275920.73000000004</v>
      </c>
      <c r="Z26" s="93">
        <f>ДЕКАБРЬ!Z26+ЯНВАРЬ!Z26+ФЕВРАЛЬ!Z26+МАРТ!Z26+АПРЕЛЬ!Z26</f>
        <v>-9354.619999999999</v>
      </c>
      <c r="AA26" s="232">
        <f t="shared" si="3"/>
        <v>266566.11000000004</v>
      </c>
      <c r="AB26" s="92">
        <f t="shared" si="14"/>
        <v>0</v>
      </c>
      <c r="AC26" s="234">
        <f t="shared" si="4"/>
        <v>6.0374194663117423E-3</v>
      </c>
      <c r="AD26" s="92">
        <f t="shared" si="5"/>
        <v>38157.9</v>
      </c>
      <c r="AE26" s="93">
        <f>ДЕКАБРЬ!AE26+ЯНВАРЬ!AE26+ФЕВРАЛЬ!AE26+МАРТ!AE26+АПРЕЛЬ!AE26</f>
        <v>100027.63</v>
      </c>
      <c r="AF26" s="234">
        <f t="shared" si="6"/>
        <v>0.37524511274145084</v>
      </c>
      <c r="AG26" s="93">
        <f>ДЕКАБРЬ!AG26+ЯНВАРЬ!AG26+ФЕВРАЛЬ!AG26+МАРТ!AG26+АПРЕЛЬ!AG26</f>
        <v>93110.829999999929</v>
      </c>
      <c r="AH26" s="93">
        <f>ДЕКАБРЬ!AH26+ЯНВАРЬ!AH26+ФЕВРАЛЬ!AH26+МАРТ!AH26+АПРЕЛЬ!AH26</f>
        <v>24614</v>
      </c>
      <c r="AI26" s="93">
        <f>ДЕКАБРЬ!AI26+ЯНВАРЬ!AI26+ФЕВРАЛЬ!AI26+МАРТ!AI26+АПРЕЛЬ!AI26</f>
        <v>49438</v>
      </c>
      <c r="AJ26" s="93">
        <f>АПРЕЛЬ!AJ26</f>
        <v>0</v>
      </c>
      <c r="AK26" s="93"/>
      <c r="AL26" s="93">
        <f>ДЕКАБРЬ!AL26+ЯНВАРЬ!AL26+ФЕВРАЛЬ!AL26+МАРТ!AL26+АПРЕЛЬ!AL26</f>
        <v>4244.6351151510034</v>
      </c>
      <c r="AM26" s="93">
        <f>ДЕКАБРЬ!AM26+ЯНВАРЬ!AM26+ФЕВРАЛЬ!AM26+МАРТ!AM26+АПРЕЛЬ!AM26</f>
        <v>10</v>
      </c>
      <c r="AN26" s="93">
        <f>ДЕКАБРЬ!AN26+ЯНВАРЬ!AN26+ФЕВРАЛЬ!AN26+МАРТ!AN26+АПРЕЛЬ!AN26</f>
        <v>9997.2161030955158</v>
      </c>
      <c r="AO26" s="95">
        <f t="shared" si="15"/>
        <v>-53034.101218246404</v>
      </c>
      <c r="AP26" s="96"/>
      <c r="AQ26" s="97">
        <f t="shared" si="7"/>
        <v>859.89067741935503</v>
      </c>
      <c r="AR26" s="98">
        <f t="shared" si="26"/>
        <v>123.09</v>
      </c>
      <c r="AS26" s="98">
        <f t="shared" si="9"/>
        <v>322.66977419354839</v>
      </c>
      <c r="AT26" s="98">
        <f t="shared" si="10"/>
        <v>290.06489096573188</v>
      </c>
      <c r="AU26" s="98">
        <f t="shared" si="16"/>
        <v>230.69158878504672</v>
      </c>
      <c r="AV26" s="98">
        <f t="array" ref="AV26">_xlfn.IFS(U26=0,AO26,U26&lt;0,AO26/-U26,U26&gt;0,AO26/U26)</f>
        <v>-171.07774586531099</v>
      </c>
      <c r="AW26" s="234">
        <f t="shared" si="23"/>
        <v>-0.19895290222094023</v>
      </c>
      <c r="AX26" s="234">
        <f t="shared" si="24"/>
        <v>-1.3898590126355592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ДЕКАБРЬ!N27+ЯНВАРЬ!N27+ФЕВРАЛЬ!N27+МАРТ!N27+АПРЕЛЬ!N27</f>
        <v>140</v>
      </c>
      <c r="O27" s="89"/>
      <c r="P27" s="89"/>
      <c r="Q27" s="233"/>
      <c r="R27" s="92"/>
      <c r="S27" s="93">
        <f>ДЕКАБРЬ!S27+ЯНВАРЬ!S27+ФЕВРАЛЬ!S27+МАРТ!S27+АПРЕЛЬ!S27</f>
        <v>76</v>
      </c>
      <c r="T27" s="93">
        <f>ДЕКАБРЬ!T27+ЯНВАРЬ!T27+ФЕВРАЛЬ!T27+МАРТ!T27+АПРЕЛЬ!T27</f>
        <v>0</v>
      </c>
      <c r="U27" s="92">
        <f t="shared" si="1"/>
        <v>76</v>
      </c>
      <c r="V27" s="93">
        <f>ДЕКАБРЬ!V27+ЯНВАРЬ!V27+ФЕВРАЛЬ!V27+МАРТ!V27+АПРЕЛЬ!V27</f>
        <v>22271.89</v>
      </c>
      <c r="W27" s="93">
        <f>ДЕКАБРЬ!W27+ЯНВАРЬ!W27+ФЕВРАЛЬ!W27+МАРТ!W27+АПРЕЛЬ!W27</f>
        <v>0</v>
      </c>
      <c r="X27" s="92">
        <f t="shared" si="2"/>
        <v>22271.89</v>
      </c>
      <c r="Y27" s="93">
        <f>ДЕКАБРЬ!Y27+ЯНВАРЬ!Y27+ФЕВРАЛЬ!Y27+МАРТ!Y27+АПРЕЛЬ!Y27</f>
        <v>35855.32</v>
      </c>
      <c r="Z27" s="93">
        <f>ДЕКАБРЬ!Z27+ЯНВАРЬ!Z27+ФЕВРАЛЬ!Z27+МАРТ!Z27+АПРЕЛЬ!Z27</f>
        <v>0</v>
      </c>
      <c r="AA27" s="232">
        <f t="shared" si="3"/>
        <v>35855.32</v>
      </c>
      <c r="AB27" s="92">
        <f t="shared" si="14"/>
        <v>0</v>
      </c>
      <c r="AC27" s="234">
        <f t="shared" si="4"/>
        <v>8.1208225208687145E-4</v>
      </c>
      <c r="AD27" s="92">
        <f t="shared" si="5"/>
        <v>13800.84</v>
      </c>
      <c r="AE27" s="93">
        <f>ДЕКАБРЬ!AE27+ЯНВАРЬ!AE27+ФЕВРАЛЬ!AE27+МАРТ!AE27+АПРЕЛЬ!AE27</f>
        <v>13050.38</v>
      </c>
      <c r="AF27" s="234">
        <f t="shared" si="6"/>
        <v>0.3639733239028406</v>
      </c>
      <c r="AG27" s="93">
        <f>ДЕКАБРЬ!AG27+ЯНВАРЬ!AG27+ФЕВРАЛЬ!AG27+МАРТ!AG27+АПРЕЛЬ!AG27</f>
        <v>9587.3000000000011</v>
      </c>
      <c r="AH27" s="93">
        <f>ДЕКАБРЬ!AH27+ЯНВАРЬ!AH27+ФЕВРАЛЬ!AH27+МАРТ!AH27+АПРЕЛЬ!AH27</f>
        <v>2000</v>
      </c>
      <c r="AI27" s="93">
        <f>ДЕКАБРЬ!AI27+ЯНВАРЬ!AI27+ФЕВРАЛЬ!AI27+МАРТ!AI27+АПРЕЛЬ!AI27</f>
        <v>2260</v>
      </c>
      <c r="AJ27" s="93">
        <f>АПРЕЛЬ!AJ27</f>
        <v>0</v>
      </c>
      <c r="AK27" s="93"/>
      <c r="AL27" s="93">
        <f>ДЕКАБРЬ!AL27+ЯНВАРЬ!AL27+ФЕВРАЛЬ!AL27+МАРТ!AL27+АПРЕЛЬ!AL27</f>
        <v>281.54178342768955</v>
      </c>
      <c r="AM27" s="93">
        <f>ДЕКАБРЬ!AM27+ЯНВАРЬ!AM27+ФЕВРАЛЬ!AM27+МАРТ!AM27+АПРЕЛЬ!AM27</f>
        <v>0</v>
      </c>
      <c r="AN27" s="93">
        <f>ДЕКАБРЬ!AN27+ЯНВАРЬ!AN27+ФЕВРАЛЬ!AN27+МАРТ!AN27+АПРЕЛЬ!AN27</f>
        <v>1248.2548025798683</v>
      </c>
      <c r="AO27" s="95">
        <f t="shared" si="15"/>
        <v>-6372.996586007559</v>
      </c>
      <c r="AP27" s="96"/>
      <c r="AQ27" s="97">
        <f t="shared" si="7"/>
        <v>471.78052631578947</v>
      </c>
      <c r="AR27" s="98">
        <f t="shared" si="26"/>
        <v>181.59</v>
      </c>
      <c r="AS27" s="98">
        <f t="shared" si="9"/>
        <v>171.71552631578948</v>
      </c>
      <c r="AT27" s="98">
        <f t="shared" si="10"/>
        <v>126.14868421052633</v>
      </c>
      <c r="AU27" s="98">
        <f t="shared" si="16"/>
        <v>56.05263157894737</v>
      </c>
      <c r="AV27" s="98">
        <f t="array" ref="AV27">_xlfn.IFS(U27=0,AO27,U27&lt;0,AO27/-U27,U27&gt;0,AO27/U27)</f>
        <v>-83.855218236941568</v>
      </c>
      <c r="AW27" s="234">
        <f t="shared" si="23"/>
        <v>-0.17774200832700862</v>
      </c>
      <c r="AX27" s="234">
        <f t="shared" si="24"/>
        <v>-0.46178323826720397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ДЕКАБРЬ!N28+ЯНВАРЬ!N28+ФЕВРАЛЬ!N28+МАРТ!N28+АПРЕЛЬ!N28</f>
        <v>3109</v>
      </c>
      <c r="O28" s="89"/>
      <c r="P28" s="89"/>
      <c r="Q28" s="233"/>
      <c r="R28" s="92"/>
      <c r="S28" s="93">
        <f>ДЕКАБРЬ!S28+ЯНВАРЬ!S28+ФЕВРАЛЬ!S28+МАРТ!S28+АПРЕЛЬ!S28</f>
        <v>1198</v>
      </c>
      <c r="T28" s="93">
        <f>ДЕКАБРЬ!T28+ЯНВАРЬ!T28+ФЕВРАЛЬ!T28+МАРТ!T28+АПРЕЛЬ!T28</f>
        <v>-48</v>
      </c>
      <c r="U28" s="92">
        <f t="shared" si="1"/>
        <v>1150</v>
      </c>
      <c r="V28" s="93">
        <f>ДЕКАБРЬ!V28+ЯНВАРЬ!V28+ФЕВРАЛЬ!V28+МАРТ!V28+АПРЕЛЬ!V28</f>
        <v>1087507.6399999999</v>
      </c>
      <c r="W28" s="93">
        <f>ДЕКАБРЬ!W28+ЯНВАРЬ!W28+ФЕВРАЛЬ!W28+МАРТ!W28+АПРЕЛЬ!W28</f>
        <v>-43572.46</v>
      </c>
      <c r="X28" s="92">
        <f t="shared" si="2"/>
        <v>1043935.1799999999</v>
      </c>
      <c r="Y28" s="93">
        <f>ДЕКАБРЬ!Y28+ЯНВАРЬ!Y28+ФЕВРАЛЬ!Y28+МАРТ!Y28+АПРЕЛЬ!Y28</f>
        <v>1655562.7099999997</v>
      </c>
      <c r="Z28" s="93">
        <f>ДЕКАБРЬ!Z28+ЯНВАРЬ!Z28+ФЕВРАЛЬ!Z28+МАРТ!Z28+АПРЕЛЬ!Z28</f>
        <v>-67546.45</v>
      </c>
      <c r="AA28" s="232">
        <f t="shared" si="3"/>
        <v>1588016.2599999998</v>
      </c>
      <c r="AB28" s="92">
        <f t="shared" si="14"/>
        <v>0</v>
      </c>
      <c r="AC28" s="234">
        <f t="shared" si="4"/>
        <v>3.5966763670533981E-2</v>
      </c>
      <c r="AD28" s="92">
        <f t="shared" si="5"/>
        <v>153663</v>
      </c>
      <c r="AE28" s="93">
        <f>ДЕКАБРЬ!AE28+ЯНВАРЬ!AE28+ФЕВРАЛЬ!AE28+МАРТ!AE28+АПРЕЛЬ!AE28</f>
        <v>592722.70999999985</v>
      </c>
      <c r="AF28" s="234">
        <f t="shared" si="6"/>
        <v>0.37324725503755229</v>
      </c>
      <c r="AG28" s="93">
        <f>ДЕКАБРЬ!AG28+ЯНВАРЬ!AG28+ФЕВРАЛЬ!AG28+МАРТ!AG28+АПРЕЛЬ!AG28</f>
        <v>273703.56000000011</v>
      </c>
      <c r="AH28" s="93">
        <f>ДЕКАБРЬ!AH28+ЯНВАРЬ!AH28+ФЕВРАЛЬ!AH28+МАРТ!AH28+АПРЕЛЬ!AH28</f>
        <v>49591</v>
      </c>
      <c r="AI28" s="93">
        <f>ДЕКАБРЬ!AI28+ЯНВАРЬ!AI28+ФЕВРАЛЬ!AI28+МАРТ!AI28+АПРЕЛЬ!AI28</f>
        <v>141075</v>
      </c>
      <c r="AJ28" s="93">
        <f>АПРЕЛЬ!AJ28</f>
        <v>8767</v>
      </c>
      <c r="AK28" s="93"/>
      <c r="AL28" s="93">
        <f>ДЕКАБРЬ!AL28+ЯНВАРЬ!AL28+ФЕВРАЛЬ!AL28+МАРТ!AL28+АПРЕЛЬ!AL28</f>
        <v>7333.6424383555295</v>
      </c>
      <c r="AM28" s="93">
        <f>ДЕКАБРЬ!AM28+ЯНВАРЬ!AM28+ФЕВРАЛЬ!AM28+МАРТ!AM28+АПРЕЛЬ!AM28</f>
        <v>1890</v>
      </c>
      <c r="AN28" s="93">
        <f>ДЕКАБРЬ!AN28+ЯНВАРЬ!AN28+ФЕВРАЛЬ!AN28+МАРТ!AN28+АПРЕЛЬ!AN28</f>
        <v>58699.473841439249</v>
      </c>
      <c r="AO28" s="95">
        <f t="shared" si="15"/>
        <v>300570.87372020498</v>
      </c>
      <c r="AP28" s="96"/>
      <c r="AQ28" s="97">
        <f t="shared" si="7"/>
        <v>1380.8837043478259</v>
      </c>
      <c r="AR28" s="98">
        <f t="shared" si="26"/>
        <v>133.62</v>
      </c>
      <c r="AS28" s="98">
        <f t="shared" si="9"/>
        <v>515.41105217391294</v>
      </c>
      <c r="AT28" s="98">
        <f t="shared" si="10"/>
        <v>228.46707846410695</v>
      </c>
      <c r="AU28" s="98">
        <f t="shared" si="16"/>
        <v>166.47161936560934</v>
      </c>
      <c r="AV28" s="98">
        <f>_xlfn.IFS(U28=0,AO28,U28&lt;0,AO28/-U28,U28&gt;0,AO28/U28)</f>
        <v>261.36597714800433</v>
      </c>
      <c r="AW28" s="234">
        <f t="shared" si="23"/>
        <v>0.18927443080476081</v>
      </c>
      <c r="AX28" s="234">
        <f t="shared" si="24"/>
        <v>1.9560393440203887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ДЕКАБРЬ!N29+ЯНВАРЬ!N29+ФЕВРАЛЬ!N29+МАРТ!N29+АПРЕЛЬ!N29</f>
        <v>7</v>
      </c>
      <c r="O29" s="89"/>
      <c r="P29" s="89"/>
      <c r="Q29" s="233"/>
      <c r="R29" s="92"/>
      <c r="S29" s="93">
        <f>ДЕКАБРЬ!S29+ЯНВАРЬ!S29+ФЕВРАЛЬ!S29+МАРТ!S29+АПРЕЛЬ!S29</f>
        <v>4</v>
      </c>
      <c r="T29" s="93">
        <f>ДЕКАБРЬ!T29+ЯНВАРЬ!T29+ФЕВРАЛЬ!T29+МАРТ!T29+АПРЕЛЬ!T29</f>
        <v>0</v>
      </c>
      <c r="U29" s="92">
        <f t="shared" si="1"/>
        <v>4</v>
      </c>
      <c r="V29" s="93">
        <f>ДЕКАБРЬ!V29+ЯНВАРЬ!V29+ФЕВРАЛЬ!V29+МАРТ!V29+АПРЕЛЬ!V29</f>
        <v>1281</v>
      </c>
      <c r="W29" s="93">
        <f>ДЕКАБРЬ!W29+ЯНВАРЬ!W29+ФЕВРАЛЬ!W29+МАРТ!W29+АПРЕЛЬ!W29</f>
        <v>0</v>
      </c>
      <c r="X29" s="92">
        <f t="shared" si="2"/>
        <v>1281</v>
      </c>
      <c r="Y29" s="93">
        <f>ДЕКАБРЬ!Y29+ЯНВАРЬ!Y29+ФЕВРАЛЬ!Y29+МАРТ!Y29+АПРЕЛЬ!Y29</f>
        <v>1942</v>
      </c>
      <c r="Z29" s="93">
        <f>ДЕКАБРЬ!Z29+ЯНВАРЬ!Z29+ФЕВРАЛЬ!Z29+МАРТ!Z29+АПРЕЛЬ!Z29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4.3984093115127802E-5</v>
      </c>
      <c r="AD29" s="92">
        <f t="shared" si="5"/>
        <v>445.56</v>
      </c>
      <c r="AE29" s="93">
        <f>ДЕКАБРЬ!AE29+ЯНВАРЬ!AE29+ФЕВРАЛЬ!AE29+МАРТ!AE29+АПРЕЛЬ!AE29</f>
        <v>728.3599999999999</v>
      </c>
      <c r="AF29" s="234">
        <f t="shared" si="6"/>
        <v>0.37505664263645722</v>
      </c>
      <c r="AG29" s="93">
        <f>ДЕКАБРЬ!AG29+ЯНВАРЬ!AG29+ФЕВРАЛЬ!AG29+МАРТ!AG29+АПРЕЛЬ!AG29</f>
        <v>527.99</v>
      </c>
      <c r="AH29" s="93">
        <f>ДЕКАБРЬ!AH29+ЯНВАРЬ!AH29+ФЕВРАЛЬ!AH29+МАРТ!AH29+АПРЕЛЬ!AH29</f>
        <v>0</v>
      </c>
      <c r="AI29" s="93">
        <f>ДЕКАБРЬ!AI29+ЯНВАРЬ!AI29+ФЕВРАЛЬ!AI29+МАРТ!AI29+АПРЕЛЬ!AI29</f>
        <v>0</v>
      </c>
      <c r="AJ29" s="93">
        <f>АПРЕЛЬ!AJ29</f>
        <v>0</v>
      </c>
      <c r="AK29" s="93"/>
      <c r="AL29" s="93">
        <f>ДЕКАБРЬ!AL29+ЯНВАРЬ!AL29+ФЕВРАЛЬ!AL29+МАРТ!AL29+АПРЕЛЬ!AL29</f>
        <v>6.9949184371767323</v>
      </c>
      <c r="AM29" s="93">
        <f>ДЕКАБРЬ!AM29+ЯНВАРЬ!AM29+ФЕВРАЛЬ!AM29+МАРТ!AM29+АПРЕЛЬ!AM29</f>
        <v>0</v>
      </c>
      <c r="AN29" s="93">
        <f>ДЕКАБРЬ!AN29+ЯНВАРЬ!AN29+ФЕВРАЛЬ!AN29+МАРТ!AN29+АПРЕЛЬ!AN29</f>
        <v>70.151775221268394</v>
      </c>
      <c r="AO29" s="95">
        <f t="shared" si="15"/>
        <v>162.94330634155503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ДЕКАБРЬ!N30+ЯНВАРЬ!N30+ФЕВРАЛЬ!N30+МАРТ!N30+АПРЕЛЬ!N30</f>
        <v>53</v>
      </c>
      <c r="O30" s="89"/>
      <c r="P30" s="89"/>
      <c r="Q30" s="233"/>
      <c r="R30" s="92"/>
      <c r="S30" s="93">
        <f>ДЕКАБРЬ!S30+ЯНВАРЬ!S30+ФЕВРАЛЬ!S30+МАРТ!S30+АПРЕЛЬ!S30</f>
        <v>24</v>
      </c>
      <c r="T30" s="93">
        <f>ДЕКАБРЬ!T30+ЯНВАРЬ!T30+ФЕВРАЛЬ!T30+МАРТ!T30+АПРЕЛЬ!T30</f>
        <v>0</v>
      </c>
      <c r="U30" s="92">
        <f t="shared" si="1"/>
        <v>24</v>
      </c>
      <c r="V30" s="93">
        <f>ДЕКАБРЬ!V30+ЯНВАРЬ!V30+ФЕВРАЛЬ!V30+МАРТ!V30+АПРЕЛЬ!V30</f>
        <v>10887.470000000001</v>
      </c>
      <c r="W30" s="93">
        <f>ДЕКАБРЬ!W30+ЯНВАРЬ!W30+ФЕВРАЛЬ!W30+МАРТ!W30+АПРЕЛЬ!W30</f>
        <v>0</v>
      </c>
      <c r="X30" s="92">
        <f t="shared" si="2"/>
        <v>10887.470000000001</v>
      </c>
      <c r="Y30" s="93">
        <f>ДЕКАБРЬ!Y30+ЯНВАРЬ!Y30+ФЕВРАЛЬ!Y30+МАРТ!Y30+АПРЕЛЬ!Y30</f>
        <v>13742.79</v>
      </c>
      <c r="Z30" s="93">
        <f>ДЕКАБРЬ!Z30+ЯНВАРЬ!Z30+ФЕВРАЛЬ!Z30+МАРТ!Z30+АПРЕЛЬ!Z30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3.1125857622123958E-4</v>
      </c>
      <c r="AD30" s="92">
        <f t="shared" si="5"/>
        <v>2673.36</v>
      </c>
      <c r="AE30" s="93">
        <f>ДЕКАБРЬ!AE30+ЯНВАРЬ!AE30+ФЕВРАЛЬ!AE30+МАРТ!AE30+АПРЕЛЬ!AE30</f>
        <v>5193.2400000000007</v>
      </c>
      <c r="AF30" s="234">
        <f t="shared" si="6"/>
        <v>0.3778883327184655</v>
      </c>
      <c r="AG30" s="93">
        <f>ДЕКАБРЬ!AG30+ЯНВАРЬ!AG30+ФЕВРАЛЬ!AG30+МАРТ!AG30+АПРЕЛЬ!AG30</f>
        <v>4594.2700000000004</v>
      </c>
      <c r="AH30" s="93">
        <f>ДЕКАБРЬ!AH30+ЯНВАРЬ!AH30+ФЕВРАЛЬ!AH30+МАРТ!AH30+АПРЕЛЬ!AH30</f>
        <v>671</v>
      </c>
      <c r="AI30" s="93">
        <f>ДЕКАБРЬ!AI30+ЯНВАРЬ!AI30+ФЕВРАЛЬ!AI30+МАРТ!AI30+АПРЕЛЬ!AI30</f>
        <v>183</v>
      </c>
      <c r="AJ30" s="93">
        <f>АПРЕЛЬ!AJ30</f>
        <v>0</v>
      </c>
      <c r="AK30" s="93"/>
      <c r="AL30" s="93">
        <f>ДЕКАБРЬ!AL30+ЯНВАРЬ!AL30+ФЕВРАЛЬ!AL30+МАРТ!AL30+АПРЕЛЬ!AL30</f>
        <v>1.0034150733087541</v>
      </c>
      <c r="AM30" s="93">
        <f>ДЕКАБРЬ!AM30+ЯНВАРЬ!AM30+ФЕВРАЛЬ!AM30+МАРТ!AM30+АПРЕЛЬ!AM30</f>
        <v>0</v>
      </c>
      <c r="AN30" s="93">
        <f>ДЕКАБРЬ!AN30+ЯНВАРЬ!AN30+ФЕВРАЛЬ!AN30+МАРТ!AN30+АПРЕЛЬ!AN30</f>
        <v>565.6397692175716</v>
      </c>
      <c r="AO30" s="95">
        <f t="shared" si="15"/>
        <v>-138.72318429088119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35.583333333333336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ДЕКАБРЬ!N31+ЯНВАРЬ!N31+ФЕВРАЛЬ!N31+МАРТ!N31+АПРЕЛЬ!N31</f>
        <v>50</v>
      </c>
      <c r="O31" s="89"/>
      <c r="P31" s="89"/>
      <c r="Q31" s="233"/>
      <c r="R31" s="92"/>
      <c r="S31" s="93">
        <f>ДЕКАБРЬ!S31+ЯНВАРЬ!S31+ФЕВРАЛЬ!S31+МАРТ!S31+АПРЕЛЬ!S31</f>
        <v>22</v>
      </c>
      <c r="T31" s="93">
        <f>ДЕКАБРЬ!T31+ЯНВАРЬ!T31+ФЕВРАЛЬ!T31+МАРТ!T31+АПРЕЛЬ!T31</f>
        <v>-1</v>
      </c>
      <c r="U31" s="92">
        <f t="shared" si="1"/>
        <v>21</v>
      </c>
      <c r="V31" s="93">
        <f>ДЕКАБРЬ!V31+ЯНВАРЬ!V31+ФЕВРАЛЬ!V31+МАРТ!V31+АПРЕЛЬ!V31</f>
        <v>8027</v>
      </c>
      <c r="W31" s="93">
        <f>ДЕКАБРЬ!W31+ЯНВАРЬ!W31+ФЕВРАЛЬ!W31+МАРТ!W31+АПРЕЛЬ!W31</f>
        <v>-342</v>
      </c>
      <c r="X31" s="92">
        <f t="shared" si="2"/>
        <v>7685</v>
      </c>
      <c r="Y31" s="93">
        <f>ДЕКАБРЬ!Y31+ЯНВАРЬ!Y31+ФЕВРАЛЬ!Y31+МАРТ!Y31+АПРЕЛЬ!Y31</f>
        <v>10779</v>
      </c>
      <c r="Z31" s="93">
        <f>ДЕКАБРЬ!Z31+ЯНВАРЬ!Z31+ФЕВРАЛЬ!Z31+МАРТ!Z31+АПРЕЛЬ!Z31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2.3283031782879188E-4</v>
      </c>
      <c r="AD31" s="92">
        <f t="shared" si="5"/>
        <v>2216.34</v>
      </c>
      <c r="AE31" s="93">
        <f>ДЕКАБРЬ!AE31+ЯНВАРЬ!AE31+ФЕВРАЛЬ!AE31+МАРТ!AE31+АПРЕЛЬ!AE31</f>
        <v>3463.98</v>
      </c>
      <c r="AF31" s="234">
        <f t="shared" si="6"/>
        <v>0.33696303501945524</v>
      </c>
      <c r="AG31" s="93">
        <f>ДЕКАБРЬ!AG31+ЯНВАРЬ!AG31+ФЕВРАЛЬ!AG31+МАРТ!AG31+АПРЕЛЬ!AG31</f>
        <v>3938.8800000000006</v>
      </c>
      <c r="AH31" s="93">
        <f>ДЕКАБРЬ!AH31+ЯНВАРЬ!AH31+ФЕВРАЛЬ!AH31+МАРТ!AH31+АПРЕЛЬ!AH31</f>
        <v>575</v>
      </c>
      <c r="AI31" s="93">
        <f>ДЕКАБРЬ!AI31+ЯНВАРЬ!AI31+ФЕВРАЛЬ!AI31+МАРТ!AI31+АПРЕЛЬ!AI31</f>
        <v>1083</v>
      </c>
      <c r="AJ31" s="93">
        <f>АПРЕЛЬ!AJ31</f>
        <v>0</v>
      </c>
      <c r="AK31" s="93"/>
      <c r="AL31" s="93">
        <f>ДЕКАБРЬ!AL31+ЯНВАРЬ!AL31+ФЕВРАЛЬ!AL31+МАРТ!AL31+АПРЕЛЬ!AL31</f>
        <v>3.4974592185883662</v>
      </c>
      <c r="AM31" s="93">
        <f>ДЕКАБРЬ!AM31+ЯНВАРЬ!AM31+ФЕВРАЛЬ!AM31+МАРТ!AM31+АПРЕЛЬ!AM31</f>
        <v>0</v>
      </c>
      <c r="AN31" s="93">
        <f>ДЕКАБРЬ!AN31+ЯНВАРЬ!AN31+ФЕВРАЛЬ!AN31+МАРТ!AN31+АПРЕЛЬ!AN31</f>
        <v>413.43500132626025</v>
      </c>
      <c r="AO31" s="95">
        <f t="shared" si="15"/>
        <v>-1414.132460544849</v>
      </c>
      <c r="AP31" s="96"/>
      <c r="AQ31" s="97">
        <f t="shared" si="7"/>
        <v>489.52380952380952</v>
      </c>
      <c r="AR31" s="98">
        <f t="shared" si="26"/>
        <v>105.54</v>
      </c>
      <c r="AS31" s="98">
        <f t="shared" si="9"/>
        <v>164.95142857142858</v>
      </c>
      <c r="AT31" s="98">
        <f t="shared" si="10"/>
        <v>179.04000000000002</v>
      </c>
      <c r="AU31" s="98">
        <f t="shared" si="16"/>
        <v>75.36363636363636</v>
      </c>
      <c r="AV31" s="98">
        <f t="array" ref="AV31">_xlfn.IFS(U31=0,AO31,U31&lt;0,AO31/-U31,U31&gt;0,AO31/U31)</f>
        <v>-67.339640978326145</v>
      </c>
      <c r="AW31" s="234">
        <f>IF(AQ31=0,0,AV31/AQ31)</f>
        <v>-0.13756152339930439</v>
      </c>
      <c r="AX31" s="234">
        <f>IF(AR31=0,0,AV31/AR31)</f>
        <v>-0.63804852168207449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ДЕКАБРЬ!N32+ЯНВАРЬ!N32+ФЕВРАЛЬ!N32+МАРТ!N32+АПРЕЛЬ!N32</f>
        <v>9</v>
      </c>
      <c r="O32" s="89"/>
      <c r="P32" s="89"/>
      <c r="Q32" s="233"/>
      <c r="R32" s="92"/>
      <c r="S32" s="93">
        <f>ДЕКАБРЬ!S32+ЯНВАРЬ!S32+ФЕВРАЛЬ!S32+МАРТ!S32+АПРЕЛЬ!S32</f>
        <v>5</v>
      </c>
      <c r="T32" s="93">
        <f>ДЕКАБРЬ!T32+ЯНВАРЬ!T32+ФЕВРАЛЬ!T32+МАРТ!T32+АПРЕЛЬ!T32</f>
        <v>0</v>
      </c>
      <c r="U32" s="92">
        <f t="shared" si="1"/>
        <v>5</v>
      </c>
      <c r="V32" s="93">
        <f>ДЕКАБРЬ!V32+ЯНВАРЬ!V32+ФЕВРАЛЬ!V32+МАРТ!V32+АПРЕЛЬ!V32</f>
        <v>2062.7600000000002</v>
      </c>
      <c r="W32" s="93">
        <f>ДЕКАБРЬ!W32+ЯНВАРЬ!W32+ФЕВРАЛЬ!W32+МАРТ!W32+АПРЕЛЬ!W32</f>
        <v>0</v>
      </c>
      <c r="X32" s="92">
        <f t="shared" si="2"/>
        <v>2062.7600000000002</v>
      </c>
      <c r="Y32" s="93">
        <f>ДЕКАБРЬ!Y32+ЯНВАРЬ!Y32+ФЕВРАЛЬ!Y32+МАРТ!Y32+АПРЕЛЬ!Y32</f>
        <v>2694.99</v>
      </c>
      <c r="Z32" s="93">
        <f>ДЕКАБРЬ!Z32+ЯНВАРЬ!Z32+ФЕВРАЛЬ!Z32+МАРТ!Z32+АПРЕЛЬ!Z32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6.103846091881476E-5</v>
      </c>
      <c r="AD32" s="92">
        <f t="shared" si="5"/>
        <v>703.19999999999993</v>
      </c>
      <c r="AE32" s="93">
        <f>ДЕКАБРЬ!AE32+ЯНВАРЬ!AE32+ФЕВРАЛЬ!AE32+МАРТ!AE32+АПРЕЛЬ!AE32</f>
        <v>1012.5599999999997</v>
      </c>
      <c r="AF32" s="234">
        <f t="shared" si="6"/>
        <v>0.37571939042445418</v>
      </c>
      <c r="AG32" s="93">
        <f>ДЕКАБРЬ!AG32+ЯНВАРЬ!AG32+ФЕВРАЛЬ!AG32+МАРТ!AG32+АПРЕЛЬ!AG32</f>
        <v>777.66000000000008</v>
      </c>
      <c r="AH32" s="93">
        <f>ДЕКАБРЬ!AH32+ЯНВАРЬ!AH32+ФЕВРАЛЬ!AH32+МАРТ!AH32+АПРЕЛЬ!AH32</f>
        <v>0</v>
      </c>
      <c r="AI32" s="93">
        <f>ДЕКАБРЬ!AI32+ЯНВАРЬ!AI32+ФЕВРАЛЬ!AI32+МАРТ!AI32+АПРЕЛЬ!AI32</f>
        <v>0</v>
      </c>
      <c r="AJ32" s="93">
        <f>АПРЕЛЬ!AJ32</f>
        <v>0</v>
      </c>
      <c r="AK32" s="93"/>
      <c r="AL32" s="93">
        <f>ДЕКАБРЬ!AL32+ЯНВАРЬ!AL32+ФЕВРАЛЬ!AL32+МАРТ!AL32+АПРЕЛЬ!AL32</f>
        <v>0</v>
      </c>
      <c r="AM32" s="93">
        <f>ДЕКАБРЬ!AM32+ЯНВАРЬ!AM32+ФЕВРАЛЬ!AM32+МАРТ!AM32+АПРЕЛЬ!AM32</f>
        <v>0</v>
      </c>
      <c r="AN32" s="93">
        <f>ДЕКАБРЬ!AN32+ЯНВАРЬ!AN32+ФЕВРАЛЬ!AN32+МАРТ!AN32+АПРЕЛЬ!AN32</f>
        <v>109.29265786686881</v>
      </c>
      <c r="AO32" s="95">
        <f t="shared" si="15"/>
        <v>92.277342133131356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18.455468426626272</v>
      </c>
      <c r="AW32" s="234">
        <f t="shared" ref="AW32" si="30">IF(AQ32=0,0,AV32/AQ32)</f>
        <v>3.4240328213882565E-2</v>
      </c>
      <c r="AX32" s="234">
        <f t="shared" ref="AX32" si="31">IF(AR32=0,0,AV32/AR32)</f>
        <v>0.1312248892678205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ДЕКАБРЬ!N33+ЯНВАРЬ!N33+ФЕВРАЛЬ!N33+МАРТ!N33+АПРЕЛЬ!N33</f>
        <v>119</v>
      </c>
      <c r="O33" s="89"/>
      <c r="P33" s="89"/>
      <c r="Q33" s="233"/>
      <c r="R33" s="92"/>
      <c r="S33" s="93">
        <f>ДЕКАБРЬ!S33+ЯНВАРЬ!S33+ФЕВРАЛЬ!S33+МАРТ!S33+АПРЕЛЬ!S33</f>
        <v>46</v>
      </c>
      <c r="T33" s="93">
        <f>ДЕКАБРЬ!T33+ЯНВАРЬ!T33+ФЕВРАЛЬ!T33+МАРТ!T33+АПРЕЛЬ!T33</f>
        <v>-5</v>
      </c>
      <c r="U33" s="92">
        <f t="shared" si="1"/>
        <v>41</v>
      </c>
      <c r="V33" s="93">
        <f>ДЕКАБРЬ!V33+ЯНВАРЬ!V33+ФЕВРАЛЬ!V33+МАРТ!V33+АПРЕЛЬ!V33</f>
        <v>33435.369999999995</v>
      </c>
      <c r="W33" s="93">
        <f>ДЕКАБРЬ!W33+ЯНВАРЬ!W33+ФЕВРАЛЬ!W33+МАРТ!W33+АПРЕЛЬ!W33</f>
        <v>-3340</v>
      </c>
      <c r="X33" s="92">
        <f t="shared" si="2"/>
        <v>30095.369999999995</v>
      </c>
      <c r="Y33" s="93">
        <f>ДЕКАБРЬ!Y33+ЯНВАРЬ!Y33+ФЕВРАЛЬ!Y33+МАРТ!Y33+АПРЕЛЬ!Y33</f>
        <v>51292.880000000005</v>
      </c>
      <c r="Z33" s="93">
        <f>ДЕКАБРЬ!Z33+ЯНВАРЬ!Z33+ФЕВРАЛЬ!Z33+МАРТ!Z33+АПРЕЛЬ!Z33</f>
        <v>-5334</v>
      </c>
      <c r="AA33" s="232">
        <f t="shared" si="3"/>
        <v>45958.880000000005</v>
      </c>
      <c r="AB33" s="92">
        <f t="shared" si="14"/>
        <v>0</v>
      </c>
      <c r="AC33" s="234">
        <f t="shared" si="4"/>
        <v>1.0409164044217225E-3</v>
      </c>
      <c r="AD33" s="92">
        <f t="shared" si="5"/>
        <v>5046.6900000000005</v>
      </c>
      <c r="AE33" s="93">
        <f>ДЕКАБРЬ!AE33+ЯНВАРЬ!AE33+ФЕВРАЛЬ!AE33+МАРТ!AE33+АПРЕЛЬ!AE33</f>
        <v>17260.299999999996</v>
      </c>
      <c r="AF33" s="234">
        <f t="shared" si="6"/>
        <v>0.3755596306959611</v>
      </c>
      <c r="AG33" s="93">
        <f>ДЕКАБРЬ!AG33+ЯНВАРЬ!AG33+ФЕВРАЛЬ!AG33+МАРТ!AG33+АПРЕЛЬ!AG33</f>
        <v>7606.55</v>
      </c>
      <c r="AH33" s="93">
        <f>ДЕКАБРЬ!AH33+ЯНВАРЬ!AH33+ФЕВРАЛЬ!AH33+МАРТ!AH33+АПРЕЛЬ!AH33</f>
        <v>9000</v>
      </c>
      <c r="AI33" s="93">
        <f>ДЕКАБРЬ!AI33+ЯНВАРЬ!AI33+ФЕВРАЛЬ!AI33+МАРТ!AI33+АПРЕЛЬ!AI33</f>
        <v>13750</v>
      </c>
      <c r="AJ33" s="93">
        <f>АПРЕЛЬ!AJ33</f>
        <v>0</v>
      </c>
      <c r="AK33" s="93"/>
      <c r="AL33" s="93">
        <f>ДЕКАБРЬ!AL33+ЯНВАРЬ!AL33+ФЕВРАЛЬ!AL33+МАРТ!AL33+АПРЕЛЬ!AL33</f>
        <v>1577.6475602367618</v>
      </c>
      <c r="AM33" s="93">
        <f>ДЕКАБРЬ!AM33+ЯНВАРЬ!AM33+ФЕВРАЛЬ!AM33+МАРТ!AM33+АПРЕЛЬ!AM33</f>
        <v>0</v>
      </c>
      <c r="AN33" s="93">
        <f>ДЕКАБРЬ!AN33+ЯНВАРЬ!AN33+ФЕВРАЛЬ!AN33+МАРТ!AN33+АПРЕЛЬ!AN33</f>
        <v>1694.9243732442069</v>
      </c>
      <c r="AO33" s="95">
        <f t="shared" si="15"/>
        <v>-9977.2319334809599</v>
      </c>
      <c r="AP33" s="96"/>
      <c r="AQ33" s="97">
        <f t="shared" si="7"/>
        <v>1120.9482926829269</v>
      </c>
      <c r="AR33" s="98">
        <f t="shared" si="26"/>
        <v>123.09</v>
      </c>
      <c r="AS33" s="98">
        <f t="shared" si="9"/>
        <v>420.98292682926819</v>
      </c>
      <c r="AT33" s="98">
        <f t="shared" si="10"/>
        <v>165.35978260869567</v>
      </c>
      <c r="AU33" s="98">
        <f t="shared" si="16"/>
        <v>494.56521739130437</v>
      </c>
      <c r="AV33" s="98">
        <f t="array" ref="AV33">_xlfn.IFS(U33=0,AO33,U33&lt;0,AO33/-U33,U33&gt;0,AO33/U33)</f>
        <v>-243.3471203288039</v>
      </c>
      <c r="AW33" s="234">
        <f>IF(AQ33=0,0,AV33/AQ33)</f>
        <v>-0.21709040632584953</v>
      </c>
      <c r="AX33" s="234">
        <f>IF(AR33=0,0,AV33/AR33)</f>
        <v>-1.9769852979836209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ДЕКАБРЬ!N34+ЯНВАРЬ!N34+ФЕВРАЛЬ!N34+МАРТ!N34+АПРЕЛЬ!N34</f>
        <v>36</v>
      </c>
      <c r="O34" s="89"/>
      <c r="P34" s="89"/>
      <c r="Q34" s="233"/>
      <c r="R34" s="92"/>
      <c r="S34" s="93">
        <f>ДЕКАБРЬ!S34+ЯНВАРЬ!S34+ФЕВРАЛЬ!S34+МАРТ!S34+АПРЕЛЬ!S34</f>
        <v>25</v>
      </c>
      <c r="T34" s="93">
        <f>ДЕКАБРЬ!T34+ЯНВАРЬ!T34+ФЕВРАЛЬ!T34+МАРТ!T34+АПРЕЛЬ!T34</f>
        <v>-1</v>
      </c>
      <c r="U34" s="92">
        <f t="shared" si="1"/>
        <v>24</v>
      </c>
      <c r="V34" s="93">
        <f>ДЕКАБРЬ!V34+ЯНВАРЬ!V34+ФЕВРАЛЬ!V34+МАРТ!V34+АПРЕЛЬ!V34</f>
        <v>6223.64</v>
      </c>
      <c r="W34" s="93">
        <f>ДЕКАБРЬ!W34+ЯНВАРЬ!W34+ФЕВРАЛЬ!W34+МАРТ!W34+АПРЕЛЬ!W34</f>
        <v>-242</v>
      </c>
      <c r="X34" s="92">
        <f t="shared" si="2"/>
        <v>5981.64</v>
      </c>
      <c r="Y34" s="93">
        <f>ДЕКАБРЬ!Y34+ЯНВАРЬ!Y34+ФЕВРАЛЬ!Y34+МАРТ!Y34+АПРЕЛЬ!Y34</f>
        <v>10136.4</v>
      </c>
      <c r="Z34" s="93">
        <f>ДЕКАБРЬ!Z34+ЯНВАРЬ!Z34+ФЕВРАЛЬ!Z34+МАРТ!Z34+АПРЕЛЬ!Z34</f>
        <v>-439</v>
      </c>
      <c r="AA34" s="232">
        <f t="shared" si="3"/>
        <v>9697.4</v>
      </c>
      <c r="AB34" s="92">
        <f t="shared" si="14"/>
        <v>0</v>
      </c>
      <c r="AC34" s="234">
        <f t="shared" si="4"/>
        <v>2.1963508989425353E-4</v>
      </c>
      <c r="AD34" s="92">
        <f t="shared" si="5"/>
        <v>2813.7599999999998</v>
      </c>
      <c r="AE34" s="93">
        <f>ДЕКАБРЬ!AE34+ЯНВАРЬ!AE34+ФЕВРАЛЬ!AE34+МАРТ!AE34+АПРЕЛЬ!AE34</f>
        <v>2711.1999999999989</v>
      </c>
      <c r="AF34" s="234">
        <f t="shared" si="6"/>
        <v>0.27958009363334491</v>
      </c>
      <c r="AG34" s="93">
        <f>ДЕКАБРЬ!AG34+ЯНВАРЬ!AG34+ФЕВРАЛЬ!AG34+МАРТ!AG34+АПРЕЛЬ!AG34</f>
        <v>2524.34</v>
      </c>
      <c r="AH34" s="93">
        <f>ДЕКАБРЬ!AH34+ЯНВАРЬ!AH34+ФЕВРАЛЬ!AH34+МАРТ!AH34+АПРЕЛЬ!AH34</f>
        <v>0</v>
      </c>
      <c r="AI34" s="93">
        <f>ДЕКАБРЬ!AI34+ЯНВАРЬ!AI34+ФЕВРАЛЬ!AI34+МАРТ!AI34+АПРЕЛЬ!AI34</f>
        <v>0</v>
      </c>
      <c r="AJ34" s="93">
        <f>АПРЕЛЬ!AJ34</f>
        <v>0</v>
      </c>
      <c r="AK34" s="93"/>
      <c r="AL34" s="93">
        <f>ДЕКАБРЬ!AL34+ЯНВАРЬ!AL34+ФЕВРАЛЬ!AL34+МАРТ!AL34+АПРЕЛЬ!AL34</f>
        <v>80.441562027532413</v>
      </c>
      <c r="AM34" s="93">
        <f>ДЕКАБРЬ!AM34+ЯНВАРЬ!AM34+ФЕВРАЛЬ!AM34+МАРТ!AM34+АПРЕЛЬ!AM34</f>
        <v>10</v>
      </c>
      <c r="AN34" s="93">
        <f>ДЕКАБРЬ!AN34+ЯНВАРЬ!AN34+ФЕВРАЛЬ!AN34+МАРТ!AN34+АПРЕЛЬ!AN34</f>
        <v>338.83511675023152</v>
      </c>
      <c r="AO34" s="95">
        <f t="shared" si="15"/>
        <v>1218.8233212222365</v>
      </c>
      <c r="AP34" s="96"/>
      <c r="AQ34" s="97">
        <f t="shared" si="7"/>
        <v>404.05833333333334</v>
      </c>
      <c r="AR34" s="98">
        <f t="shared" si="26"/>
        <v>117.24</v>
      </c>
      <c r="AS34" s="98">
        <f t="shared" si="9"/>
        <v>112.96666666666663</v>
      </c>
      <c r="AT34" s="98">
        <f t="shared" si="10"/>
        <v>100.9736</v>
      </c>
      <c r="AU34" s="98">
        <f t="shared" si="16"/>
        <v>0</v>
      </c>
      <c r="AV34" s="98">
        <f t="array" ref="AV34">_xlfn.IFS(U34=0,AO34,U34&lt;0,AO34/-U34,U34&gt;0,AO34/U34)</f>
        <v>50.78430505092652</v>
      </c>
      <c r="AW34" s="234">
        <f>IF(AQ34=0,0,AV34/AQ34)</f>
        <v>0.12568557770353253</v>
      </c>
      <c r="AX34" s="234">
        <f>IF(AR34=0,0,AV34/AR34)</f>
        <v>0.4331653450266677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ДЕКАБРЬ!N35+ЯНВАРЬ!N35+ФЕВРАЛЬ!N35+МАРТ!N35+АПРЕЛЬ!N35</f>
        <v>0</v>
      </c>
      <c r="O35" s="89"/>
      <c r="P35" s="89"/>
      <c r="Q35" s="233"/>
      <c r="R35" s="92"/>
      <c r="S35" s="93">
        <f>ДЕКАБРЬ!S35+ЯНВАРЬ!S35+ФЕВРАЛЬ!S35+МАРТ!S35+АПРЕЛЬ!S35</f>
        <v>0</v>
      </c>
      <c r="T35" s="93">
        <f>ДЕКАБРЬ!T35+ЯНВАРЬ!T35+ФЕВРАЛЬ!T35+МАРТ!T35+АПРЕЛЬ!T35</f>
        <v>0</v>
      </c>
      <c r="U35" s="92">
        <f t="shared" si="1"/>
        <v>0</v>
      </c>
      <c r="V35" s="93">
        <f>ДЕКАБРЬ!V35+ЯНВАРЬ!V35+ФЕВРАЛЬ!V35+МАРТ!V35+АПРЕЛЬ!V35</f>
        <v>0</v>
      </c>
      <c r="W35" s="93">
        <f>ДЕКАБРЬ!W35+ЯНВАРЬ!W35+ФЕВРАЛЬ!W35+МАРТ!W35+АПРЕЛЬ!W35</f>
        <v>0</v>
      </c>
      <c r="X35" s="92">
        <f t="shared" si="2"/>
        <v>0</v>
      </c>
      <c r="Y35" s="93">
        <f>ДЕКАБРЬ!Y35+ЯНВАРЬ!Y35+ФЕВРАЛЬ!Y35+МАРТ!Y35+АПРЕЛЬ!Y35</f>
        <v>0</v>
      </c>
      <c r="Z35" s="93">
        <f>ДЕКАБРЬ!Z35+ЯНВАРЬ!Z35+ФЕВРАЛЬ!Z35+МАРТ!Z35+АПРЕЛЬ!Z35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AA35/$AA$127</f>
        <v>0</v>
      </c>
      <c r="AD35" s="92">
        <f t="shared" si="5"/>
        <v>0</v>
      </c>
      <c r="AE35" s="93">
        <f>ДЕКАБРЬ!AE35+ЯНВАРЬ!AE35+ФЕВРАЛЬ!AE35+МАРТ!AE35+АПРЕЛЬ!AE35</f>
        <v>0</v>
      </c>
      <c r="AF35" s="234">
        <f t="shared" si="6"/>
        <v>0</v>
      </c>
      <c r="AG35" s="93">
        <f>ДЕКАБРЬ!AG35+ЯНВАРЬ!AG35+ФЕВРАЛЬ!AG35+МАРТ!AG35+АПРЕЛЬ!AG35</f>
        <v>0</v>
      </c>
      <c r="AH35" s="93">
        <f>ДЕКАБРЬ!AH35+ЯНВАРЬ!AH35+ФЕВРАЛЬ!AH35+МАРТ!AH35+АПРЕЛЬ!AH35</f>
        <v>0</v>
      </c>
      <c r="AI35" s="93">
        <f>ДЕКАБРЬ!AI35+ЯНВАРЬ!AI35+ФЕВРАЛЬ!AI35+МАРТ!AI35+АПРЕЛЬ!AI35</f>
        <v>0</v>
      </c>
      <c r="AJ35" s="93">
        <f>АПРЕЛЬ!AJ35</f>
        <v>0</v>
      </c>
      <c r="AK35" s="93"/>
      <c r="AL35" s="93">
        <f>ДЕКАБРЬ!AL35+ЯНВАРЬ!AL35+ФЕВРАЛЬ!AL35+МАРТ!AL35+АПРЕЛЬ!AL35</f>
        <v>0</v>
      </c>
      <c r="AM35" s="93">
        <f>ДЕКАБРЬ!AM35+ЯНВАРЬ!AM35+ФЕВРАЛЬ!AM35+МАРТ!AM35+АПРЕЛЬ!AM35</f>
        <v>0</v>
      </c>
      <c r="AN35" s="93">
        <f>ДЕКАБРЬ!AN35+ЯНВАРЬ!AN35+ФЕВРАЛЬ!AN35+МАРТ!AN35+АПРЕЛЬ!AN35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ДЕКАБРЬ!N36+ЯНВАРЬ!N36+ФЕВРАЛЬ!N36+МАРТ!N36+АПРЕЛЬ!N36</f>
        <v>0</v>
      </c>
      <c r="O36" s="89"/>
      <c r="P36" s="89"/>
      <c r="Q36" s="233"/>
      <c r="R36" s="92"/>
      <c r="S36" s="93">
        <f>ДЕКАБРЬ!S36+ЯНВАРЬ!S36+ФЕВРАЛЬ!S36+МАРТ!S36+АПРЕЛЬ!S36</f>
        <v>0</v>
      </c>
      <c r="T36" s="93">
        <f>ДЕКАБРЬ!T36+ЯНВАРЬ!T36+ФЕВРАЛЬ!T36+МАРТ!T36+АПРЕЛЬ!T36</f>
        <v>0</v>
      </c>
      <c r="U36" s="92">
        <f t="shared" si="1"/>
        <v>0</v>
      </c>
      <c r="V36" s="93">
        <f>ДЕКАБРЬ!V36+ЯНВАРЬ!V36+ФЕВРАЛЬ!V36+МАРТ!V36+АПРЕЛЬ!V36</f>
        <v>0</v>
      </c>
      <c r="W36" s="93">
        <f>ДЕКАБРЬ!W36+ЯНВАРЬ!W36+ФЕВРАЛЬ!W36+МАРТ!W36+АПРЕЛЬ!W36</f>
        <v>0</v>
      </c>
      <c r="X36" s="92">
        <f t="shared" si="2"/>
        <v>0</v>
      </c>
      <c r="Y36" s="93">
        <f>ДЕКАБРЬ!Y36+ЯНВАРЬ!Y36+ФЕВРАЛЬ!Y36+МАРТ!Y36+АПРЕЛЬ!Y36</f>
        <v>0</v>
      </c>
      <c r="Z36" s="93">
        <f>ДЕКАБРЬ!Z36+ЯНВАРЬ!Z36+ФЕВРАЛЬ!Z36+МАРТ!Z36+АПРЕЛЬ!Z36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ДЕКАБРЬ!AE36+ЯНВАРЬ!AE36+ФЕВРАЛЬ!AE36+МАРТ!AE36+АПРЕЛЬ!AE36</f>
        <v>0</v>
      </c>
      <c r="AF36" s="234">
        <f t="shared" si="6"/>
        <v>0</v>
      </c>
      <c r="AG36" s="93">
        <f>ДЕКАБРЬ!AG36+ЯНВАРЬ!AG36+ФЕВРАЛЬ!AG36+МАРТ!AG36+АПРЕЛЬ!AG36</f>
        <v>0</v>
      </c>
      <c r="AH36" s="93">
        <f>ДЕКАБРЬ!AH36+ЯНВАРЬ!AH36+ФЕВРАЛЬ!AH36+МАРТ!AH36+АПРЕЛЬ!AH36</f>
        <v>0</v>
      </c>
      <c r="AI36" s="93">
        <f>ДЕКАБРЬ!AI36+ЯНВАРЬ!AI36+ФЕВРАЛЬ!AI36+МАРТ!AI36+АПРЕЛЬ!AI36</f>
        <v>0</v>
      </c>
      <c r="AJ36" s="93">
        <f>АПРЕЛЬ!AJ36</f>
        <v>0</v>
      </c>
      <c r="AK36" s="93"/>
      <c r="AL36" s="93">
        <f>ДЕКАБРЬ!AL36+ЯНВАРЬ!AL36+ФЕВРАЛЬ!AL36+МАРТ!AL36+АПРЕЛЬ!AL36</f>
        <v>0</v>
      </c>
      <c r="AM36" s="93">
        <f>ДЕКАБРЬ!AM36+ЯНВАРЬ!AM36+ФЕВРАЛЬ!AM36+МАРТ!AM36+АПРЕЛЬ!AM36</f>
        <v>0</v>
      </c>
      <c r="AN36" s="93">
        <f>ДЕКАБРЬ!AN36+ЯНВАРЬ!AN36+ФЕВРАЛЬ!AN36+МАРТ!AN36+АПРЕЛЬ!AN36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ДЕКАБРЬ!N37+ЯНВАРЬ!N37+ФЕВРАЛЬ!N37+МАРТ!N37+АПРЕЛЬ!N37</f>
        <v>37</v>
      </c>
      <c r="O37" s="89"/>
      <c r="P37" s="89"/>
      <c r="Q37" s="233"/>
      <c r="R37" s="92"/>
      <c r="S37" s="93">
        <f>ДЕКАБРЬ!S37+ЯНВАРЬ!S37+ФЕВРАЛЬ!S37+МАРТ!S37+АПРЕЛЬ!S37</f>
        <v>15</v>
      </c>
      <c r="T37" s="93">
        <f>ДЕКАБРЬ!T37+ЯНВАРЬ!T37+ФЕВРАЛЬ!T37+МАРТ!T37+АПРЕЛЬ!T37</f>
        <v>0</v>
      </c>
      <c r="U37" s="92">
        <f t="shared" si="1"/>
        <v>15</v>
      </c>
      <c r="V37" s="93">
        <f>ДЕКАБРЬ!V37+ЯНВАРЬ!V37+ФЕВРАЛЬ!V37+МАРТ!V37+АПРЕЛЬ!V37</f>
        <v>10072</v>
      </c>
      <c r="W37" s="93">
        <f>ДЕКАБРЬ!W37+ЯНВАРЬ!W37+ФЕВРАЛЬ!W37+МАРТ!W37+АПРЕЛЬ!W37</f>
        <v>0</v>
      </c>
      <c r="X37" s="92">
        <f t="shared" si="2"/>
        <v>10072</v>
      </c>
      <c r="Y37" s="93">
        <f>ДЕКАБРЬ!Y37+ЯНВАРЬ!Y37+ФЕВРАЛЬ!Y37+МАРТ!Y37+АПРЕЛЬ!Y37</f>
        <v>14958.619999999999</v>
      </c>
      <c r="Z37" s="93">
        <f>ДЕКАБРЬ!Z37+ЯНВАРЬ!Z37+ФЕВРАЛЬ!Z37+МАРТ!Z37+АПРЕЛЬ!Z37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3.3879574405448661E-4</v>
      </c>
      <c r="AD37" s="92">
        <f t="shared" si="5"/>
        <v>2548.35</v>
      </c>
      <c r="AE37" s="93">
        <f>ДЕКАБРЬ!AE37+ЯНВАРЬ!AE37+ФЕВРАЛЬ!AE37+МАРТ!AE37+АПРЕЛЬ!AE37</f>
        <v>5635.35</v>
      </c>
      <c r="AF37" s="234">
        <f t="shared" si="6"/>
        <v>0.37672927048083316</v>
      </c>
      <c r="AG37" s="93">
        <f>ДЕКАБРЬ!AG37+ЯНВАРЬ!AG37+ФЕВРАЛЬ!AG37+МАРТ!AG37+АПРЕЛЬ!AG37</f>
        <v>2798.35</v>
      </c>
      <c r="AH37" s="93">
        <f>ДЕКАБРЬ!AH37+ЯНВАРЬ!AH37+ФЕВРАЛЬ!AH37+МАРТ!AH37+АПРЕЛЬ!AH37</f>
        <v>0</v>
      </c>
      <c r="AI37" s="93">
        <f>ДЕКАБРЬ!AI37+ЯНВАРЬ!AI37+ФЕВРАЛЬ!AI37+МАРТ!AI37+АПРЕЛЬ!AI37</f>
        <v>0</v>
      </c>
      <c r="AJ37" s="93">
        <f>АПРЕЛЬ!AJ37</f>
        <v>0</v>
      </c>
      <c r="AK37" s="93"/>
      <c r="AL37" s="93">
        <f>ДЕКАБРЬ!AL37+ЯНВАРЬ!AL37+ФЕВРАЛЬ!AL37+МАРТ!AL37+АПРЕЛЬ!AL37</f>
        <v>59.970260224300844</v>
      </c>
      <c r="AM37" s="93">
        <f>ДЕКАБРЬ!AM37+ЯНВАРЬ!AM37+ФЕВРАЛЬ!AM37+МАРТ!AM37+АПРЕЛЬ!AM37</f>
        <v>0</v>
      </c>
      <c r="AN37" s="93">
        <f>ДЕКАБРЬ!AN37+ЯНВАРЬ!AN37+ФЕВРАЛЬ!AN37+МАРТ!AN37+АПРЕЛЬ!AN37</f>
        <v>560.98279885923341</v>
      </c>
      <c r="AO37" s="95">
        <f t="shared" si="15"/>
        <v>3355.616940916464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186.55666666666667</v>
      </c>
      <c r="AU37" s="98">
        <f t="shared" si="16"/>
        <v>0</v>
      </c>
      <c r="AV37" s="98">
        <f t="array" ref="AV37">_xlfn.IFS(U37=0,AO37,U37&lt;0,AO37/-U37,U37&gt;0,AO37/U37)</f>
        <v>223.70779606109761</v>
      </c>
      <c r="AW37" s="234">
        <f t="shared" si="35"/>
        <v>0.22432663848112089</v>
      </c>
      <c r="AX37" s="234">
        <f t="shared" si="36"/>
        <v>1.3167802464011868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ДЕКАБРЬ!N38+ЯНВАРЬ!N38+ФЕВРАЛЬ!N38+МАРТ!N38+АПРЕЛЬ!N38</f>
        <v>36</v>
      </c>
      <c r="O38" s="89"/>
      <c r="P38" s="89"/>
      <c r="Q38" s="233"/>
      <c r="R38" s="92"/>
      <c r="S38" s="93">
        <f>ДЕКАБРЬ!S38+ЯНВАРЬ!S38+ФЕВРАЛЬ!S38+МАРТ!S38+АПРЕЛЬ!S38</f>
        <v>4</v>
      </c>
      <c r="T38" s="93">
        <f>ДЕКАБРЬ!T38+ЯНВАРЬ!T38+ФЕВРАЛЬ!T38+МАРТ!T38+АПРЕЛЬ!T38</f>
        <v>0</v>
      </c>
      <c r="U38" s="92">
        <f t="shared" si="1"/>
        <v>4</v>
      </c>
      <c r="V38" s="93">
        <f>ДЕКАБРЬ!V38+ЯНВАРЬ!V38+ФЕВРАЛЬ!V38+МАРТ!V38+АПРЕЛЬ!V38</f>
        <v>2979</v>
      </c>
      <c r="W38" s="93">
        <f>ДЕКАБРЬ!W38+ЯНВАРЬ!W38+ФЕВРАЛЬ!W38+МАРТ!W38+АПРЕЛЬ!W38</f>
        <v>0</v>
      </c>
      <c r="X38" s="92">
        <f t="shared" si="2"/>
        <v>2979</v>
      </c>
      <c r="Y38" s="93">
        <f>ДЕКАБРЬ!Y38+ЯНВАРЬ!Y38+ФЕВРАЛЬ!Y38+МАРТ!Y38+АПРЕЛЬ!Y38</f>
        <v>4728.09</v>
      </c>
      <c r="Z38" s="93">
        <f>ДЕКАБРЬ!Z38+ЯНВАРЬ!Z38+ФЕВРАЛЬ!Z38+МАРТ!Z38+АПРЕЛЬ!Z38</f>
        <v>0</v>
      </c>
      <c r="AA38" s="232">
        <f t="shared" si="3"/>
        <v>4728.09</v>
      </c>
      <c r="AB38" s="92">
        <f t="shared" si="14"/>
        <v>0</v>
      </c>
      <c r="AC38" s="234">
        <f t="shared" si="34"/>
        <v>1.0708586550808683E-4</v>
      </c>
      <c r="AD38" s="92">
        <f t="shared" si="5"/>
        <v>422.16</v>
      </c>
      <c r="AE38" s="93">
        <f>ДЕКАБРЬ!AE38+ЯНВАРЬ!AE38+ФЕВРАЛЬ!AE38+МАРТ!AE38+АПРЕЛЬ!AE38</f>
        <v>1792.77</v>
      </c>
      <c r="AF38" s="234">
        <f t="shared" si="6"/>
        <v>0.37917425429718976</v>
      </c>
      <c r="AG38" s="93">
        <f>ДЕКАБРЬ!AG38+ЯНВАРЬ!AG38+ФЕВРАЛЬ!AG38+МАРТ!AG38+АПРЕЛЬ!AG38</f>
        <v>3416.3399999999997</v>
      </c>
      <c r="AH38" s="93">
        <f>ДЕКАБРЬ!AH38+ЯНВАРЬ!AH38+ФЕВРАЛЬ!AH38+МАРТ!AH38+АПРЕЛЬ!AH38</f>
        <v>0</v>
      </c>
      <c r="AI38" s="93">
        <f>ДЕКАБРЬ!AI38+ЯНВАРЬ!AI38+ФЕВРАЛЬ!AI38+МАРТ!AI38+АПРЕЛЬ!AI38</f>
        <v>0</v>
      </c>
      <c r="AJ38" s="93">
        <f>АПРЕЛЬ!AJ38</f>
        <v>0</v>
      </c>
      <c r="AK38" s="93"/>
      <c r="AL38" s="93">
        <f>ДЕКАБРЬ!AL38+ЯНВАРЬ!AL38+ФЕВРАЛЬ!AL38+МАРТ!AL38+АПРЕЛЬ!AL38</f>
        <v>519.86055679396907</v>
      </c>
      <c r="AM38" s="93">
        <f>ДЕКАБРЬ!AM38+ЯНВАРЬ!AM38+ФЕВРАЛЬ!AM38+МАРТ!AM38+АПРЕЛЬ!AM38</f>
        <v>0</v>
      </c>
      <c r="AN38" s="93">
        <f>ДЕКАБРЬ!AN38+ЯНВАРЬ!AN38+ФЕВРАЛЬ!AN38+МАРТ!AN38+АПРЕЛЬ!AN38</f>
        <v>167.28511787819011</v>
      </c>
      <c r="AO38" s="95">
        <f t="shared" si="15"/>
        <v>-1590.3256746721584</v>
      </c>
      <c r="AP38" s="96"/>
      <c r="AQ38" s="97">
        <f t="shared" si="7"/>
        <v>1182.0225</v>
      </c>
      <c r="AR38" s="98">
        <f t="shared" si="26"/>
        <v>105.54</v>
      </c>
      <c r="AS38" s="98">
        <f t="shared" si="9"/>
        <v>448.1925</v>
      </c>
      <c r="AT38" s="98">
        <f t="shared" si="10"/>
        <v>854.08499999999992</v>
      </c>
      <c r="AU38" s="98">
        <f t="shared" si="16"/>
        <v>0</v>
      </c>
      <c r="AV38" s="98">
        <f t="array" ref="AV38">_xlfn.IFS(U38=0,AO38,U38&lt;0,AO38/-U38,U38&gt;0,AO38/U38)</f>
        <v>-397.58141866803959</v>
      </c>
      <c r="AW38" s="234">
        <f t="shared" si="35"/>
        <v>-0.33635689563273086</v>
      </c>
      <c r="AX38" s="234">
        <f t="shared" si="36"/>
        <v>-3.767115962365355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ДЕКАБРЬ!N39+ЯНВАРЬ!N39+ФЕВРАЛЬ!N39+МАРТ!N39+АПРЕЛЬ!N39</f>
        <v>119</v>
      </c>
      <c r="O39" s="89"/>
      <c r="P39" s="89"/>
      <c r="Q39" s="233"/>
      <c r="R39" s="92"/>
      <c r="S39" s="93">
        <f>ДЕКАБРЬ!S39+ЯНВАРЬ!S39+ФЕВРАЛЬ!S39+МАРТ!S39+АПРЕЛЬ!S39</f>
        <v>41</v>
      </c>
      <c r="T39" s="93">
        <f>ДЕКАБРЬ!T39+ЯНВАРЬ!T39+ФЕВРАЛЬ!T39+МАРТ!T39+АПРЕЛЬ!T39</f>
        <v>-2</v>
      </c>
      <c r="U39" s="92">
        <f t="shared" si="1"/>
        <v>39</v>
      </c>
      <c r="V39" s="93">
        <f>ДЕКАБРЬ!V39+ЯНВАРЬ!V39+ФЕВРАЛЬ!V39+МАРТ!V39+АПРЕЛЬ!V39</f>
        <v>28609.79</v>
      </c>
      <c r="W39" s="93">
        <f>ДЕКАБРЬ!W39+ЯНВАРЬ!W39+ФЕВРАЛЬ!W39+МАРТ!W39+АПРЕЛЬ!W39</f>
        <v>-1429</v>
      </c>
      <c r="X39" s="92">
        <f t="shared" si="2"/>
        <v>27180.79</v>
      </c>
      <c r="Y39" s="93">
        <f>ДЕКАБРЬ!Y39+ЯНВАРЬ!Y39+ФЕВРАЛЬ!Y39+МАРТ!Y39+АПРЕЛЬ!Y39</f>
        <v>43962.16</v>
      </c>
      <c r="Z39" s="93">
        <f>ДЕКАБРЬ!Z39+ЯНВАРЬ!Z39+ФЕВРАЛЬ!Z39+МАРТ!Z39+АПРЕЛЬ!Z39</f>
        <v>-2154</v>
      </c>
      <c r="AA39" s="232">
        <f t="shared" si="3"/>
        <v>41808.160000000003</v>
      </c>
      <c r="AB39" s="92">
        <f t="shared" si="14"/>
        <v>0</v>
      </c>
      <c r="AC39" s="234">
        <f t="shared" si="34"/>
        <v>9.4690731329153549E-4</v>
      </c>
      <c r="AD39" s="92">
        <f t="shared" si="5"/>
        <v>4116.0600000000004</v>
      </c>
      <c r="AE39" s="93">
        <f>ДЕКАБРЬ!AE39+ЯНВАРЬ!AE39+ФЕВРАЛЬ!AE39+МАРТ!AE39+АПРЕЛЬ!AE39</f>
        <v>15707.980000000003</v>
      </c>
      <c r="AF39" s="234">
        <f t="shared" si="6"/>
        <v>0.37571564976789223</v>
      </c>
      <c r="AG39" s="93">
        <f>ДЕКАБРЬ!AG39+ЯНВАРЬ!AG39+ФЕВРАЛЬ!AG39+МАРТ!AG39+АПРЕЛЬ!AG39</f>
        <v>10083.040000000001</v>
      </c>
      <c r="AH39" s="93">
        <f>ДЕКАБРЬ!AH39+ЯНВАРЬ!AH39+ФЕВРАЛЬ!AH39+МАРТ!AH39+АПРЕЛЬ!AH39</f>
        <v>4156</v>
      </c>
      <c r="AI39" s="93">
        <f>ДЕКАБРЬ!AI39+ЯНВАРЬ!AI39+ФЕВРАЛЬ!AI39+МАРТ!AI39+АПРЕЛЬ!AI39</f>
        <v>7000</v>
      </c>
      <c r="AJ39" s="93">
        <f>АПРЕЛЬ!AJ39</f>
        <v>0</v>
      </c>
      <c r="AK39" s="93"/>
      <c r="AL39" s="93">
        <f>ДЕКАБРЬ!AL39+ЯНВАРЬ!AL39+ФЕВРАЛЬ!AL39+МАРТ!AL39+АПРЕЛЬ!AL39</f>
        <v>214.35034406314352</v>
      </c>
      <c r="AM39" s="93">
        <f>ДЕКАБРЬ!AM39+ЯНВАРЬ!AM39+ФЕВРАЛЬ!AM39+МАРТ!AM39+АПРЕЛЬ!AM39</f>
        <v>0</v>
      </c>
      <c r="AN39" s="93">
        <f>ДЕКАБРЬ!AN39+ЯНВАРЬ!AN39+ФЕВРАЛЬ!AN39+МАРТ!AN39+АПРЕЛЬ!AN39</f>
        <v>1522.4020178600813</v>
      </c>
      <c r="AO39" s="95">
        <f t="shared" si="15"/>
        <v>-991.67236192322309</v>
      </c>
      <c r="AP39" s="96"/>
      <c r="AQ39" s="97">
        <f t="shared" si="7"/>
        <v>1072.0041025641026</v>
      </c>
      <c r="AR39" s="98">
        <f t="shared" si="26"/>
        <v>105.54</v>
      </c>
      <c r="AS39" s="98">
        <f t="shared" si="9"/>
        <v>402.76871794871801</v>
      </c>
      <c r="AT39" s="98">
        <f t="shared" si="10"/>
        <v>245.92780487804879</v>
      </c>
      <c r="AU39" s="98">
        <f t="shared" si="16"/>
        <v>272.09756097560978</v>
      </c>
      <c r="AV39" s="98">
        <f t="array" ref="AV39">_xlfn.IFS(U39=0,AO39,U39&lt;0,AO39/-U39,U39&gt;0,AO39/U39)</f>
        <v>-25.427496459569824</v>
      </c>
      <c r="AW39" s="234">
        <f t="shared" si="35"/>
        <v>-2.3719588757869829E-2</v>
      </c>
      <c r="AX39" s="234">
        <f t="shared" si="36"/>
        <v>-0.24092757683882721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ДЕКАБРЬ!N40+ЯНВАРЬ!N40+ФЕВРАЛЬ!N40+МАРТ!N40+АПРЕЛЬ!N40</f>
        <v>64</v>
      </c>
      <c r="O40" s="89"/>
      <c r="P40" s="89"/>
      <c r="Q40" s="233"/>
      <c r="R40" s="92"/>
      <c r="S40" s="93">
        <f>ДЕКАБРЬ!S40+ЯНВАРЬ!S40+ФЕВРАЛЬ!S40+МАРТ!S40+АПРЕЛЬ!S40</f>
        <v>20</v>
      </c>
      <c r="T40" s="93">
        <f>ДЕКАБРЬ!T40+ЯНВАРЬ!T40+ФЕВРАЛЬ!T40+МАРТ!T40+АПРЕЛЬ!T40</f>
        <v>-2</v>
      </c>
      <c r="U40" s="92">
        <f t="shared" si="1"/>
        <v>18</v>
      </c>
      <c r="V40" s="93">
        <f>ДЕКАБРЬ!V40+ЯНВАРЬ!V40+ФЕВРАЛЬ!V40+МАРТ!V40+АПРЕЛЬ!V40</f>
        <v>15360</v>
      </c>
      <c r="W40" s="93">
        <f>ДЕКАБРЬ!W40+ЯНВАРЬ!W40+ФЕВРАЛЬ!W40+МАРТ!W40+АПРЕЛЬ!W40</f>
        <v>-1580</v>
      </c>
      <c r="X40" s="92">
        <f t="shared" si="2"/>
        <v>13780</v>
      </c>
      <c r="Y40" s="93">
        <f>ДЕКАБРЬ!Y40+ЯНВАРЬ!Y40+ФЕВРАЛЬ!Y40+МАРТ!Y40+АПРЕЛЬ!Y40</f>
        <v>23931</v>
      </c>
      <c r="Z40" s="93">
        <f>ДЕКАБРЬ!Z40+ЯНВАРЬ!Z40+ФЕВРАЛЬ!Z40+МАРТ!Z40+АПРЕЛЬ!Z40</f>
        <v>-2394</v>
      </c>
      <c r="AA40" s="232">
        <f t="shared" si="3"/>
        <v>21537</v>
      </c>
      <c r="AB40" s="92">
        <f t="shared" si="14"/>
        <v>0</v>
      </c>
      <c r="AC40" s="234">
        <f t="shared" si="34"/>
        <v>4.8778857539675982E-4</v>
      </c>
      <c r="AD40" s="92">
        <f t="shared" si="5"/>
        <v>1899.72</v>
      </c>
      <c r="AE40" s="93">
        <f>ДЕКАБРЬ!AE40+ЯНВАРЬ!AE40+ФЕВРАЛЬ!AE40+МАРТ!AE40+АПРЕЛЬ!AE40</f>
        <v>8118.63</v>
      </c>
      <c r="AF40" s="234">
        <f t="shared" si="6"/>
        <v>0.37696197241955703</v>
      </c>
      <c r="AG40" s="93">
        <f>ДЕКАБРЬ!AG40+ЯНВАРЬ!AG40+ФЕВРАЛЬ!AG40+МАРТ!AG40+АПРЕЛЬ!AG40</f>
        <v>5335.05</v>
      </c>
      <c r="AH40" s="93">
        <f>ДЕКАБРЬ!AH40+ЯНВАРЬ!AH40+ФЕВРАЛЬ!AH40+МАРТ!AH40+АПРЕЛЬ!AH40</f>
        <v>0</v>
      </c>
      <c r="AI40" s="93">
        <f>ДЕКАБРЬ!AI40+ЯНВАРЬ!AI40+ФЕВРАЛЬ!AI40+МАРТ!AI40+АПРЕЛЬ!AI40</f>
        <v>0</v>
      </c>
      <c r="AJ40" s="93">
        <f>АПРЕЛЬ!AJ40</f>
        <v>0</v>
      </c>
      <c r="AK40" s="93"/>
      <c r="AL40" s="93">
        <f>ДЕКАБРЬ!AL40+ЯНВАРЬ!AL40+ФЕВРАЛЬ!AL40+МАРТ!AL40+АПРЕЛЬ!AL40</f>
        <v>421.81519497637157</v>
      </c>
      <c r="AM40" s="93">
        <f>ДЕКАБРЬ!AM40+ЯНВАРЬ!AM40+ФЕВРАЛЬ!AM40+МАРТ!AM40+АПРЕЛЬ!AM40</f>
        <v>0</v>
      </c>
      <c r="AN40" s="93">
        <f>ДЕКАБРЬ!AN40+ЯНВАРЬ!AN40+ФЕВРАЛЬ!AN40+МАРТ!AN40+АПРЕЛЬ!AN40</f>
        <v>777.20280512938029</v>
      </c>
      <c r="AO40" s="95">
        <f t="shared" si="15"/>
        <v>4984.5819998942461</v>
      </c>
      <c r="AP40" s="96"/>
      <c r="AQ40" s="97">
        <f t="shared" si="7"/>
        <v>1196.5</v>
      </c>
      <c r="AR40" s="98">
        <f t="shared" si="26"/>
        <v>105.54</v>
      </c>
      <c r="AS40" s="98">
        <f t="shared" si="9"/>
        <v>451.03500000000003</v>
      </c>
      <c r="AT40" s="98">
        <f t="shared" si="10"/>
        <v>266.7525</v>
      </c>
      <c r="AU40" s="98">
        <f t="shared" si="16"/>
        <v>0</v>
      </c>
      <c r="AV40" s="98">
        <f t="array" ref="AV40">_xlfn.IFS(U40=0,AO40,U40&lt;0,AO40/-U40,U40&gt;0,AO40/U40)</f>
        <v>276.92122221634702</v>
      </c>
      <c r="AW40" s="234">
        <f t="shared" si="35"/>
        <v>0.23144272646581449</v>
      </c>
      <c r="AX40" s="234">
        <f t="shared" si="36"/>
        <v>2.6238508832323952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ДЕКАБРЬ!N41+ЯНВАРЬ!N41+ФЕВРАЛЬ!N41+МАРТ!N41+АПРЕЛЬ!N41</f>
        <v>19</v>
      </c>
      <c r="O41" s="89"/>
      <c r="P41" s="89"/>
      <c r="Q41" s="233"/>
      <c r="R41" s="92"/>
      <c r="S41" s="93">
        <f>ДЕКАБРЬ!S41+ЯНВАРЬ!S41+ФЕВРАЛЬ!S41+МАРТ!S41+АПРЕЛЬ!S41</f>
        <v>8</v>
      </c>
      <c r="T41" s="93">
        <f>ДЕКАБРЬ!T41+ЯНВАРЬ!T41+ФЕВРАЛЬ!T41+МАРТ!T41+АПРЕЛЬ!T41</f>
        <v>0</v>
      </c>
      <c r="U41" s="92">
        <f t="shared" si="1"/>
        <v>8</v>
      </c>
      <c r="V41" s="93">
        <f>ДЕКАБРЬ!V41+ЯНВАРЬ!V41+ФЕВРАЛЬ!V41+МАРТ!V41+АПРЕЛЬ!V41</f>
        <v>6438</v>
      </c>
      <c r="W41" s="93">
        <f>ДЕКАБРЬ!W41+ЯНВАРЬ!W41+ФЕВРАЛЬ!W41+МАРТ!W41+АПРЕЛЬ!W41</f>
        <v>0</v>
      </c>
      <c r="X41" s="92">
        <f t="shared" si="2"/>
        <v>6438</v>
      </c>
      <c r="Y41" s="93">
        <f>ДЕКАБРЬ!Y41+ЯНВАРЬ!Y41+ФЕВРАЛЬ!Y41+МАРТ!Y41+АПРЕЛЬ!Y41</f>
        <v>9741.4599999999991</v>
      </c>
      <c r="Z41" s="93">
        <f>ДЕКАБРЬ!Z41+ЯНВАРЬ!Z41+ФЕВРАЛЬ!Z41+МАРТ!Z41+АПРЕЛЬ!Z41</f>
        <v>0</v>
      </c>
      <c r="AA41" s="232">
        <f t="shared" si="3"/>
        <v>9741.4599999999991</v>
      </c>
      <c r="AB41" s="92">
        <f t="shared" si="14"/>
        <v>0</v>
      </c>
      <c r="AC41" s="234">
        <f t="shared" si="34"/>
        <v>2.2063299882455864E-4</v>
      </c>
      <c r="AD41" s="92">
        <f t="shared" si="5"/>
        <v>984.72</v>
      </c>
      <c r="AE41" s="93">
        <f>ДЕКАБРЬ!AE41+ЯНВАРЬ!AE41+ФЕВРАЛЬ!AE41+МАРТ!AE41+АПРЕЛЬ!AE41</f>
        <v>3653.65</v>
      </c>
      <c r="AF41" s="234">
        <f t="shared" si="6"/>
        <v>0.37506184904521506</v>
      </c>
      <c r="AG41" s="93">
        <f>ДЕКАБРЬ!AG41+ЯНВАРЬ!AG41+ФЕВРАЛЬ!AG41+МАРТ!AG41+АПРЕЛЬ!AG41</f>
        <v>1593.71</v>
      </c>
      <c r="AH41" s="93">
        <f>ДЕКАБРЬ!AH41+ЯНВАРЬ!AH41+ФЕВРАЛЬ!AH41+МАРТ!AH41+АПРЕЛЬ!AH41</f>
        <v>0</v>
      </c>
      <c r="AI41" s="93">
        <f>ДЕКАБРЬ!AI41+ЯНВАРЬ!AI41+ФЕВРАЛЬ!AI41+МАРТ!AI41+АПРЕЛЬ!AI41</f>
        <v>0</v>
      </c>
      <c r="AJ41" s="93">
        <f>АПРЕЛЬ!AJ41</f>
        <v>0</v>
      </c>
      <c r="AK41" s="93"/>
      <c r="AL41" s="93">
        <f>ДЕКАБРЬ!AL41+ЯНВАРЬ!AL41+ФЕВРАЛЬ!AL41+МАРТ!AL41+АПРЕЛЬ!AL41</f>
        <v>521.10433478446998</v>
      </c>
      <c r="AM41" s="93">
        <f>ДЕКАБРЬ!AM41+ЯНВАРЬ!AM41+ФЕВРАЛЬ!AM41+МАРТ!AM41+АПРЕЛЬ!AM41</f>
        <v>0</v>
      </c>
      <c r="AN41" s="93">
        <f>ДЕКАБРЬ!AN41+ЯНВАРЬ!AN41+ФЕВРАЛЬ!AN41+МАРТ!AN41+АПРЕЛЬ!AN41</f>
        <v>362.02373057273627</v>
      </c>
      <c r="AO41" s="95">
        <f t="shared" si="15"/>
        <v>2626.2519346427939</v>
      </c>
      <c r="AP41" s="96"/>
      <c r="AQ41" s="97">
        <f t="shared" si="7"/>
        <v>1217.6824999999999</v>
      </c>
      <c r="AR41" s="98">
        <f t="shared" si="26"/>
        <v>123.09</v>
      </c>
      <c r="AS41" s="98">
        <f t="shared" si="9"/>
        <v>456.70625000000001</v>
      </c>
      <c r="AT41" s="98">
        <f t="shared" si="10"/>
        <v>199.21375</v>
      </c>
      <c r="AU41" s="98">
        <f t="shared" si="16"/>
        <v>0</v>
      </c>
      <c r="AV41" s="98">
        <f t="array" ref="AV41">_xlfn.IFS(U41=0,AO41,U41&lt;0,AO41/-U41,U41&gt;0,AO41/U41)</f>
        <v>328.28149183034924</v>
      </c>
      <c r="AW41" s="234">
        <f t="shared" si="35"/>
        <v>0.26959531062518288</v>
      </c>
      <c r="AX41" s="234">
        <f t="shared" si="36"/>
        <v>2.6670037519729402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ДЕКАБРЬ!N42+ЯНВАРЬ!N42+ФЕВРАЛЬ!N42+МАРТ!N42+АПРЕЛЬ!N42</f>
        <v>68</v>
      </c>
      <c r="O42" s="89"/>
      <c r="P42" s="89"/>
      <c r="Q42" s="233"/>
      <c r="R42" s="92"/>
      <c r="S42" s="93">
        <f>ДЕКАБРЬ!S42+ЯНВАРЬ!S42+ФЕВРАЛЬ!S42+МАРТ!S42+АПРЕЛЬ!S42</f>
        <v>21</v>
      </c>
      <c r="T42" s="93">
        <f>ДЕКАБРЬ!T42+ЯНВАРЬ!T42+ФЕВРАЛЬ!T42+МАРТ!T42+АПРЕЛЬ!T42</f>
        <v>0</v>
      </c>
      <c r="U42" s="92">
        <f t="shared" si="1"/>
        <v>21</v>
      </c>
      <c r="V42" s="93">
        <f>ДЕКАБРЬ!V42+ЯНВАРЬ!V42+ФЕВРАЛЬ!V42+МАРТ!V42+АПРЕЛЬ!V42</f>
        <v>16212.75</v>
      </c>
      <c r="W42" s="93">
        <f>ДЕКАБРЬ!W42+ЯНВАРЬ!W42+ФЕВРАЛЬ!W42+МАРТ!W42+АПРЕЛЬ!W42</f>
        <v>0</v>
      </c>
      <c r="X42" s="92">
        <f t="shared" si="2"/>
        <v>16212.75</v>
      </c>
      <c r="Y42" s="93">
        <f>ДЕКАБРЬ!Y42+ЯНВАРЬ!Y42+ФЕВРАЛЬ!Y42+МАРТ!Y42+АПРЕЛЬ!Y42</f>
        <v>24624.510000000002</v>
      </c>
      <c r="Z42" s="93">
        <f>ДЕКАБРЬ!Z42+ЯНВАРЬ!Z42+ФЕВРАЛЬ!Z42+МАРТ!Z42+АПРЕЛЬ!Z42</f>
        <v>0</v>
      </c>
      <c r="AA42" s="232">
        <f t="shared" si="3"/>
        <v>24624.510000000002</v>
      </c>
      <c r="AB42" s="92">
        <f t="shared" si="14"/>
        <v>0</v>
      </c>
      <c r="AC42" s="234">
        <f t="shared" si="34"/>
        <v>5.577171682566405E-4</v>
      </c>
      <c r="AD42" s="92">
        <f t="shared" si="5"/>
        <v>2584.89</v>
      </c>
      <c r="AE42" s="93">
        <f>ДЕКАБРЬ!AE42+ЯНВАРЬ!AE42+ФЕВРАЛЬ!AE42+МАРТ!AE42+АПРЕЛЬ!AE42</f>
        <v>9290.9400000000023</v>
      </c>
      <c r="AF42" s="234">
        <f t="shared" si="6"/>
        <v>0.37730456362380416</v>
      </c>
      <c r="AG42" s="93">
        <f>ДЕКАБРЬ!AG42+ЯНВАРЬ!AG42+ФЕВРАЛЬ!AG42+МАРТ!AG42+АПРЕЛЬ!AG42</f>
        <v>5268.58</v>
      </c>
      <c r="AH42" s="93">
        <f>ДЕКАБРЬ!AH42+ЯНВАРЬ!AH42+ФЕВРАЛЬ!AH42+МАРТ!AH42+АПРЕЛЬ!AH42</f>
        <v>0</v>
      </c>
      <c r="AI42" s="93">
        <f>ДЕКАБРЬ!AI42+ЯНВАРЬ!AI42+ФЕВРАЛЬ!AI42+МАРТ!AI42+АПРЕЛЬ!AI42</f>
        <v>0</v>
      </c>
      <c r="AJ42" s="93">
        <f>АПРЕЛЬ!AJ42</f>
        <v>0</v>
      </c>
      <c r="AK42" s="93"/>
      <c r="AL42" s="93">
        <f>ДЕКАБРЬ!AL42+ЯНВАРЬ!AL42+ФЕВРАЛЬ!AL42+МАРТ!AL42+АПРЕЛЬ!AL42</f>
        <v>399.76901724671239</v>
      </c>
      <c r="AM42" s="93">
        <f>ДЕКАБРЬ!AM42+ЯНВАРЬ!AM42+ФЕВРАЛЬ!AM42+МАРТ!AM42+АПРЕЛЬ!AM42</f>
        <v>0</v>
      </c>
      <c r="AN42" s="93">
        <f>ДЕКАБРЬ!AN42+ЯНВАРЬ!AN42+ФЕВРАЛЬ!AN42+МАРТ!AN42+АПРЕЛЬ!AN42</f>
        <v>910.58244646829576</v>
      </c>
      <c r="AO42" s="95">
        <f t="shared" si="15"/>
        <v>6169.748536284992</v>
      </c>
      <c r="AP42" s="96"/>
      <c r="AQ42" s="97">
        <f t="shared" si="7"/>
        <v>1172.5957142857144</v>
      </c>
      <c r="AR42" s="98">
        <f t="shared" si="26"/>
        <v>123.09</v>
      </c>
      <c r="AS42" s="98">
        <f t="shared" si="9"/>
        <v>442.42571428571438</v>
      </c>
      <c r="AT42" s="98">
        <f t="shared" si="10"/>
        <v>250.88476190476189</v>
      </c>
      <c r="AU42" s="98">
        <f t="shared" si="16"/>
        <v>0</v>
      </c>
      <c r="AV42" s="98">
        <f t="array" ref="AV42">_xlfn.IFS(U42=0,AO42,U42&lt;0,AO42/-U42,U42&gt;0,AO42/U42)</f>
        <v>293.79754934690436</v>
      </c>
      <c r="AW42" s="234">
        <f t="shared" si="35"/>
        <v>0.25055314953617314</v>
      </c>
      <c r="AX42" s="234">
        <f t="shared" si="36"/>
        <v>2.3868514854732665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ДЕКАБРЬ!N43+ЯНВАРЬ!N43+ФЕВРАЛЬ!N43+МАРТ!N43+АПРЕЛЬ!N43</f>
        <v>126</v>
      </c>
      <c r="O43" s="89"/>
      <c r="P43" s="89"/>
      <c r="Q43" s="233"/>
      <c r="R43" s="92"/>
      <c r="S43" s="93">
        <f>ДЕКАБРЬ!S43+ЯНВАРЬ!S43+ФЕВРАЛЬ!S43+МАРТ!S43+АПРЕЛЬ!S43</f>
        <v>50</v>
      </c>
      <c r="T43" s="93">
        <f>ДЕКАБРЬ!T43+ЯНВАРЬ!T43+ФЕВРАЛЬ!T43+МАРТ!T43+АПРЕЛЬ!T43</f>
        <v>-4</v>
      </c>
      <c r="U43" s="92">
        <f t="shared" si="1"/>
        <v>46</v>
      </c>
      <c r="V43" s="93">
        <f>ДЕКАБРЬ!V43+ЯНВАРЬ!V43+ФЕВРАЛЬ!V43+МАРТ!V43+АПРЕЛЬ!V43</f>
        <v>36201.9</v>
      </c>
      <c r="W43" s="93">
        <f>ДЕКАБРЬ!W43+ЯНВАРЬ!W43+ФЕВРАЛЬ!W43+МАРТ!W43+АПРЕЛЬ!W43</f>
        <v>-3175</v>
      </c>
      <c r="X43" s="92">
        <f t="shared" si="2"/>
        <v>33026.9</v>
      </c>
      <c r="Y43" s="93">
        <f>ДЕКАБРЬ!Y43+ЯНВАРЬ!Y43+ФЕВРАЛЬ!Y43+МАРТ!Y43+АПРЕЛЬ!Y43</f>
        <v>55135.900000000009</v>
      </c>
      <c r="Z43" s="93">
        <f>ДЕКАБРЬ!Z43+ЯНВАРЬ!Z43+ФЕВРАЛЬ!Z43+МАРТ!Z43+АПРЕЛЬ!Z43</f>
        <v>-4566</v>
      </c>
      <c r="AA43" s="232">
        <f t="shared" si="3"/>
        <v>50569.900000000009</v>
      </c>
      <c r="AB43" s="92">
        <f t="shared" si="14"/>
        <v>0</v>
      </c>
      <c r="AC43" s="234">
        <f t="shared" si="34"/>
        <v>1.1453507674679207E-3</v>
      </c>
      <c r="AD43" s="92">
        <f t="shared" si="5"/>
        <v>5662.14</v>
      </c>
      <c r="AE43" s="93">
        <f>ДЕКАБРЬ!AE43+ЯНВАРЬ!AE43+ФЕВРАЛЬ!AE43+МАРТ!AE43+АПРЕЛЬ!AE43</f>
        <v>19108.600000000006</v>
      </c>
      <c r="AF43" s="234">
        <f t="shared" si="6"/>
        <v>0.37786509366243559</v>
      </c>
      <c r="AG43" s="93">
        <f>ДЕКАБРЬ!AG43+ЯНВАРЬ!AG43+ФЕВРАЛЬ!AG43+МАРТ!AG43+АПРЕЛЬ!AG43</f>
        <v>10163.119999999997</v>
      </c>
      <c r="AH43" s="93">
        <f>ДЕКАБРЬ!AH43+ЯНВАРЬ!AH43+ФЕВРАЛЬ!AH43+МАРТ!AH43+АПРЕЛЬ!AH43</f>
        <v>4000</v>
      </c>
      <c r="AI43" s="93">
        <f>ДЕКАБРЬ!AI43+ЯНВАРЬ!AI43+ФЕВРАЛЬ!AI43+МАРТ!AI43+АПРЕЛЬ!AI43</f>
        <v>7000</v>
      </c>
      <c r="AJ43" s="93">
        <f>АПРЕЛЬ!AJ43</f>
        <v>0</v>
      </c>
      <c r="AK43" s="93"/>
      <c r="AL43" s="93">
        <f>ДЕКАБРЬ!AL43+ЯНВАРЬ!AL43+ФЕВРАЛЬ!AL43+МАРТ!AL43+АПРЕЛЬ!AL43</f>
        <v>176.6949020378155</v>
      </c>
      <c r="AM43" s="93">
        <f>ДЕКАБРЬ!AM43+ЯНВАРЬ!AM43+ФЕВРАЛЬ!AM43+МАРТ!AM43+АПРЕЛЬ!AM43</f>
        <v>0</v>
      </c>
      <c r="AN43" s="93">
        <f>ДЕКАБРЬ!AN43+ЯНВАРЬ!AN43+ФЕВРАЛЬ!AN43+МАРТ!AN43+АПРЕЛЬ!AN43</f>
        <v>1901.8739154412833</v>
      </c>
      <c r="AO43" s="95">
        <f t="shared" si="15"/>
        <v>2557.4711825209079</v>
      </c>
      <c r="AP43" s="96"/>
      <c r="AQ43" s="97">
        <f t="shared" si="7"/>
        <v>1099.3456521739133</v>
      </c>
      <c r="AR43" s="98">
        <f t="shared" si="26"/>
        <v>123.09</v>
      </c>
      <c r="AS43" s="98">
        <f t="shared" si="9"/>
        <v>415.40434782608708</v>
      </c>
      <c r="AT43" s="98">
        <f t="shared" si="10"/>
        <v>203.26239999999996</v>
      </c>
      <c r="AU43" s="98">
        <f t="shared" si="16"/>
        <v>220</v>
      </c>
      <c r="AV43" s="98">
        <f t="array" ref="AV43">_xlfn.IFS(U43=0,AO43,U43&lt;0,AO43/-U43,U43&gt;0,AO43/U43)</f>
        <v>55.597199620019737</v>
      </c>
      <c r="AW43" s="234">
        <f t="shared" si="35"/>
        <v>5.0572992679853178E-2</v>
      </c>
      <c r="AX43" s="234">
        <f t="shared" si="36"/>
        <v>0.45167925599171121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ДЕКАБРЬ!N44+ЯНВАРЬ!N44+ФЕВРАЛЬ!N44+МАРТ!N44+АПРЕЛЬ!N44</f>
        <v>736</v>
      </c>
      <c r="O44" s="89"/>
      <c r="P44" s="89"/>
      <c r="Q44" s="233"/>
      <c r="R44" s="92"/>
      <c r="S44" s="93">
        <f>ДЕКАБРЬ!S44+ЯНВАРЬ!S44+ФЕВРАЛЬ!S44+МАРТ!S44+АПРЕЛЬ!S44</f>
        <v>324</v>
      </c>
      <c r="T44" s="93">
        <f>ДЕКАБРЬ!T44+ЯНВАРЬ!T44+ФЕВРАЛЬ!T44+МАРТ!T44+АПРЕЛЬ!T44</f>
        <v>-11</v>
      </c>
      <c r="U44" s="92">
        <f t="shared" si="1"/>
        <v>313</v>
      </c>
      <c r="V44" s="93">
        <f>ДЕКАБРЬ!V44+ЯНВАРЬ!V44+ФЕВРАЛЬ!V44+МАРТ!V44+АПРЕЛЬ!V44</f>
        <v>252218.49</v>
      </c>
      <c r="W44" s="93">
        <f>ДЕКАБРЬ!W44+ЯНВАРЬ!W44+ФЕВРАЛЬ!W44+МАРТ!W44+АПРЕЛЬ!W44</f>
        <v>-8693.44</v>
      </c>
      <c r="X44" s="92">
        <f t="shared" si="2"/>
        <v>243525.05</v>
      </c>
      <c r="Y44" s="93">
        <f>ДЕКАБРЬ!Y44+ЯНВАРЬ!Y44+ФЕВРАЛЬ!Y44+МАРТ!Y44+АПРЕЛЬ!Y44</f>
        <v>377534.58999999997</v>
      </c>
      <c r="Z44" s="93">
        <f>ДЕКАБРЬ!Z44+ЯНВАРЬ!Z44+ФЕВРАЛЬ!Z44+МАРТ!Z44+АПРЕЛЬ!Z44</f>
        <v>-12928.11</v>
      </c>
      <c r="AA44" s="232">
        <f t="shared" si="3"/>
        <v>364606.48</v>
      </c>
      <c r="AB44" s="92">
        <f t="shared" si="14"/>
        <v>0</v>
      </c>
      <c r="AC44" s="234">
        <f t="shared" si="34"/>
        <v>8.2579224339335653E-3</v>
      </c>
      <c r="AD44" s="92">
        <f t="shared" si="5"/>
        <v>34865.07</v>
      </c>
      <c r="AE44" s="93">
        <f>ДЕКАБРЬ!AE44+ЯНВАРЬ!AE44+ФЕВРАЛЬ!AE44+МАРТ!AE44+АПРЕЛЬ!AE44</f>
        <v>137821.87</v>
      </c>
      <c r="AF44" s="234">
        <f t="shared" si="6"/>
        <v>0.37800170199937205</v>
      </c>
      <c r="AG44" s="93">
        <f>ДЕКАБРЬ!AG44+ЯНВАРЬ!AG44+ФЕВРАЛЬ!AG44+МАРТ!AG44+АПРЕЛЬ!AG44</f>
        <v>49855.489999999991</v>
      </c>
      <c r="AH44" s="93">
        <f>ДЕКАБРЬ!AH44+ЯНВАРЬ!AH44+ФЕВРАЛЬ!AH44+МАРТ!AH44+АПРЕЛЬ!AH44</f>
        <v>7604</v>
      </c>
      <c r="AI44" s="93">
        <f>ДЕКАБРЬ!AI44+ЯНВАРЬ!AI44+ФЕВРАЛЬ!AI44+МАРТ!AI44+АПРЕЛЬ!AI44</f>
        <v>28982</v>
      </c>
      <c r="AJ44" s="93">
        <f>АПРЕЛЬ!AJ44</f>
        <v>0</v>
      </c>
      <c r="AK44" s="93"/>
      <c r="AL44" s="93">
        <f>ДЕКАБРЬ!AL44+ЯНВАРЬ!AL44+ФЕВРАЛЬ!AL44+МАРТ!AL44+АПРЕЛЬ!AL44</f>
        <v>1576.8689031337137</v>
      </c>
      <c r="AM44" s="93">
        <f>ДЕКАБРЬ!AM44+ЯНВАРЬ!AM44+ФЕВРАЛЬ!AM44+МАРТ!AM44+АПРЕЛЬ!AM44</f>
        <v>911</v>
      </c>
      <c r="AN44" s="93">
        <f>ДЕКАБРЬ!AN44+ЯНВАРЬ!AN44+ФЕВРАЛЬ!AN44+МАРТ!AN44+АПРЕЛЬ!AN44</f>
        <v>13728.753766064343</v>
      </c>
      <c r="AO44" s="95">
        <f t="shared" si="15"/>
        <v>89261.427330801933</v>
      </c>
      <c r="AP44" s="96"/>
      <c r="AQ44" s="97">
        <f t="shared" si="7"/>
        <v>1164.8769329073482</v>
      </c>
      <c r="AR44" s="98">
        <f t="shared" si="26"/>
        <v>111.39</v>
      </c>
      <c r="AS44" s="98">
        <f t="shared" si="9"/>
        <v>440.32546325878593</v>
      </c>
      <c r="AT44" s="98">
        <f t="shared" si="10"/>
        <v>153.87496913580244</v>
      </c>
      <c r="AU44" s="98">
        <f t="shared" si="16"/>
        <v>112.91975308641975</v>
      </c>
      <c r="AV44" s="98">
        <f t="array" ref="AV44">_xlfn.IFS(U44=0,AO44,U44&lt;0,AO44/-U44,U44&gt;0,AO44/U44)</f>
        <v>285.18027901214674</v>
      </c>
      <c r="AW44" s="234">
        <f t="shared" si="35"/>
        <v>0.24481580067036091</v>
      </c>
      <c r="AX44" s="234">
        <f t="shared" si="36"/>
        <v>2.5601964180998897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ДЕКАБРЬ!N45+ЯНВАРЬ!N45+ФЕВРАЛЬ!N45+МАРТ!N45+АПРЕЛЬ!N45</f>
        <v>1201</v>
      </c>
      <c r="O45" s="89"/>
      <c r="P45" s="89"/>
      <c r="Q45" s="233"/>
      <c r="R45" s="92"/>
      <c r="S45" s="93">
        <f>ДЕКАБРЬ!S45+ЯНВАРЬ!S45+ФЕВРАЛЬ!S45+МАРТ!S45+АПРЕЛЬ!S45</f>
        <v>476</v>
      </c>
      <c r="T45" s="93">
        <f>ДЕКАБРЬ!T45+ЯНВАРЬ!T45+ФЕВРАЛЬ!T45+МАРТ!T45+АПРЕЛЬ!T45</f>
        <v>-30</v>
      </c>
      <c r="U45" s="92">
        <f t="shared" si="1"/>
        <v>446</v>
      </c>
      <c r="V45" s="93">
        <f>ДЕКАБРЬ!V45+ЯНВАРЬ!V45+ФЕВРАЛЬ!V45+МАРТ!V45+АПРЕЛЬ!V45</f>
        <v>465738.1</v>
      </c>
      <c r="W45" s="93">
        <f>ДЕКАБРЬ!W45+ЯНВАРЬ!W45+ФЕВРАЛЬ!W45+МАРТ!W45+АПРЕЛЬ!W45</f>
        <v>-29377</v>
      </c>
      <c r="X45" s="92">
        <f t="shared" si="2"/>
        <v>436361.1</v>
      </c>
      <c r="Y45" s="93">
        <f>ДЕКАБРЬ!Y45+ЯНВАРЬ!Y45+ФЕВРАЛЬ!Y45+МАРТ!Y45+АПРЕЛЬ!Y45</f>
        <v>704107.05</v>
      </c>
      <c r="Z45" s="93">
        <f>ДЕКАБРЬ!Z45+ЯНВАРЬ!Z45+ФЕВРАЛЬ!Z45+МАРТ!Z45+АПРЕЛЬ!Z45</f>
        <v>-44537.25</v>
      </c>
      <c r="AA45" s="232">
        <f t="shared" si="3"/>
        <v>659569.80000000005</v>
      </c>
      <c r="AB45" s="92">
        <f t="shared" si="14"/>
        <v>0</v>
      </c>
      <c r="AC45" s="234">
        <f t="shared" si="34"/>
        <v>1.4938506436213299E-2</v>
      </c>
      <c r="AD45" s="92">
        <f t="shared" si="5"/>
        <v>48114.479999999996</v>
      </c>
      <c r="AE45" s="93">
        <f>ДЕКАБРЬ!AE45+ЯНВАРЬ!AE45+ФЕВРАЛЬ!AE45+МАРТ!AE45+АПРЕЛЬ!AE45</f>
        <v>248327.4</v>
      </c>
      <c r="AF45" s="234">
        <f t="shared" si="6"/>
        <v>0.37649904528679146</v>
      </c>
      <c r="AG45" s="93">
        <f>ДЕКАБРЬ!AG45+ЯНВАРЬ!AG45+ФЕВРАЛЬ!AG45+МАРТ!AG45+АПРЕЛЬ!AG45</f>
        <v>89655.44</v>
      </c>
      <c r="AH45" s="93">
        <f>ДЕКАБРЬ!AH45+ЯНВАРЬ!AH45+ФЕВРАЛЬ!AH45+МАРТ!AH45+АПРЕЛЬ!AH45</f>
        <v>67200</v>
      </c>
      <c r="AI45" s="93">
        <f>ДЕКАБРЬ!AI45+ЯНВАРЬ!AI45+ФЕВРАЛЬ!AI45+МАРТ!AI45+АПРЕЛЬ!AI45</f>
        <v>52600</v>
      </c>
      <c r="AJ45" s="93">
        <f>АПРЕЛЬ!AJ45</f>
        <v>8710</v>
      </c>
      <c r="AK45" s="93"/>
      <c r="AL45" s="93">
        <f>ДЕКАБРЬ!AL45+ЯНВАРЬ!AL45+ФЕВРАЛЬ!AL45+МАРТ!AL45+АПРЕЛЬ!AL45</f>
        <v>1853.6635911936714</v>
      </c>
      <c r="AM45" s="93">
        <f>ДЕКАБРЬ!AM45+ЯНВАРЬ!AM45+ФЕВРАЛЬ!AM45+МАРТ!AM45+АПРЕЛЬ!AM45</f>
        <v>30</v>
      </c>
      <c r="AN45" s="93">
        <f>ДЕКАБРЬ!AN45+ЯНВАРЬ!AN45+ФЕВРАЛЬ!AN45+МАРТ!AN45+АПРЕЛЬ!AN45</f>
        <v>24599.030334243849</v>
      </c>
      <c r="AO45" s="95">
        <f t="shared" si="15"/>
        <v>118479.78607456252</v>
      </c>
      <c r="AP45" s="96"/>
      <c r="AQ45" s="97">
        <f t="shared" si="7"/>
        <v>1478.8560538116592</v>
      </c>
      <c r="AR45" s="98">
        <f t="shared" si="26"/>
        <v>107.88</v>
      </c>
      <c r="AS45" s="98">
        <f t="shared" si="9"/>
        <v>556.78789237668161</v>
      </c>
      <c r="AT45" s="98">
        <f t="shared" si="10"/>
        <v>188.35176470588235</v>
      </c>
      <c r="AU45" s="98">
        <f t="shared" si="16"/>
        <v>269.97899159663865</v>
      </c>
      <c r="AV45" s="98">
        <f t="array" ref="AV45">_xlfn.IFS(U45=0,AO45,U45&lt;0,AO45/-U45,U45&gt;0,AO45/U45)</f>
        <v>265.64974456179937</v>
      </c>
      <c r="AW45" s="234">
        <f t="shared" si="35"/>
        <v>0.17963191473375906</v>
      </c>
      <c r="AX45" s="234">
        <f t="shared" si="36"/>
        <v>2.4624559191861271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ДЕКАБРЬ!N46+ЯНВАРЬ!N46+ФЕВРАЛЬ!N46+МАРТ!N46+АПРЕЛЬ!N46</f>
        <v>0</v>
      </c>
      <c r="O46" s="89"/>
      <c r="P46" s="89"/>
      <c r="Q46" s="233"/>
      <c r="R46" s="92"/>
      <c r="S46" s="93">
        <f>ДЕКАБРЬ!S46+ЯНВАРЬ!S46+ФЕВРАЛЬ!S46+МАРТ!S46+АПРЕЛЬ!S46</f>
        <v>0</v>
      </c>
      <c r="T46" s="93">
        <f>ДЕКАБРЬ!T46+ЯНВАРЬ!T46+ФЕВРАЛЬ!T46+МАРТ!T46+АПРЕЛЬ!T46</f>
        <v>0</v>
      </c>
      <c r="U46" s="92">
        <f t="shared" si="1"/>
        <v>0</v>
      </c>
      <c r="V46" s="93">
        <f>ДЕКАБРЬ!V46+ЯНВАРЬ!V46+ФЕВРАЛЬ!V46+МАРТ!V46+АПРЕЛЬ!V46</f>
        <v>0</v>
      </c>
      <c r="W46" s="93">
        <f>ДЕКАБРЬ!W46+ЯНВАРЬ!W46+ФЕВРАЛЬ!W46+МАРТ!W46+АПРЕЛЬ!W46</f>
        <v>0</v>
      </c>
      <c r="X46" s="92">
        <f t="shared" si="2"/>
        <v>0</v>
      </c>
      <c r="Y46" s="93">
        <f>ДЕКАБРЬ!Y46+ЯНВАРЬ!Y46+ФЕВРАЛЬ!Y46+МАРТ!Y46+АПРЕЛЬ!Y46</f>
        <v>0</v>
      </c>
      <c r="Z46" s="93">
        <f>ДЕКАБРЬ!Z46+ЯНВАРЬ!Z46+ФЕВРАЛЬ!Z46+МАРТ!Z46+АПРЕЛЬ!Z46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ДЕКАБРЬ!AE46+ЯНВАРЬ!AE46+ФЕВРАЛЬ!AE46+МАРТ!AE46+АПРЕЛЬ!AE46</f>
        <v>0</v>
      </c>
      <c r="AF46" s="234">
        <f t="shared" si="6"/>
        <v>0</v>
      </c>
      <c r="AG46" s="93">
        <f>ДЕКАБРЬ!AG46+ЯНВАРЬ!AG46+ФЕВРАЛЬ!AG46+МАРТ!AG46+АПРЕЛЬ!AG46</f>
        <v>0</v>
      </c>
      <c r="AH46" s="93">
        <f>ДЕКАБРЬ!AH46+ЯНВАРЬ!AH46+ФЕВРАЛЬ!AH46+МАРТ!AH46+АПРЕЛЬ!AH46</f>
        <v>0</v>
      </c>
      <c r="AI46" s="93">
        <f>ДЕКАБРЬ!AI46+ЯНВАРЬ!AI46+ФЕВРАЛЬ!AI46+МАРТ!AI46+АПРЕЛЬ!AI46</f>
        <v>0</v>
      </c>
      <c r="AJ46" s="93">
        <f>АПРЕЛЬ!AJ46</f>
        <v>0</v>
      </c>
      <c r="AK46" s="93"/>
      <c r="AL46" s="93">
        <f>ДЕКАБРЬ!AL46+ЯНВАРЬ!AL46+ФЕВРАЛЬ!AL46+МАРТ!AL46+АПРЕЛЬ!AL46</f>
        <v>0</v>
      </c>
      <c r="AM46" s="93">
        <f>ДЕКАБРЬ!AM46+ЯНВАРЬ!AM46+ФЕВРАЛЬ!AM46+МАРТ!AM46+АПРЕЛЬ!AM46</f>
        <v>0</v>
      </c>
      <c r="AN46" s="93">
        <f>ДЕКАБРЬ!AN46+ЯНВАРЬ!AN46+ФЕВРАЛЬ!AN46+МАРТ!AN46+АПРЕЛЬ!AN46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ДЕКАБРЬ!N47+ЯНВАРЬ!N47+ФЕВРАЛЬ!N47+МАРТ!N47+АПРЕЛЬ!N47</f>
        <v>254</v>
      </c>
      <c r="O47" s="89"/>
      <c r="P47" s="89"/>
      <c r="Q47" s="233"/>
      <c r="R47" s="92"/>
      <c r="S47" s="93">
        <f>ДЕКАБРЬ!S47+ЯНВАРЬ!S47+ФЕВРАЛЬ!S47+МАРТ!S47+АПРЕЛЬ!S47</f>
        <v>153</v>
      </c>
      <c r="T47" s="93">
        <f>ДЕКАБРЬ!T47+ЯНВАРЬ!T47+ФЕВРАЛЬ!T47+МАРТ!T47+АПРЕЛЬ!T47</f>
        <v>-6</v>
      </c>
      <c r="U47" s="92">
        <f t="shared" si="1"/>
        <v>147</v>
      </c>
      <c r="V47" s="93">
        <f>ДЕКАБРЬ!V47+ЯНВАРЬ!V47+ФЕВРАЛЬ!V47+МАРТ!V47+АПРЕЛЬ!V47</f>
        <v>119202.93</v>
      </c>
      <c r="W47" s="93">
        <f>ДЕКАБРЬ!W47+ЯНВАРЬ!W47+ФЕВРАЛЬ!W47+МАРТ!W47+АПРЕЛЬ!W47</f>
        <v>-4712</v>
      </c>
      <c r="X47" s="92">
        <f t="shared" si="2"/>
        <v>114490.93</v>
      </c>
      <c r="Y47" s="93">
        <f>ДЕКАБРЬ!Y47+ЯНВАРЬ!Y47+ФЕВРАЛЬ!Y47+МАРТ!Y47+АПРЕЛЬ!Y47</f>
        <v>181715.79</v>
      </c>
      <c r="Z47" s="93">
        <f>ДЕКАБРЬ!Z47+ЯНВАРЬ!Z47+ФЕВРАЛЬ!Z47+МАРТ!Z47+АПРЕЛЬ!Z47</f>
        <v>-7495.88</v>
      </c>
      <c r="AA47" s="232">
        <f t="shared" si="3"/>
        <v>174219.91</v>
      </c>
      <c r="AB47" s="92">
        <f t="shared" si="14"/>
        <v>0</v>
      </c>
      <c r="AC47" s="234">
        <f t="shared" si="34"/>
        <v>3.9458829783466454E-3</v>
      </c>
      <c r="AD47" s="92">
        <f t="shared" si="5"/>
        <v>18094.23</v>
      </c>
      <c r="AE47" s="93">
        <f>ДЕКАБРЬ!AE47+ЯНВАРЬ!AE47+ФЕВРАЛЬ!AE47+МАРТ!AE47+АПРЕЛЬ!AE47</f>
        <v>65563.12</v>
      </c>
      <c r="AF47" s="234">
        <f t="shared" si="6"/>
        <v>0.37632392302349366</v>
      </c>
      <c r="AG47" s="93">
        <f>ДЕКАБРЬ!AG47+ЯНВАРЬ!AG47+ФЕВРАЛЬ!AG47+МАРТ!AG47+АПРЕЛЬ!AG47</f>
        <v>17836.46</v>
      </c>
      <c r="AH47" s="93">
        <f>ДЕКАБРЬ!AH47+ЯНВАРЬ!AH47+ФЕВРАЛЬ!AH47+МАРТ!AH47+АПРЕЛЬ!AH47</f>
        <v>5506</v>
      </c>
      <c r="AI47" s="93">
        <f>ДЕКАБРЬ!AI47+ЯНВАРЬ!AI47+ФЕВРАЛЬ!AI47+МАРТ!AI47+АПРЕЛЬ!AI47</f>
        <v>7894</v>
      </c>
      <c r="AJ47" s="93">
        <f>АПРЕЛЬ!AJ47</f>
        <v>104</v>
      </c>
      <c r="AK47" s="93"/>
      <c r="AL47" s="93">
        <f>ДЕКАБРЬ!AL47+ЯНВАРЬ!AL47+ФЕВРАЛЬ!AL47+МАРТ!AL47+АПРЕЛЬ!AL47</f>
        <v>973.23330614951965</v>
      </c>
      <c r="AM47" s="93">
        <f>ДЕКАБРЬ!AM47+ЯНВАРЬ!AM47+ФЕВРАЛЬ!AM47+МАРТ!AM47+АПРЕЛЬ!AM47</f>
        <v>20</v>
      </c>
      <c r="AN47" s="93">
        <f>ДЕКАБРЬ!AN47+ЯНВАРЬ!AN47+ФЕВРАЛЬ!AN47+МАРТ!AN47+АПРЕЛЬ!AN47</f>
        <v>6419.5266632893072</v>
      </c>
      <c r="AO47" s="95">
        <f t="shared" si="15"/>
        <v>51809.340030561172</v>
      </c>
      <c r="AP47" s="96"/>
      <c r="AQ47" s="97">
        <f t="shared" si="7"/>
        <v>1185.169455782313</v>
      </c>
      <c r="AR47" s="98">
        <f t="shared" si="26"/>
        <v>123.09</v>
      </c>
      <c r="AS47" s="98">
        <f t="shared" si="9"/>
        <v>446.00761904761902</v>
      </c>
      <c r="AT47" s="98">
        <f t="shared" si="10"/>
        <v>116.57816993464051</v>
      </c>
      <c r="AU47" s="98">
        <f t="shared" si="16"/>
        <v>88.261437908496731</v>
      </c>
      <c r="AV47" s="98">
        <f t="array" ref="AV47">_xlfn.IFS(U47=0,AO47,U47&lt;0,AO47/-U47,U47&gt;0,AO47/U47)</f>
        <v>352.44449000381752</v>
      </c>
      <c r="AW47" s="234">
        <f t="shared" si="35"/>
        <v>0.29737898516054323</v>
      </c>
      <c r="AX47" s="234">
        <f t="shared" si="36"/>
        <v>2.8633072548851857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ДЕКАБРЬ!N48+ЯНВАРЬ!N48+ФЕВРАЛЬ!N48+МАРТ!N48+АПРЕЛЬ!N48</f>
        <v>1178</v>
      </c>
      <c r="O48" s="89"/>
      <c r="P48" s="89"/>
      <c r="Q48" s="233"/>
      <c r="R48" s="92"/>
      <c r="S48" s="93">
        <f>ДЕКАБРЬ!S48+ЯНВАРЬ!S48+ФЕВРАЛЬ!S48+МАРТ!S48+АПРЕЛЬ!S48</f>
        <v>552</v>
      </c>
      <c r="T48" s="93">
        <f>ДЕКАБРЬ!T48+ЯНВАРЬ!T48+ФЕВРАЛЬ!T48+МАРТ!T48+АПРЕЛЬ!T48</f>
        <v>-25</v>
      </c>
      <c r="U48" s="92">
        <f t="shared" si="1"/>
        <v>527</v>
      </c>
      <c r="V48" s="93">
        <f>ДЕКАБРЬ!V48+ЯНВАРЬ!V48+ФЕВРАЛЬ!V48+МАРТ!V48+АПРЕЛЬ!V48</f>
        <v>479048.79000000004</v>
      </c>
      <c r="W48" s="93">
        <f>ДЕКАБРЬ!W48+ЯНВАРЬ!W48+ФЕВРАЛЬ!W48+МАРТ!W48+АПРЕЛЬ!W48</f>
        <v>-21408.43</v>
      </c>
      <c r="X48" s="92">
        <f t="shared" si="2"/>
        <v>457640.36000000004</v>
      </c>
      <c r="Y48" s="93">
        <f>ДЕКАБРЬ!Y48+ЯНВАРЬ!Y48+ФЕВРАЛЬ!Y48+МАРТ!Y48+АПРЕЛЬ!Y48</f>
        <v>729044.63000000012</v>
      </c>
      <c r="Z48" s="93">
        <f>ДЕКАБРЬ!Z48+ЯНВАРЬ!Z48+ФЕВРАЛЬ!Z48+МАРТ!Z48+АПРЕЛЬ!Z48</f>
        <v>-33006.850000000006</v>
      </c>
      <c r="AA48" s="232">
        <f t="shared" si="3"/>
        <v>696037.78000000014</v>
      </c>
      <c r="AB48" s="92">
        <f t="shared" si="14"/>
        <v>0</v>
      </c>
      <c r="AC48" s="234">
        <f t="shared" si="34"/>
        <v>1.5764464741074586E-2</v>
      </c>
      <c r="AD48" s="92">
        <f t="shared" si="5"/>
        <v>56852.759999999995</v>
      </c>
      <c r="AE48" s="93">
        <f>ДЕКАБРЬ!AE48+ЯНВАРЬ!AE48+ФЕВРАЛЬ!AE48+МАРТ!AE48+АПРЕЛЬ!AE48</f>
        <v>261782.19999999995</v>
      </c>
      <c r="AF48" s="234">
        <f t="shared" si="6"/>
        <v>0.37610343507503269</v>
      </c>
      <c r="AG48" s="93">
        <f>ДЕКАБРЬ!AG48+ЯНВАРЬ!AG48+ФЕВРАЛЬ!AG48+МАРТ!AG48+АПРЕЛЬ!AG48</f>
        <v>79343.299999999945</v>
      </c>
      <c r="AH48" s="93">
        <f>ДЕКАБРЬ!AH48+ЯНВАРЬ!AH48+ФЕВРАЛЬ!AH48+МАРТ!AH48+АПРЕЛЬ!AH48</f>
        <v>25829</v>
      </c>
      <c r="AI48" s="93">
        <f>ДЕКАБРЬ!AI48+ЯНВАРЬ!AI48+ФЕВРАЛЬ!AI48+МАРТ!AI48+АПРЕЛЬ!AI48</f>
        <v>60600</v>
      </c>
      <c r="AJ48" s="93">
        <f>АПРЕЛЬ!AJ48</f>
        <v>4326</v>
      </c>
      <c r="AK48" s="93"/>
      <c r="AL48" s="93">
        <f>ДЕКАБРЬ!AL48+ЯНВАРЬ!AL48+ФЕВРАЛЬ!AL48+МАРТ!AL48+АПРЕЛЬ!AL48</f>
        <v>3129.1098130709725</v>
      </c>
      <c r="AM48" s="93">
        <f>ДЕКАБРЬ!AM48+ЯНВАРЬ!AM48+ФЕВРАЛЬ!AM48+МАРТ!AM48+АПРЕЛЬ!AM48</f>
        <v>10</v>
      </c>
      <c r="AN48" s="93">
        <f>ДЕКАБРЬ!AN48+ЯНВАРЬ!AN48+ФЕВРАЛЬ!AN48+МАРТ!AN48+АПРЕЛЬ!AN48</f>
        <v>25838.982634917003</v>
      </c>
      <c r="AO48" s="95">
        <f t="shared" si="15"/>
        <v>178326.42755201226</v>
      </c>
      <c r="AP48" s="96"/>
      <c r="AQ48" s="97">
        <f t="shared" si="7"/>
        <v>1320.7548007590135</v>
      </c>
      <c r="AR48" s="98">
        <f t="shared" si="26"/>
        <v>107.88</v>
      </c>
      <c r="AS48" s="98">
        <f t="shared" si="9"/>
        <v>496.7404174573054</v>
      </c>
      <c r="AT48" s="98">
        <f t="shared" si="10"/>
        <v>143.73786231884048</v>
      </c>
      <c r="AU48" s="98">
        <f t="shared" si="16"/>
        <v>164.41123188405797</v>
      </c>
      <c r="AV48" s="98">
        <f t="array" ref="AV48">_xlfn.IFS(U48=0,AO48,U48&lt;0,AO48/-U48,U48&gt;0,AO48/U48)</f>
        <v>338.38031793550715</v>
      </c>
      <c r="AW48" s="234">
        <f t="shared" si="35"/>
        <v>0.25620222447122371</v>
      </c>
      <c r="AX48" s="234">
        <f t="shared" si="36"/>
        <v>3.1366362433769668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ДЕКАБРЬ!N49+ЯНВАРЬ!N49+ФЕВРАЛЬ!N49+МАРТ!N49+АПРЕЛЬ!N49</f>
        <v>1448</v>
      </c>
      <c r="O49" s="89"/>
      <c r="P49" s="89"/>
      <c r="Q49" s="233"/>
      <c r="R49" s="92"/>
      <c r="S49" s="93">
        <f>ДЕКАБРЬ!S49+ЯНВАРЬ!S49+ФЕВРАЛЬ!S49+МАРТ!S49+АПРЕЛЬ!S49</f>
        <v>529</v>
      </c>
      <c r="T49" s="93">
        <f>ДЕКАБРЬ!T49+ЯНВАРЬ!T49+ФЕВРАЛЬ!T49+МАРТ!T49+АПРЕЛЬ!T49</f>
        <v>-18</v>
      </c>
      <c r="U49" s="92">
        <f t="shared" si="1"/>
        <v>511</v>
      </c>
      <c r="V49" s="93">
        <f>ДЕКАБРЬ!V49+ЯНВАРЬ!V49+ФЕВРАЛЬ!V49+МАРТ!V49+АПРЕЛЬ!V49</f>
        <v>577879.78</v>
      </c>
      <c r="W49" s="93">
        <f>ДЕКАБРЬ!W49+ЯНВАРЬ!W49+ФЕВРАЛЬ!W49+МАРТ!W49+АПРЕЛЬ!W49</f>
        <v>-20703.419999999998</v>
      </c>
      <c r="X49" s="92">
        <f t="shared" si="2"/>
        <v>557176.36</v>
      </c>
      <c r="Y49" s="93">
        <f>ДЕКАБРЬ!Y49+ЯНВАРЬ!Y49+ФЕВРАЛЬ!Y49+МАРТ!Y49+АПРЕЛЬ!Y49</f>
        <v>852395.72</v>
      </c>
      <c r="Z49" s="93">
        <f>ДЕКАБРЬ!Z49+ЯНВАРЬ!Z49+ФЕВРАЛЬ!Z49+МАРТ!Z49+АПРЕЛЬ!Z49</f>
        <v>-29684.54</v>
      </c>
      <c r="AA49" s="232">
        <f t="shared" si="3"/>
        <v>822711.17999999993</v>
      </c>
      <c r="AB49" s="92">
        <f t="shared" si="14"/>
        <v>0</v>
      </c>
      <c r="AC49" s="234">
        <f t="shared" si="34"/>
        <v>1.8633473299679026E-2</v>
      </c>
      <c r="AD49" s="92">
        <f t="shared" si="5"/>
        <v>62898.990000000005</v>
      </c>
      <c r="AE49" s="93">
        <f>ДЕКАБРЬ!AE49+ЯНВАРЬ!AE49+ФЕВРАЛЬ!AE49+МАРТ!AE49+АПРЕЛЬ!AE49</f>
        <v>307232.66000000003</v>
      </c>
      <c r="AF49" s="234">
        <f t="shared" si="6"/>
        <v>0.37343926698552954</v>
      </c>
      <c r="AG49" s="93">
        <f>ДЕКАБРЬ!AG49+ЯНВАРЬ!AG49+ФЕВРАЛЬ!AG49+МАРТ!AG49+АПРЕЛЬ!AG49</f>
        <v>106524.41000000002</v>
      </c>
      <c r="AH49" s="93">
        <f>ДЕКАБРЬ!AH49+ЯНВАРЬ!AH49+ФЕВРАЛЬ!AH49+МАРТ!AH49+АПРЕЛЬ!AH49</f>
        <v>31000</v>
      </c>
      <c r="AI49" s="93">
        <f>ДЕКАБРЬ!AI49+ЯНВАРЬ!AI49+ФЕВРАЛЬ!AI49+МАРТ!AI49+АПРЕЛЬ!AI49</f>
        <v>119433</v>
      </c>
      <c r="AJ49" s="93">
        <f>АПРЕЛЬ!AJ49</f>
        <v>8441</v>
      </c>
      <c r="AK49" s="93"/>
      <c r="AL49" s="93">
        <f>ДЕКАБРЬ!AL49+ЯНВАРЬ!AL49+ФЕВРАЛЬ!AL49+МАРТ!AL49+АПРЕЛЬ!AL49</f>
        <v>1516.2500044943815</v>
      </c>
      <c r="AM49" s="93">
        <f>ДЕКАБРЬ!AM49+ЯНВАРЬ!AM49+ФЕВРАЛЬ!AM49+МАРТ!AM49+АПРЕЛЬ!AM49</f>
        <v>30</v>
      </c>
      <c r="AN49" s="93">
        <f>ДЕКАБРЬ!AN49+ЯНВАРЬ!AN49+ФЕВРАЛЬ!AN49+МАРТ!AN49+АПРЕЛЬ!AN49</f>
        <v>31442.931008057552</v>
      </c>
      <c r="AO49" s="95">
        <f t="shared" si="15"/>
        <v>154191.93898744794</v>
      </c>
      <c r="AP49" s="96"/>
      <c r="AQ49" s="97">
        <f t="shared" si="7"/>
        <v>1610.0023091976516</v>
      </c>
      <c r="AR49" s="98">
        <f t="shared" si="26"/>
        <v>123.09</v>
      </c>
      <c r="AS49" s="98">
        <f t="shared" si="9"/>
        <v>601.2380821917809</v>
      </c>
      <c r="AT49" s="98">
        <f t="shared" si="10"/>
        <v>201.3693950850662</v>
      </c>
      <c r="AU49" s="98">
        <f t="shared" si="16"/>
        <v>300.32892249527413</v>
      </c>
      <c r="AV49" s="98">
        <f t="array" ref="AV49">_xlfn.IFS(U49=0,AO49,U49&lt;0,AO49/-U49,U49&gt;0,AO49/U49)</f>
        <v>301.7454774705439</v>
      </c>
      <c r="AW49" s="234">
        <f t="shared" si="35"/>
        <v>0.18741928241141434</v>
      </c>
      <c r="AX49" s="234">
        <f t="shared" si="36"/>
        <v>2.4514215409094473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ДЕКАБРЬ!N50+ЯНВАРЬ!N50+ФЕВРАЛЬ!N50+МАРТ!N50+АПРЕЛЬ!N50</f>
        <v>745</v>
      </c>
      <c r="O50" s="89"/>
      <c r="P50" s="89"/>
      <c r="Q50" s="233"/>
      <c r="R50" s="92"/>
      <c r="S50" s="93">
        <f>ДЕКАБРЬ!S50+ЯНВАРЬ!S50+ФЕВРАЛЬ!S50+МАРТ!S50+АПРЕЛЬ!S50</f>
        <v>409</v>
      </c>
      <c r="T50" s="93">
        <f>ДЕКАБРЬ!T50+ЯНВАРЬ!T50+ФЕВРАЛЬ!T50+МАРТ!T50+АПРЕЛЬ!T50</f>
        <v>-14</v>
      </c>
      <c r="U50" s="92">
        <f t="shared" si="1"/>
        <v>395</v>
      </c>
      <c r="V50" s="93">
        <f>ДЕКАБРЬ!V50+ЯНВАРЬ!V50+ФЕВРАЛЬ!V50+МАРТ!V50+АПРЕЛЬ!V50</f>
        <v>376280.65</v>
      </c>
      <c r="W50" s="93">
        <f>ДЕКАБРЬ!W50+ЯНВАРЬ!W50+ФЕВРАЛЬ!W50+МАРТ!W50+АПРЕЛЬ!W50</f>
        <v>-12414</v>
      </c>
      <c r="X50" s="92">
        <f t="shared" si="2"/>
        <v>363866.65</v>
      </c>
      <c r="Y50" s="93">
        <f>ДЕКАБРЬ!Y50+ЯНВАРЬ!Y50+ФЕВРАЛЬ!Y50+МАРТ!Y50+АПРЕЛЬ!Y50</f>
        <v>555509.99</v>
      </c>
      <c r="Z50" s="93">
        <f>ДЕКАБРЬ!Z50+ЯНВАРЬ!Z50+ФЕВРАЛЬ!Z50+МАРТ!Z50+АПРЕЛЬ!Z50</f>
        <v>-18926</v>
      </c>
      <c r="AA50" s="232">
        <f t="shared" si="3"/>
        <v>536583.99</v>
      </c>
      <c r="AB50" s="92">
        <f t="shared" si="14"/>
        <v>0</v>
      </c>
      <c r="AC50" s="234">
        <f t="shared" si="34"/>
        <v>1.2153017600539036E-2</v>
      </c>
      <c r="AD50" s="92">
        <f t="shared" si="5"/>
        <v>53242.049999999996</v>
      </c>
      <c r="AE50" s="93">
        <f>ДЕКАБРЬ!AE50+ЯНВАРЬ!AE50+ФЕВРАЛЬ!AE50+МАРТ!AE50+АПРЕЛЬ!AE50</f>
        <v>202371.35</v>
      </c>
      <c r="AF50" s="234">
        <f t="shared" si="6"/>
        <v>0.37714757385884734</v>
      </c>
      <c r="AG50" s="93">
        <f>ДЕКАБРЬ!AG50+ЯНВАРЬ!AG50+ФЕВРАЛЬ!AG50+МАРТ!AG50+АПРЕЛЬ!AG50</f>
        <v>48215.73</v>
      </c>
      <c r="AH50" s="93">
        <f>ДЕКАБРЬ!AH50+ЯНВАРЬ!AH50+ФЕВРАЛЬ!AH50+МАРТ!AH50+АПРЕЛЬ!AH50</f>
        <v>24192</v>
      </c>
      <c r="AI50" s="93">
        <f>ДЕКАБРЬ!AI50+ЯНВАРЬ!AI50+ФЕВРАЛЬ!AI50+МАРТ!AI50+АПРЕЛЬ!AI50</f>
        <v>42277</v>
      </c>
      <c r="AJ50" s="93">
        <f>АПРЕЛЬ!AJ50</f>
        <v>2034</v>
      </c>
      <c r="AK50" s="93"/>
      <c r="AL50" s="93">
        <f>ДЕКАБРЬ!AL50+ЯНВАРЬ!AL50+ФЕВРАЛЬ!AL50+МАРТ!AL50+АПРЕЛЬ!AL50</f>
        <v>1537.3505284946407</v>
      </c>
      <c r="AM50" s="93">
        <f>ДЕКАБРЬ!AM50+ЯНВАРЬ!AM50+ФЕВРАЛЬ!AM50+МАРТ!AM50+АПРЕЛЬ!AM50</f>
        <v>70</v>
      </c>
      <c r="AN50" s="93">
        <f>ДЕКАБРЬ!AN50+ЯНВАРЬ!AN50+ФЕВРАЛЬ!AN50+МАРТ!AN50+АПРЕЛЬ!AN50</f>
        <v>20567.343603605528</v>
      </c>
      <c r="AO50" s="95">
        <f t="shared" si="15"/>
        <v>142077.16586789981</v>
      </c>
      <c r="AP50" s="96"/>
      <c r="AQ50" s="97">
        <f t="shared" si="7"/>
        <v>1358.4404810126582</v>
      </c>
      <c r="AR50" s="98">
        <f t="shared" si="26"/>
        <v>134.79</v>
      </c>
      <c r="AS50" s="98">
        <f t="shared" si="9"/>
        <v>512.33253164556959</v>
      </c>
      <c r="AT50" s="98">
        <f t="shared" si="10"/>
        <v>117.88687041564793</v>
      </c>
      <c r="AU50" s="98">
        <f t="shared" si="16"/>
        <v>167.48899755501222</v>
      </c>
      <c r="AV50" s="98">
        <f t="array" ref="AV50">_xlfn.IFS(U50=0,AO50,U50&lt;0,AO50/-U50,U50&gt;0,AO50/U50)</f>
        <v>359.6890275136704</v>
      </c>
      <c r="AW50" s="234">
        <f t="shared" si="35"/>
        <v>0.26478085167598797</v>
      </c>
      <c r="AX50" s="234">
        <f t="shared" si="36"/>
        <v>2.668514188839457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ДЕКАБРЬ!N51+ЯНВАРЬ!N51+ФЕВРАЛЬ!N51+МАРТ!N51+АПРЕЛЬ!N51</f>
        <v>78</v>
      </c>
      <c r="O51" s="89"/>
      <c r="P51" s="89"/>
      <c r="Q51" s="233"/>
      <c r="R51" s="92"/>
      <c r="S51" s="93">
        <f>ДЕКАБРЬ!S51+ЯНВАРЬ!S51+ФЕВРАЛЬ!S51+МАРТ!S51+АПРЕЛЬ!S51</f>
        <v>28</v>
      </c>
      <c r="T51" s="93">
        <f>ДЕКАБРЬ!T51+ЯНВАРЬ!T51+ФЕВРАЛЬ!T51+МАРТ!T51+АПРЕЛЬ!T51</f>
        <v>-3</v>
      </c>
      <c r="U51" s="92">
        <f t="shared" si="1"/>
        <v>25</v>
      </c>
      <c r="V51" s="93">
        <f>ДЕКАБРЬ!V51+ЯНВАРЬ!V51+ФЕВРАЛЬ!V51+МАРТ!V51+АПРЕЛЬ!V51</f>
        <v>21207.91</v>
      </c>
      <c r="W51" s="93">
        <f>ДЕКАБРЬ!W51+ЯНВАРЬ!W51+ФЕВРАЛЬ!W51+МАРТ!W51+АПРЕЛЬ!W51</f>
        <v>-2329</v>
      </c>
      <c r="X51" s="92">
        <f t="shared" si="2"/>
        <v>18878.91</v>
      </c>
      <c r="Y51" s="93">
        <f>ДЕКАБРЬ!Y51+ЯНВАРЬ!Y51+ФЕВРАЛЬ!Y51+МАРТ!Y51+АПРЕЛЬ!Y51</f>
        <v>32041.5</v>
      </c>
      <c r="Z51" s="93">
        <f>ДЕКАБРЬ!Z51+ЯНВАРЬ!Z51+ФЕВРАЛЬ!Z51+МАРТ!Z51+АПРЕЛЬ!Z51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6.4604750981589237E-4</v>
      </c>
      <c r="AD51" s="92">
        <f t="shared" si="5"/>
        <v>3603.75</v>
      </c>
      <c r="AE51" s="93">
        <f>ДЕКАБРЬ!AE51+ЯНВАРЬ!AE51+ФЕВРАЛЬ!AE51+МАРТ!AE51+АПРЕЛЬ!AE51</f>
        <v>10656.029999999999</v>
      </c>
      <c r="AF51" s="234">
        <f t="shared" si="6"/>
        <v>0.37357464635664073</v>
      </c>
      <c r="AG51" s="93">
        <f>ДЕКАБРЬ!AG51+ЯНВАРЬ!AG51+ФЕВРАЛЬ!AG51+МАРТ!AG51+АПРЕЛЬ!AG51</f>
        <v>8315.1</v>
      </c>
      <c r="AH51" s="93">
        <f>ДЕКАБРЬ!AH51+ЯНВАРЬ!AH51+ФЕВРАЛЬ!AH51+МАРТ!AH51+АПРЕЛЬ!AH51</f>
        <v>4000</v>
      </c>
      <c r="AI51" s="93">
        <f>ДЕКАБРЬ!AI51+ЯНВАРЬ!AI51+ФЕВРАЛЬ!AI51+МАРТ!AI51+АПРЕЛЬ!AI51</f>
        <v>14536</v>
      </c>
      <c r="AJ51" s="93">
        <f>АПРЕЛЬ!AJ51</f>
        <v>0</v>
      </c>
      <c r="AK51" s="93"/>
      <c r="AL51" s="93">
        <f>ДЕКАБРЬ!AL51+ЯНВАРЬ!AL51+ФЕВРАЛЬ!AL51+МАРТ!AL51+АПРЕЛЬ!AL51</f>
        <v>116.93827328280305</v>
      </c>
      <c r="AM51" s="93">
        <f>ДЕКАБРЬ!AM51+ЯНВАРЬ!AM51+ФЕВРАЛЬ!AM51+МАРТ!AM51+АПРЕЛЬ!AM51</f>
        <v>110</v>
      </c>
      <c r="AN51" s="93">
        <f>ДЕКАБРЬ!AN51+ЯНВАРЬ!AN51+ФЕВРАЛЬ!AN51+МАРТ!AN51+АПРЕЛЬ!AN51</f>
        <v>1083.7036636578823</v>
      </c>
      <c r="AO51" s="95">
        <f t="shared" si="15"/>
        <v>-13897.021936940684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296.96785714285716</v>
      </c>
      <c r="AU51" s="98">
        <f t="shared" si="16"/>
        <v>662</v>
      </c>
      <c r="AV51" s="98">
        <f t="array" ref="AV51">_xlfn.IFS(U51=0,AO51,U51&lt;0,AO51/-U51,U51&gt;0,AO51/U51)</f>
        <v>-555.88087747762734</v>
      </c>
      <c r="AW51" s="234">
        <f t="shared" si="35"/>
        <v>-0.48719598720190305</v>
      </c>
      <c r="AX51" s="234">
        <f t="shared" si="36"/>
        <v>-3.8562669266571441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ДЕКАБРЬ!N52+ЯНВАРЬ!N52+ФЕВРАЛЬ!N52+МАРТ!N52+АПРЕЛЬ!N52</f>
        <v>142</v>
      </c>
      <c r="O52" s="89"/>
      <c r="P52" s="89"/>
      <c r="Q52" s="233"/>
      <c r="R52" s="92"/>
      <c r="S52" s="93">
        <f>ДЕКАБРЬ!S52+ЯНВАРЬ!S52+ФЕВРАЛЬ!S52+МАРТ!S52+АПРЕЛЬ!S52</f>
        <v>32</v>
      </c>
      <c r="T52" s="93">
        <f>ДЕКАБРЬ!T52+ЯНВАРЬ!T52+ФЕВРАЛЬ!T52+МАРТ!T52+АПРЕЛЬ!T52</f>
        <v>-5</v>
      </c>
      <c r="U52" s="92">
        <f t="shared" si="1"/>
        <v>27</v>
      </c>
      <c r="V52" s="93">
        <f>ДЕКАБРЬ!V52+ЯНВАРЬ!V52+ФЕВРАЛЬ!V52+МАРТ!V52+АПРЕЛЬ!V52</f>
        <v>26031.57</v>
      </c>
      <c r="W52" s="93">
        <f>ДЕКАБРЬ!W52+ЯНВАРЬ!W52+ФЕВРАЛЬ!W52+МАРТ!W52+АПРЕЛЬ!W52</f>
        <v>-3955.14</v>
      </c>
      <c r="X52" s="92">
        <f t="shared" si="2"/>
        <v>22076.43</v>
      </c>
      <c r="Y52" s="93">
        <f>ДЕКАБРЬ!Y52+ЯНВАРЬ!Y52+ФЕВРАЛЬ!Y52+МАРТ!Y52+АПРЕЛЬ!Y52</f>
        <v>38925.5</v>
      </c>
      <c r="Z52" s="93">
        <f>ДЕКАБРЬ!Z52+ЯНВАРЬ!Z52+ФЕВРАЛЬ!Z52+МАРТ!Z52+АПРЕЛЬ!Z52</f>
        <v>-5888.7999999999993</v>
      </c>
      <c r="AA52" s="232">
        <f t="shared" si="3"/>
        <v>33036.699999999997</v>
      </c>
      <c r="AB52" s="92">
        <f t="shared" si="14"/>
        <v>0</v>
      </c>
      <c r="AC52" s="234">
        <f t="shared" si="34"/>
        <v>7.4824371216093851E-4</v>
      </c>
      <c r="AD52" s="92">
        <f t="shared" si="5"/>
        <v>2596.86</v>
      </c>
      <c r="AE52" s="93">
        <f>ДЕКАБРЬ!AE52+ЯНВАРЬ!AE52+ФЕВРАЛЬ!AE52+МАРТ!AE52+АПРЕЛЬ!AE52</f>
        <v>12470.670000000002</v>
      </c>
      <c r="AF52" s="234">
        <f t="shared" si="6"/>
        <v>0.37747928818556342</v>
      </c>
      <c r="AG52" s="93">
        <f>ДЕКАБРЬ!AG52+ЯНВАРЬ!AG52+ФЕВРАЛЬ!AG52+МАРТ!AG52+АПРЕЛЬ!AG52</f>
        <v>11463.739999999998</v>
      </c>
      <c r="AH52" s="93">
        <f>ДЕКАБРЬ!AH52+ЯНВАРЬ!AH52+ФЕВРАЛЬ!AH52+МАРТ!AH52+АПРЕЛЬ!AH52</f>
        <v>617</v>
      </c>
      <c r="AI52" s="93">
        <f>ДЕКАБРЬ!AI52+ЯНВАРЬ!AI52+ФЕВРАЛЬ!AI52+МАРТ!AI52+АПРЕЛЬ!AI52</f>
        <v>6444</v>
      </c>
      <c r="AJ52" s="93">
        <f>АПРЕЛЬ!AJ52</f>
        <v>1980</v>
      </c>
      <c r="AK52" s="93"/>
      <c r="AL52" s="93">
        <f>ДЕКАБРЬ!AL52+ЯНВАРЬ!AL52+ФЕВРАЛЬ!AL52+МАРТ!AL52+АПРЕЛЬ!AL52</f>
        <v>351.77731642485679</v>
      </c>
      <c r="AM52" s="93">
        <f>ДЕКАБРЬ!AM52+ЯНВАРЬ!AM52+ФЕВРАЛЬ!AM52+МАРТ!AM52+АПРЕЛЬ!AM52</f>
        <v>0</v>
      </c>
      <c r="AN52" s="93">
        <f>ДЕКАБРЬ!AN52+ЯНВАРЬ!AN52+ФЕВРАЛЬ!AN52+МАРТ!AN52+АПРЕЛЬ!AN52</f>
        <v>1243.3713118164897</v>
      </c>
      <c r="AO52" s="95">
        <f t="shared" si="15"/>
        <v>-4130.7186282413495</v>
      </c>
      <c r="AP52" s="96"/>
      <c r="AQ52" s="97">
        <f t="shared" si="7"/>
        <v>1223.5814814814814</v>
      </c>
      <c r="AR52" s="98">
        <f t="shared" si="26"/>
        <v>96.18</v>
      </c>
      <c r="AS52" s="98">
        <f t="shared" si="9"/>
        <v>461.87666666666672</v>
      </c>
      <c r="AT52" s="98">
        <f t="shared" si="10"/>
        <v>358.24187499999994</v>
      </c>
      <c r="AU52" s="98">
        <f t="shared" si="16"/>
        <v>282.53125</v>
      </c>
      <c r="AV52" s="98">
        <f t="array" ref="AV52">_xlfn.IFS(U52=0,AO52,U52&lt;0,AO52/-U52,U52&gt;0,AO52/U52)</f>
        <v>-152.98957882375367</v>
      </c>
      <c r="AW52" s="234">
        <f t="shared" si="35"/>
        <v>-0.12503423853597209</v>
      </c>
      <c r="AX52" s="234">
        <f t="shared" si="36"/>
        <v>-1.5906589605297741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ДЕКАБРЬ!N53+ЯНВАРЬ!N53+ФЕВРАЛЬ!N53+МАРТ!N53+АПРЕЛЬ!N53</f>
        <v>88</v>
      </c>
      <c r="O53" s="89"/>
      <c r="P53" s="89"/>
      <c r="Q53" s="233"/>
      <c r="R53" s="92"/>
      <c r="S53" s="93">
        <f>ДЕКАБРЬ!S53+ЯНВАРЬ!S53+ФЕВРАЛЬ!S53+МАРТ!S53+АПРЕЛЬ!S53</f>
        <v>18</v>
      </c>
      <c r="T53" s="93">
        <f>ДЕКАБРЬ!T53+ЯНВАРЬ!T53+ФЕВРАЛЬ!T53+МАРТ!T53+АПРЕЛЬ!T53</f>
        <v>-3</v>
      </c>
      <c r="U53" s="92">
        <f t="shared" si="1"/>
        <v>15</v>
      </c>
      <c r="V53" s="93">
        <f>ДЕКАБРЬ!V53+ЯНВАРЬ!V53+ФЕВРАЛЬ!V53+МАРТ!V53+АПРЕЛЬ!V53</f>
        <v>13033.49</v>
      </c>
      <c r="W53" s="93">
        <f>ДЕКАБРЬ!W53+ЯНВАРЬ!W53+ФЕВРАЛЬ!W53+МАРТ!W53+АПРЕЛЬ!W53</f>
        <v>-2164</v>
      </c>
      <c r="X53" s="92">
        <f t="shared" si="2"/>
        <v>10869.49</v>
      </c>
      <c r="Y53" s="93">
        <f>ДЕКАБРЬ!Y53+ЯНВАРЬ!Y53+ФЕВРАЛЬ!Y53+МАРТ!Y53+АПРЕЛЬ!Y53</f>
        <v>19849.339999999997</v>
      </c>
      <c r="Z53" s="93">
        <f>ДЕКАБРЬ!Z53+ЯНВАРЬ!Z53+ФЕВРАЛЬ!Z53+МАРТ!Z53+АПРЕЛЬ!Z53</f>
        <v>-3318</v>
      </c>
      <c r="AA53" s="232">
        <f t="shared" si="3"/>
        <v>16531.339999999997</v>
      </c>
      <c r="AB53" s="92">
        <f t="shared" si="14"/>
        <v>0</v>
      </c>
      <c r="AC53" s="234">
        <f t="shared" si="34"/>
        <v>3.7441606481865947E-4</v>
      </c>
      <c r="AD53" s="92">
        <f t="shared" si="5"/>
        <v>1442.7</v>
      </c>
      <c r="AE53" s="93">
        <f>ДЕКАБРЬ!AE53+ЯНВАРЬ!AE53+ФЕВРАЛЬ!AE53+МАРТ!AE53+АПРЕЛЬ!AE53</f>
        <v>6226.3599999999988</v>
      </c>
      <c r="AF53" s="234">
        <f t="shared" si="6"/>
        <v>0.37663976422963896</v>
      </c>
      <c r="AG53" s="93">
        <f>ДЕКАБРЬ!AG53+ЯНВАРЬ!AG53+ФЕВРАЛЬ!AG53+МАРТ!AG53+АПРЕЛЬ!AG53</f>
        <v>7279.3499999999985</v>
      </c>
      <c r="AH53" s="93">
        <f>ДЕКАБРЬ!AH53+ЯНВАРЬ!AH53+ФЕВРАЛЬ!AH53+МАРТ!AH53+АПРЕЛЬ!AH53</f>
        <v>383</v>
      </c>
      <c r="AI53" s="93">
        <f>ДЕКАБРЬ!AI53+ЯНВАРЬ!AI53+ФЕВРАЛЬ!AI53+МАРТ!AI53+АПРЕЛЬ!AI53</f>
        <v>8000</v>
      </c>
      <c r="AJ53" s="93">
        <f>АПРЕЛЬ!AJ53</f>
        <v>0</v>
      </c>
      <c r="AK53" s="93"/>
      <c r="AL53" s="93">
        <f>ДЕКАБРЬ!AL53+ЯНВАРЬ!AL53+ФЕВРАЛЬ!AL53+МАРТ!AL53+АПРЕЛЬ!AL53</f>
        <v>451.05822303615105</v>
      </c>
      <c r="AM53" s="93">
        <f>ДЕКАБРЬ!AM53+ЯНВАРЬ!AM53+ФЕВРАЛЬ!AM53+МАРТ!AM53+АПРЕЛЬ!AM53</f>
        <v>0</v>
      </c>
      <c r="AN53" s="93">
        <f>ДЕКАБРЬ!AN53+ЯНВАРЬ!AN53+ФЕВРАЛЬ!AN53+МАРТ!AN53+АПРЕЛЬ!AN53</f>
        <v>603.46257039976206</v>
      </c>
      <c r="AO53" s="95">
        <f t="shared" si="15"/>
        <v>-7854.5907934359138</v>
      </c>
      <c r="AP53" s="96"/>
      <c r="AQ53" s="97">
        <f t="shared" si="7"/>
        <v>1102.0893333333331</v>
      </c>
      <c r="AR53" s="98">
        <f t="shared" si="26"/>
        <v>96.18</v>
      </c>
      <c r="AS53" s="98">
        <f t="shared" si="9"/>
        <v>415.09066666666661</v>
      </c>
      <c r="AT53" s="98">
        <f t="shared" si="10"/>
        <v>404.40833333333325</v>
      </c>
      <c r="AU53" s="98">
        <f t="shared" si="16"/>
        <v>465.72222222222223</v>
      </c>
      <c r="AV53" s="98">
        <f t="array" ref="AV53">_xlfn.IFS(U53=0,AO53,U53&lt;0,AO53/-U53,U53&gt;0,AO53/U53)</f>
        <v>-523.63938622906096</v>
      </c>
      <c r="AW53" s="234">
        <f t="shared" si="35"/>
        <v>-0.4751333402758588</v>
      </c>
      <c r="AX53" s="234">
        <f t="shared" si="36"/>
        <v>-5.4443687484826464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ДЕКАБРЬ!N54+ЯНВАРЬ!N54+ФЕВРАЛЬ!N54+МАРТ!N54+АПРЕЛЬ!N54</f>
        <v>92</v>
      </c>
      <c r="O54" s="89"/>
      <c r="P54" s="89"/>
      <c r="Q54" s="233"/>
      <c r="R54" s="92"/>
      <c r="S54" s="93">
        <f>ДЕКАБРЬ!S54+ЯНВАРЬ!S54+ФЕВРАЛЬ!S54+МАРТ!S54+АПРЕЛЬ!S54</f>
        <v>38</v>
      </c>
      <c r="T54" s="93">
        <f>ДЕКАБРЬ!T54+ЯНВАРЬ!T54+ФЕВРАЛЬ!T54+МАРТ!T54+АПРЕЛЬ!T54</f>
        <v>-3</v>
      </c>
      <c r="U54" s="92">
        <f t="shared" si="1"/>
        <v>35</v>
      </c>
      <c r="V54" s="93">
        <f>ДЕКАБРЬ!V54+ЯНВАРЬ!V54+ФЕВРАЛЬ!V54+МАРТ!V54+АПРЕЛЬ!V54</f>
        <v>25458.54</v>
      </c>
      <c r="W54" s="93">
        <f>ДЕКАБРЬ!W54+ЯНВАРЬ!W54+ФЕВРАЛЬ!W54+МАРТ!W54+АПРЕЛЬ!W54</f>
        <v>-2172.4899999999998</v>
      </c>
      <c r="X54" s="92">
        <f t="shared" si="2"/>
        <v>23286.050000000003</v>
      </c>
      <c r="Y54" s="93">
        <f>ДЕКАБРЬ!Y54+ЯНВАРЬ!Y54+ФЕВРАЛЬ!Y54+МАРТ!Y54+АПРЕЛЬ!Y54</f>
        <v>37669.659999999996</v>
      </c>
      <c r="Z54" s="93">
        <f>ДЕКАБРЬ!Z54+ЯНВАРЬ!Z54+ФЕВРАЛЬ!Z54+МАРТ!Z54+АПРЕЛЬ!Z54</f>
        <v>-2994.05</v>
      </c>
      <c r="AA54" s="232">
        <f t="shared" si="3"/>
        <v>34675.609999999993</v>
      </c>
      <c r="AB54" s="92">
        <f t="shared" si="14"/>
        <v>0</v>
      </c>
      <c r="AC54" s="234">
        <f t="shared" si="34"/>
        <v>7.8536316120692918E-4</v>
      </c>
      <c r="AD54" s="92">
        <f t="shared" si="5"/>
        <v>4308.1500000000005</v>
      </c>
      <c r="AE54" s="93">
        <f>ДЕКАБРЬ!AE54+ЯНВАРЬ!AE54+ФЕВРАЛЬ!AE54+МАРТ!AE54+АПРЕЛЬ!AE54</f>
        <v>13142.219999999998</v>
      </c>
      <c r="AF54" s="234">
        <f t="shared" si="6"/>
        <v>0.37900472406974239</v>
      </c>
      <c r="AG54" s="93">
        <f>ДЕКАБРЬ!AG54+ЯНВАРЬ!AG54+ФЕВРАЛЬ!AG54+МАРТ!AG54+АПРЕЛЬ!AG54</f>
        <v>6563.3799999999992</v>
      </c>
      <c r="AH54" s="93">
        <f>ДЕКАБРЬ!AH54+ЯНВАРЬ!AH54+ФЕВРАЛЬ!AH54+МАРТ!AH54+АПРЕЛЬ!AH54</f>
        <v>0</v>
      </c>
      <c r="AI54" s="93">
        <f>ДЕКАБРЬ!AI54+ЯНВАРЬ!AI54+ФЕВРАЛЬ!AI54+МАРТ!AI54+АПРЕЛЬ!AI54</f>
        <v>0</v>
      </c>
      <c r="AJ54" s="93">
        <f>АПРЕЛЬ!AJ54</f>
        <v>0</v>
      </c>
      <c r="AK54" s="93"/>
      <c r="AL54" s="93">
        <f>ДЕКАБРЬ!AL54+ЯНВАРЬ!AL54+ФЕВРАЛЬ!AL54+МАРТ!AL54+АПРЕЛЬ!AL54</f>
        <v>395.91011724943058</v>
      </c>
      <c r="AM54" s="93">
        <f>ДЕКАБРЬ!AM54+ЯНВАРЬ!AM54+ФЕВРАЛЬ!AM54+МАРТ!AM54+АПРЕЛЬ!AM54</f>
        <v>0</v>
      </c>
      <c r="AN54" s="93">
        <f>ДЕКАБРЬ!AN54+ЯНВАРЬ!AN54+ФЕВРАЛЬ!AN54+МАРТ!AN54+АПРЕЛЬ!AN54</f>
        <v>1311.4888363758091</v>
      </c>
      <c r="AO54" s="95">
        <f t="shared" si="15"/>
        <v>8954.4610463747558</v>
      </c>
      <c r="AP54" s="96"/>
      <c r="AQ54" s="97">
        <f t="shared" si="7"/>
        <v>990.73171428571413</v>
      </c>
      <c r="AR54" s="98">
        <f t="shared" si="26"/>
        <v>123.09</v>
      </c>
      <c r="AS54" s="98">
        <f t="shared" si="9"/>
        <v>375.4919999999999</v>
      </c>
      <c r="AT54" s="98">
        <f t="shared" si="10"/>
        <v>172.72052631578944</v>
      </c>
      <c r="AU54" s="98">
        <f t="shared" si="16"/>
        <v>0</v>
      </c>
      <c r="AV54" s="98">
        <f t="array" ref="AV54">_xlfn.IFS(U54=0,AO54,U54&lt;0,AO54/-U54,U54&gt;0,AO54/U54)</f>
        <v>255.84174418213587</v>
      </c>
      <c r="AW54" s="234">
        <f t="shared" si="35"/>
        <v>0.25823514125273517</v>
      </c>
      <c r="AX54" s="234">
        <f t="shared" si="36"/>
        <v>2.0784933315633753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ДЕКАБРЬ!N55+ЯНВАРЬ!N55+ФЕВРАЛЬ!N55+МАРТ!N55+АПРЕЛЬ!N55</f>
        <v>4</v>
      </c>
      <c r="O55" s="89"/>
      <c r="P55" s="89"/>
      <c r="Q55" s="233"/>
      <c r="R55" s="92"/>
      <c r="S55" s="93">
        <f>ДЕКАБРЬ!S55+ЯНВАРЬ!S55+ФЕВРАЛЬ!S55+МАРТ!S55+АПРЕЛЬ!S55</f>
        <v>0</v>
      </c>
      <c r="T55" s="93">
        <f>ДЕКАБРЬ!T55+ЯНВАРЬ!T55+ФЕВРАЛЬ!T55+МАРТ!T55+АПРЕЛЬ!T55</f>
        <v>0</v>
      </c>
      <c r="U55" s="92">
        <f t="shared" si="1"/>
        <v>0</v>
      </c>
      <c r="V55" s="93">
        <f>ДЕКАБРЬ!V55+ЯНВАРЬ!V55+ФЕВРАЛЬ!V55+МАРТ!V55+АПРЕЛЬ!V55</f>
        <v>0</v>
      </c>
      <c r="W55" s="93">
        <f>ДЕКАБРЬ!W55+ЯНВАРЬ!W55+ФЕВРАЛЬ!W55+МАРТ!W55+АПРЕЛЬ!W55</f>
        <v>0</v>
      </c>
      <c r="X55" s="92">
        <f t="shared" si="2"/>
        <v>0</v>
      </c>
      <c r="Y55" s="93">
        <f>ДЕКАБРЬ!Y55+ЯНВАРЬ!Y55+ФЕВРАЛЬ!Y55+МАРТ!Y55+АПРЕЛЬ!Y55</f>
        <v>0</v>
      </c>
      <c r="Z55" s="93">
        <f>ДЕКАБРЬ!Z55+ЯНВАРЬ!Z55+ФЕВРАЛЬ!Z55+МАРТ!Z55+АПРЕЛЬ!Z55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ДЕКАБРЬ!AE55+ЯНВАРЬ!AE55+ФЕВРАЛЬ!AE55+МАРТ!AE55+АПРЕЛЬ!AE55</f>
        <v>0</v>
      </c>
      <c r="AF55" s="234">
        <f t="shared" si="6"/>
        <v>0</v>
      </c>
      <c r="AG55" s="93">
        <f>ДЕКАБРЬ!AG55+ЯНВАРЬ!AG55+ФЕВРАЛЬ!AG55+МАРТ!AG55+АПРЕЛЬ!AG55</f>
        <v>285.62</v>
      </c>
      <c r="AH55" s="93">
        <f>ДЕКАБРЬ!AH55+ЯНВАРЬ!AH55+ФЕВРАЛЬ!AH55+МАРТ!AH55+АПРЕЛЬ!AH55</f>
        <v>0</v>
      </c>
      <c r="AI55" s="93">
        <f>ДЕКАБРЬ!AI55+ЯНВАРЬ!AI55+ФЕВРАЛЬ!AI55+МАРТ!AI55+АПРЕЛЬ!AI55</f>
        <v>0</v>
      </c>
      <c r="AJ55" s="93">
        <f>АПРЕЛЬ!AJ55</f>
        <v>0</v>
      </c>
      <c r="AK55" s="93"/>
      <c r="AL55" s="93">
        <f>ДЕКАБРЬ!AL55+ЯНВАРЬ!AL55+ФЕВРАЛЬ!AL55+МАРТ!AL55+АПРЕЛЬ!AL55</f>
        <v>6.3088902921074679</v>
      </c>
      <c r="AM55" s="93">
        <f>ДЕКАБРЬ!AM55+ЯНВАРЬ!AM55+ФЕВРАЛЬ!AM55+МАРТ!AM55+АПРЕЛЬ!AM55</f>
        <v>0</v>
      </c>
      <c r="AN55" s="93">
        <f>ДЕКАБРЬ!AN55+ЯНВАРЬ!AN55+ФЕВРАЛЬ!AN55+МАРТ!AN55+АПРЕЛЬ!AN55</f>
        <v>0</v>
      </c>
      <c r="AO55" s="95">
        <f t="shared" si="15"/>
        <v>-291.9288902921075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285.62</v>
      </c>
      <c r="AU55" s="98">
        <f t="shared" si="16"/>
        <v>0</v>
      </c>
      <c r="AV55" s="98">
        <f t="array" ref="AV55">_xlfn.IFS(U55=0,AO55,U55&lt;0,AO55/-U55,U55&gt;0,AO55/U55)</f>
        <v>-291.9288902921075</v>
      </c>
      <c r="AW55" s="234">
        <f t="shared" si="35"/>
        <v>0</v>
      </c>
      <c r="AX55" s="234">
        <f t="shared" si="36"/>
        <v>-1.8454320139838643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ДЕКАБРЬ!N56+ЯНВАРЬ!N56+ФЕВРАЛЬ!N56+МАРТ!N56+АПРЕЛЬ!N56</f>
        <v>11</v>
      </c>
      <c r="O56" s="89"/>
      <c r="P56" s="89"/>
      <c r="Q56" s="233"/>
      <c r="R56" s="92"/>
      <c r="S56" s="93">
        <f>ДЕКАБРЬ!S56+ЯНВАРЬ!S56+ФЕВРАЛЬ!S56+МАРТ!S56+АПРЕЛЬ!S56</f>
        <v>2</v>
      </c>
      <c r="T56" s="93">
        <f>ДЕКАБРЬ!T56+ЯНВАРЬ!T56+ФЕВРАЛЬ!T56+МАРТ!T56+АПРЕЛЬ!T56</f>
        <v>0</v>
      </c>
      <c r="U56" s="92">
        <f t="shared" si="1"/>
        <v>2</v>
      </c>
      <c r="V56" s="93">
        <f>ДЕКАБРЬ!V56+ЯНВАРЬ!V56+ФЕВРАЛЬ!V56+МАРТ!V56+АПРЕЛЬ!V56</f>
        <v>1297</v>
      </c>
      <c r="W56" s="93">
        <f>ДЕКАБРЬ!W56+ЯНВАРЬ!W56+ФЕВРАЛЬ!W56+МАРТ!W56+АПРЕЛЬ!W56</f>
        <v>0</v>
      </c>
      <c r="X56" s="92">
        <f t="shared" si="2"/>
        <v>1297</v>
      </c>
      <c r="Y56" s="93">
        <f>ДЕКАБРЬ!Y56+ЯНВАРЬ!Y56+ФЕВРАЛЬ!Y56+МАРТ!Y56+АПРЕЛЬ!Y56</f>
        <v>2098</v>
      </c>
      <c r="Z56" s="93">
        <f>ДЕКАБРЬ!Z56+ЯНВАРЬ!Z56+ФЕВРАЛЬ!Z56+МАРТ!Z56+АПРЕЛЬ!Z56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4.7517315837043326E-5</v>
      </c>
      <c r="AD56" s="92">
        <f t="shared" si="5"/>
        <v>304.68</v>
      </c>
      <c r="AE56" s="93">
        <f>ДЕКАБРЬ!AE56+ЯНВАРЬ!AE56+ФЕВРАЛЬ!AE56+МАРТ!AE56+АПРЕЛЬ!AE56</f>
        <v>786.64</v>
      </c>
      <c r="AF56" s="234">
        <f t="shared" si="6"/>
        <v>0.37494756911344135</v>
      </c>
      <c r="AG56" s="93">
        <f>ДЕКАБРЬ!AG56+ЯНВАРЬ!AG56+ФЕВРАЛЬ!AG56+МАРТ!AG56+АПРЕЛЬ!AG56</f>
        <v>1194.44</v>
      </c>
      <c r="AH56" s="93">
        <f>ДЕКАБРЬ!AH56+ЯНВАРЬ!AH56+ФЕВРАЛЬ!AH56+МАРТ!AH56+АПРЕЛЬ!AH56</f>
        <v>0</v>
      </c>
      <c r="AI56" s="93">
        <f>ДЕКАБРЬ!AI56+ЯНВАРЬ!AI56+ФЕВРАЛЬ!AI56+МАРТ!AI56+АПРЕЛЬ!AI56</f>
        <v>0</v>
      </c>
      <c r="AJ56" s="93">
        <f>АПРЕЛЬ!AJ56</f>
        <v>0</v>
      </c>
      <c r="AK56" s="93"/>
      <c r="AL56" s="93">
        <f>ДЕКАБРЬ!AL56+ЯНВАРЬ!AL56+ФЕВРАЛЬ!AL56+МАРТ!AL56+АПРЕЛЬ!AL56</f>
        <v>6.9949184371767323</v>
      </c>
      <c r="AM56" s="93">
        <f>ДЕКАБРЬ!AM56+ЯНВАРЬ!AM56+ФЕВРАЛЬ!AM56+МАРТ!AM56+АПРЕЛЬ!AM56</f>
        <v>20</v>
      </c>
      <c r="AN56" s="93">
        <f>ДЕКАБРЬ!AN56+ЯНВАРЬ!AN56+ФЕВРАЛЬ!AN56+МАРТ!AN56+АПРЕЛЬ!AN56</f>
        <v>72.823838255783471</v>
      </c>
      <c r="AO56" s="95">
        <f t="shared" si="15"/>
        <v>-287.57875669296027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-143.78937834648013</v>
      </c>
      <c r="AW56" s="234">
        <f t="shared" si="35"/>
        <v>-0.13707281062581519</v>
      </c>
      <c r="AX56" s="234">
        <f t="shared" si="36"/>
        <v>-0.9438714608538803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ДЕКАБРЬ!N57+ЯНВАРЬ!N57+ФЕВРАЛЬ!N57+МАРТ!N57+АПРЕЛЬ!N57</f>
        <v>0</v>
      </c>
      <c r="O57" s="89"/>
      <c r="P57" s="89"/>
      <c r="Q57" s="233"/>
      <c r="R57" s="92"/>
      <c r="S57" s="93">
        <f>ДЕКАБРЬ!S57+ЯНВАРЬ!S57+ФЕВРАЛЬ!S57+МАРТ!S57+АПРЕЛЬ!S57</f>
        <v>0</v>
      </c>
      <c r="T57" s="93">
        <f>ДЕКАБРЬ!T57+ЯНВАРЬ!T57+ФЕВРАЛЬ!T57+МАРТ!T57+АПРЕЛЬ!T57</f>
        <v>0</v>
      </c>
      <c r="U57" s="92">
        <f t="shared" si="1"/>
        <v>0</v>
      </c>
      <c r="V57" s="93">
        <f>ДЕКАБРЬ!V57+ЯНВАРЬ!V57+ФЕВРАЛЬ!V57+МАРТ!V57+АПРЕЛЬ!V57</f>
        <v>0</v>
      </c>
      <c r="W57" s="93">
        <f>ДЕКАБРЬ!W57+ЯНВАРЬ!W57+ФЕВРАЛЬ!W57+МАРТ!W57+АПРЕЛЬ!W57</f>
        <v>0</v>
      </c>
      <c r="X57" s="92">
        <f t="shared" si="2"/>
        <v>0</v>
      </c>
      <c r="Y57" s="93">
        <f>ДЕКАБРЬ!Y57+ЯНВАРЬ!Y57+ФЕВРАЛЬ!Y57+МАРТ!Y57+АПРЕЛЬ!Y57</f>
        <v>0</v>
      </c>
      <c r="Z57" s="93">
        <f>ДЕКАБРЬ!Z57+ЯНВАРЬ!Z57+ФЕВРАЛЬ!Z57+МАРТ!Z57+АПРЕЛЬ!Z57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ДЕКАБРЬ!AE57+ЯНВАРЬ!AE57+ФЕВРАЛЬ!AE57+МАРТ!AE57+АПРЕЛЬ!AE57</f>
        <v>0</v>
      </c>
      <c r="AF57" s="234">
        <f t="shared" si="6"/>
        <v>0</v>
      </c>
      <c r="AG57" s="93">
        <f>ДЕКАБРЬ!AG57+ЯНВАРЬ!AG57+ФЕВРАЛЬ!AG57+МАРТ!AG57+АПРЕЛЬ!AG57</f>
        <v>0</v>
      </c>
      <c r="AH57" s="93">
        <f>ДЕКАБРЬ!AH57+ЯНВАРЬ!AH57+ФЕВРАЛЬ!AH57+МАРТ!AH57+АПРЕЛЬ!AH57</f>
        <v>0</v>
      </c>
      <c r="AI57" s="93">
        <f>ДЕКАБРЬ!AI57+ЯНВАРЬ!AI57+ФЕВРАЛЬ!AI57+МАРТ!AI57+АПРЕЛЬ!AI57</f>
        <v>0</v>
      </c>
      <c r="AJ57" s="93">
        <f>АПРЕЛЬ!AJ57</f>
        <v>0</v>
      </c>
      <c r="AK57" s="93"/>
      <c r="AL57" s="93">
        <f>ДЕКАБРЬ!AL57+ЯНВАРЬ!AL57+ФЕВРАЛЬ!AL57+МАРТ!AL57+АПРЕЛЬ!AL57</f>
        <v>0</v>
      </c>
      <c r="AM57" s="93">
        <f>ДЕКАБРЬ!AM57+ЯНВАРЬ!AM57+ФЕВРАЛЬ!AM57+МАРТ!AM57+АПРЕЛЬ!AM57</f>
        <v>0</v>
      </c>
      <c r="AN57" s="93">
        <f>ДЕКАБРЬ!AN57+ЯНВАРЬ!AN57+ФЕВРАЛЬ!AN57+МАРТ!AN57+АПРЕЛЬ!AN57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ДЕКАБРЬ!N58+ЯНВАРЬ!N58+ФЕВРАЛЬ!N58+МАРТ!N58+АПРЕЛЬ!N58</f>
        <v>115</v>
      </c>
      <c r="O58" s="89"/>
      <c r="P58" s="89"/>
      <c r="Q58" s="233"/>
      <c r="R58" s="92"/>
      <c r="S58" s="93">
        <f>ДЕКАБРЬ!S58+ЯНВАРЬ!S58+ФЕВРАЛЬ!S58+МАРТ!S58+АПРЕЛЬ!S58</f>
        <v>31</v>
      </c>
      <c r="T58" s="93">
        <f>ДЕКАБРЬ!T58+ЯНВАРЬ!T58+ФЕВРАЛЬ!T58+МАРТ!T58+АПРЕЛЬ!T58</f>
        <v>-2</v>
      </c>
      <c r="U58" s="92">
        <f t="shared" si="1"/>
        <v>29</v>
      </c>
      <c r="V58" s="93">
        <f>ДЕКАБРЬ!V58+ЯНВАРЬ!V58+ФЕВРАЛЬ!V58+МАРТ!V58+АПРЕЛЬ!V58</f>
        <v>20713.260000000002</v>
      </c>
      <c r="W58" s="93">
        <f>ДЕКАБРЬ!W58+ЯНВАРЬ!W58+ФЕВРАЛЬ!W58+МАРТ!W58+АПРЕЛЬ!W58</f>
        <v>-1290</v>
      </c>
      <c r="X58" s="92">
        <f t="shared" si="2"/>
        <v>19423.260000000002</v>
      </c>
      <c r="Y58" s="93">
        <f>ДЕКАБРЬ!Y58+ЯНВАРЬ!Y58+ФЕВРАЛЬ!Y58+МАРТ!Y58+АПРЕЛЬ!Y58</f>
        <v>31919.07</v>
      </c>
      <c r="Z58" s="93">
        <f>ДЕКАБРЬ!Z58+ЯНВАРЬ!Z58+ФЕВРАЛЬ!Z58+МАРТ!Z58+АПРЕЛЬ!Z58</f>
        <v>-2078</v>
      </c>
      <c r="AA58" s="232">
        <f t="shared" si="3"/>
        <v>29841.07</v>
      </c>
      <c r="AB58" s="92">
        <f t="shared" si="14"/>
        <v>0</v>
      </c>
      <c r="AC58" s="234">
        <f t="shared" si="34"/>
        <v>6.7586632416840719E-4</v>
      </c>
      <c r="AD58" s="92">
        <f t="shared" si="5"/>
        <v>4926.8099999999995</v>
      </c>
      <c r="AE58" s="93">
        <f>ДЕКАБРЬ!AE58+ЯНВАРЬ!AE58+ФЕВРАЛЬ!AE58+МАРТ!AE58+АПРЕЛЬ!AE58</f>
        <v>11233.37</v>
      </c>
      <c r="AF58" s="234">
        <f t="shared" si="6"/>
        <v>0.37643991988222947</v>
      </c>
      <c r="AG58" s="93">
        <f>ДЕКАБРЬ!AG58+ЯНВАРЬ!AG58+ФЕВРАЛЬ!AG58+МАРТ!AG58+АПРЕЛЬ!AG58</f>
        <v>9137.59</v>
      </c>
      <c r="AH58" s="93">
        <f>ДЕКАБРЬ!AH58+ЯНВАРЬ!AH58+ФЕВРАЛЬ!AH58+МАРТ!AH58+АПРЕЛЬ!AH58</f>
        <v>6685</v>
      </c>
      <c r="AI58" s="93">
        <f>ДЕКАБРЬ!AI58+ЯНВАРЬ!AI58+ФЕВРАЛЬ!AI58+МАРТ!AI58+АПРЕЛЬ!AI58</f>
        <v>8010</v>
      </c>
      <c r="AJ58" s="93">
        <f>АПРЕЛЬ!AJ58</f>
        <v>990</v>
      </c>
      <c r="AK58" s="93"/>
      <c r="AL58" s="93">
        <f>ДЕКАБРЬ!AL58+ЯНВАРЬ!AL58+ФЕВРАЛЬ!AL58+МАРТ!AL58+АПРЕЛЬ!AL58</f>
        <v>320.40596086648554</v>
      </c>
      <c r="AM58" s="93">
        <f>ДЕКАБРЬ!AM58+ЯНВАРЬ!AM58+ФЕВРАЛЬ!AM58+МАРТ!AM58+АПРЕЛЬ!AM58</f>
        <v>0</v>
      </c>
      <c r="AN58" s="93">
        <f>ДЕКАБРЬ!AN58+ЯНВАРЬ!AN58+ФЕВРАЛЬ!AN58+МАРТ!AN58+АПРЕЛЬ!AN58</f>
        <v>1093.6337910935185</v>
      </c>
      <c r="AO58" s="95">
        <f t="shared" si="15"/>
        <v>-12555.739751960002</v>
      </c>
      <c r="AP58" s="96"/>
      <c r="AQ58" s="97">
        <f t="shared" si="7"/>
        <v>1029.0024137931034</v>
      </c>
      <c r="AR58" s="98">
        <f t="shared" si="26"/>
        <v>169.89</v>
      </c>
      <c r="AS58" s="98">
        <f t="shared" si="9"/>
        <v>387.3575862068966</v>
      </c>
      <c r="AT58" s="98">
        <f t="shared" si="10"/>
        <v>294.76096774193547</v>
      </c>
      <c r="AU58" s="98">
        <f t="shared" si="16"/>
        <v>505.96774193548384</v>
      </c>
      <c r="AV58" s="98">
        <f t="array" ref="AV58">_xlfn.IFS(U58=0,AO58,U58&lt;0,AO58/-U58,U58&gt;0,AO58/U58)</f>
        <v>-432.95654317103453</v>
      </c>
      <c r="AW58" s="234">
        <f t="shared" si="35"/>
        <v>-0.42075367109691447</v>
      </c>
      <c r="AX58" s="234">
        <f t="shared" si="36"/>
        <v>-2.5484521936019457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ДЕКАБРЬ!N59+ЯНВАРЬ!N59+ФЕВРАЛЬ!N59+МАРТ!N59+АПРЕЛЬ!N59</f>
        <v>0</v>
      </c>
      <c r="O59" s="89"/>
      <c r="P59" s="89"/>
      <c r="Q59" s="233"/>
      <c r="R59" s="92"/>
      <c r="S59" s="93">
        <f>ДЕКАБРЬ!S59+ЯНВАРЬ!S59+ФЕВРАЛЬ!S59+МАРТ!S59+АПРЕЛЬ!S59</f>
        <v>0</v>
      </c>
      <c r="T59" s="93">
        <f>ДЕКАБРЬ!T59+ЯНВАРЬ!T59+ФЕВРАЛЬ!T59+МАРТ!T59+АПРЕЛЬ!T59</f>
        <v>0</v>
      </c>
      <c r="U59" s="92">
        <f t="shared" si="1"/>
        <v>0</v>
      </c>
      <c r="V59" s="93">
        <f>ДЕКАБРЬ!V59+ЯНВАРЬ!V59+ФЕВРАЛЬ!V59+МАРТ!V59+АПРЕЛЬ!V59</f>
        <v>0</v>
      </c>
      <c r="W59" s="93">
        <f>ДЕКАБРЬ!W59+ЯНВАРЬ!W59+ФЕВРАЛЬ!W59+МАРТ!W59+АПРЕЛЬ!W59</f>
        <v>0</v>
      </c>
      <c r="X59" s="92">
        <f t="shared" si="2"/>
        <v>0</v>
      </c>
      <c r="Y59" s="93">
        <f>ДЕКАБРЬ!Y59+ЯНВАРЬ!Y59+ФЕВРАЛЬ!Y59+МАРТ!Y59+АПРЕЛЬ!Y59</f>
        <v>0</v>
      </c>
      <c r="Z59" s="93">
        <f>ДЕКАБРЬ!Z59+ЯНВАРЬ!Z59+ФЕВРАЛЬ!Z59+МАРТ!Z59+АПРЕЛЬ!Z59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ДЕКАБРЬ!AE59+ЯНВАРЬ!AE59+ФЕВРАЛЬ!AE59+МАРТ!AE59+АПРЕЛЬ!AE59</f>
        <v>0</v>
      </c>
      <c r="AF59" s="234">
        <f t="shared" si="6"/>
        <v>0</v>
      </c>
      <c r="AG59" s="93">
        <f>ДЕКАБРЬ!AG59+ЯНВАРЬ!AG59+ФЕВРАЛЬ!AG59+МАРТ!AG59+АПРЕЛЬ!AG59</f>
        <v>0</v>
      </c>
      <c r="AH59" s="93">
        <f>ДЕКАБРЬ!AH59+ЯНВАРЬ!AH59+ФЕВРАЛЬ!AH59+МАРТ!AH59+АПРЕЛЬ!AH59</f>
        <v>0</v>
      </c>
      <c r="AI59" s="93">
        <f>ДЕКАБРЬ!AI59+ЯНВАРЬ!AI59+ФЕВРАЛЬ!AI59+МАРТ!AI59+АПРЕЛЬ!AI59</f>
        <v>0</v>
      </c>
      <c r="AJ59" s="93">
        <f>АПРЕЛЬ!AJ59</f>
        <v>0</v>
      </c>
      <c r="AK59" s="93"/>
      <c r="AL59" s="93">
        <f>ДЕКАБРЬ!AL59+ЯНВАРЬ!AL59+ФЕВРАЛЬ!AL59+МАРТ!AL59+АПРЕЛЬ!AL59</f>
        <v>0</v>
      </c>
      <c r="AM59" s="93">
        <f>ДЕКАБРЬ!AM59+ЯНВАРЬ!AM59+ФЕВРАЛЬ!AM59+МАРТ!AM59+АПРЕЛЬ!AM59</f>
        <v>0</v>
      </c>
      <c r="AN59" s="93">
        <f>ДЕКАБРЬ!AN59+ЯНВАРЬ!AN59+ФЕВРАЛЬ!AN59+МАРТ!AN59+АПРЕЛЬ!AN59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ДЕКАБРЬ!N60+ЯНВАРЬ!N60+ФЕВРАЛЬ!N60+МАРТ!N60+АПРЕЛЬ!N60</f>
        <v>40</v>
      </c>
      <c r="O60" s="89"/>
      <c r="P60" s="89"/>
      <c r="Q60" s="233"/>
      <c r="R60" s="92"/>
      <c r="S60" s="93">
        <f>ДЕКАБРЬ!S60+ЯНВАРЬ!S60+ФЕВРАЛЬ!S60+МАРТ!S60+АПРЕЛЬ!S60</f>
        <v>11</v>
      </c>
      <c r="T60" s="93">
        <f>ДЕКАБРЬ!T60+ЯНВАРЬ!T60+ФЕВРАЛЬ!T60+МАРТ!T60+АПРЕЛЬ!T60</f>
        <v>-2</v>
      </c>
      <c r="U60" s="92">
        <f t="shared" si="1"/>
        <v>9</v>
      </c>
      <c r="V60" s="93">
        <f>ДЕКАБРЬ!V60+ЯНВАРЬ!V60+ФЕВРАЛЬ!V60+МАРТ!V60+АПРЕЛЬ!V60</f>
        <v>7499</v>
      </c>
      <c r="W60" s="93">
        <f>ДЕКАБРЬ!W60+ЯНВАРЬ!W60+ФЕВРАЛЬ!W60+МАРТ!W60+АПРЕЛЬ!W60</f>
        <v>-1342</v>
      </c>
      <c r="X60" s="92">
        <f t="shared" si="2"/>
        <v>6157</v>
      </c>
      <c r="Y60" s="93">
        <f>ДЕКАБРЬ!Y60+ЯНВАРЬ!Y60+ФЕВРАЛЬ!Y60+МАРТ!Y60+АПРЕЛЬ!Y60</f>
        <v>11476.06</v>
      </c>
      <c r="Z60" s="93">
        <f>ДЕКАБРЬ!Z60+ЯНВАРЬ!Z60+ФЕВРАЛЬ!Z60+МАРТ!Z60+АПРЕЛЬ!Z60</f>
        <v>-2098</v>
      </c>
      <c r="AA60" s="232">
        <f t="shared" si="3"/>
        <v>9378.06</v>
      </c>
      <c r="AB60" s="92">
        <f t="shared" si="14"/>
        <v>0</v>
      </c>
      <c r="AC60" s="234">
        <f t="shared" si="34"/>
        <v>2.1240240179158364E-4</v>
      </c>
      <c r="AD60" s="92">
        <f t="shared" si="5"/>
        <v>1423.71</v>
      </c>
      <c r="AE60" s="93">
        <f>ДЕКАБРЬ!AE60+ЯНВАРЬ!AE60+ФЕВРАЛЬ!AE60+МАРТ!AE60+АПРЕЛЬ!AE60</f>
        <v>3548.1699999999996</v>
      </c>
      <c r="AF60" s="234">
        <f t="shared" si="6"/>
        <v>0.37834797388798963</v>
      </c>
      <c r="AG60" s="93">
        <f>ДЕКАБРЬ!AG60+ЯНВАРЬ!AG60+ФЕВРАЛЬ!AG60+МАРТ!AG60+АПРЕЛЬ!AG60</f>
        <v>3366.01</v>
      </c>
      <c r="AH60" s="93">
        <f>ДЕКАБРЬ!AH60+ЯНВАРЬ!AH60+ФЕВРАЛЬ!AH60+МАРТ!AH60+АПРЕЛЬ!AH60</f>
        <v>0</v>
      </c>
      <c r="AI60" s="93">
        <f>ДЕКАБРЬ!AI60+ЯНВАРЬ!AI60+ФЕВРАЛЬ!AI60+МАРТ!AI60+АПРЕЛЬ!AI60</f>
        <v>0</v>
      </c>
      <c r="AJ60" s="93">
        <f>АПРЕЛЬ!AJ60</f>
        <v>0</v>
      </c>
      <c r="AK60" s="93"/>
      <c r="AL60" s="93">
        <f>ДЕКАБРЬ!AL60+ЯНВАРЬ!AL60+ФЕВРАЛЬ!AL60+МАРТ!AL60+АПРЕЛЬ!AL60</f>
        <v>268.65691980639019</v>
      </c>
      <c r="AM60" s="93">
        <f>ДЕКАБРЬ!AM60+ЯНВАРЬ!AM60+ФЕВРАЛЬ!AM60+МАРТ!AM60+АПРЕЛЬ!AM60</f>
        <v>0</v>
      </c>
      <c r="AN60" s="93">
        <f>ДЕКАБРЬ!AN60+ЯНВАРЬ!AN60+ФЕВРАЛЬ!AN60+МАРТ!AN60+АПРЕЛЬ!AN60</f>
        <v>345.98114129331213</v>
      </c>
      <c r="AO60" s="95">
        <f t="shared" si="15"/>
        <v>425.53193890029775</v>
      </c>
      <c r="AP60" s="96"/>
      <c r="AQ60" s="97">
        <f t="shared" si="7"/>
        <v>1042.0066666666667</v>
      </c>
      <c r="AR60" s="98">
        <f t="shared" si="26"/>
        <v>158.19</v>
      </c>
      <c r="AS60" s="98">
        <f t="shared" si="9"/>
        <v>394.24111111111108</v>
      </c>
      <c r="AT60" s="98">
        <f t="shared" si="10"/>
        <v>306.00090909090909</v>
      </c>
      <c r="AU60" s="98">
        <f t="shared" si="16"/>
        <v>0</v>
      </c>
      <c r="AV60" s="98">
        <f t="array" ref="AV60">_xlfn.IFS(U60=0,AO60,U60&lt;0,AO60/-U60,U60&gt;0,AO60/U60)</f>
        <v>47.28132654447753</v>
      </c>
      <c r="AW60" s="234">
        <f t="shared" si="35"/>
        <v>4.5375262996856257E-2</v>
      </c>
      <c r="AX60" s="234">
        <f t="shared" si="36"/>
        <v>0.29888947812426531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ДЕКАБРЬ!N61+ЯНВАРЬ!N61+ФЕВРАЛЬ!N61+МАРТ!N61+АПРЕЛЬ!N61</f>
        <v>27</v>
      </c>
      <c r="O61" s="89"/>
      <c r="P61" s="89"/>
      <c r="Q61" s="233"/>
      <c r="R61" s="92"/>
      <c r="S61" s="93">
        <f>ДЕКАБРЬ!S61+ЯНВАРЬ!S61+ФЕВРАЛЬ!S61+МАРТ!S61+АПРЕЛЬ!S61</f>
        <v>7</v>
      </c>
      <c r="T61" s="93">
        <f>ДЕКАБРЬ!T61+ЯНВАРЬ!T61+ФЕВРАЛЬ!T61+МАРТ!T61+АПРЕЛЬ!T61</f>
        <v>-1</v>
      </c>
      <c r="U61" s="92">
        <f t="shared" si="1"/>
        <v>6</v>
      </c>
      <c r="V61" s="93">
        <f>ДЕКАБРЬ!V61+ЯНВАРЬ!V61+ФЕВРАЛЬ!V61+МАРТ!V61+АПРЕЛЬ!V61</f>
        <v>4867.04</v>
      </c>
      <c r="W61" s="93">
        <f>ДЕКАБРЬ!W61+ЯНВАРЬ!W61+ФЕВРАЛЬ!W61+МАРТ!W61+АПРЕЛЬ!W61</f>
        <v>-618</v>
      </c>
      <c r="X61" s="92">
        <f t="shared" si="2"/>
        <v>4249.04</v>
      </c>
      <c r="Y61" s="93">
        <f>ДЕКАБРЬ!Y61+ЯНВАРЬ!Y61+ФЕВРАЛЬ!Y61+МАРТ!Y61+АПРЕЛЬ!Y61</f>
        <v>6587.41</v>
      </c>
      <c r="Z61" s="93">
        <f>ДЕКАБРЬ!Z61+ЯНВАРЬ!Z61+ФЕВРАЛЬ!Z61+МАРТ!Z61+АПРЕЛЬ!Z61</f>
        <v>-927</v>
      </c>
      <c r="AA61" s="232">
        <f t="shared" si="3"/>
        <v>5660.41</v>
      </c>
      <c r="AB61" s="92">
        <f t="shared" si="14"/>
        <v>0</v>
      </c>
      <c r="AC61" s="234">
        <f t="shared" si="34"/>
        <v>1.2820185402152449E-4</v>
      </c>
      <c r="AD61" s="92">
        <f t="shared" si="5"/>
        <v>773.64</v>
      </c>
      <c r="AE61" s="93">
        <f>ДЕКАБРЬ!AE61+ЯНВАРЬ!AE61+ФЕВРАЛЬ!AE61+МАРТ!AE61+АПРЕЛЬ!AE61</f>
        <v>2147.0500000000002</v>
      </c>
      <c r="AF61" s="234">
        <f t="shared" si="6"/>
        <v>0.37930997931245269</v>
      </c>
      <c r="AG61" s="93">
        <f>ДЕКАБРЬ!AG61+ЯНВАРЬ!AG61+ФЕВРАЛЬ!AG61+МАРТ!AG61+АПРЕЛЬ!AG61</f>
        <v>2055.6900000000005</v>
      </c>
      <c r="AH61" s="93">
        <f>ДЕКАБРЬ!AH61+ЯНВАРЬ!AH61+ФЕВРАЛЬ!AH61+МАРТ!AH61+АПРЕЛЬ!AH61</f>
        <v>0</v>
      </c>
      <c r="AI61" s="93">
        <f>ДЕКАБРЬ!AI61+ЯНВАРЬ!AI61+ФЕВРАЛЬ!AI61+МАРТ!AI61+АПРЕЛЬ!AI61</f>
        <v>0</v>
      </c>
      <c r="AJ61" s="93">
        <f>АПРЕЛЬ!AJ61</f>
        <v>0</v>
      </c>
      <c r="AK61" s="93"/>
      <c r="AL61" s="93">
        <f>ДЕКАБРЬ!AL61+ЯНВАРЬ!AL61+ФЕВРАЛЬ!AL61+МАРТ!AL61+АПРЕЛЬ!AL61</f>
        <v>1947.2119150723029</v>
      </c>
      <c r="AM61" s="93">
        <f>ДЕКАБРЬ!AM61+ЯНВАРЬ!AM61+ФЕВРАЛЬ!AM61+МАРТ!AM61+АПРЕЛЬ!AM61</f>
        <v>0</v>
      </c>
      <c r="AN61" s="93">
        <f>ДЕКАБРЬ!AN61+ЯНВАРЬ!AN61+ФЕВРАЛЬ!AN61+МАРТ!AN61+АПРЕЛЬ!AN61</f>
        <v>240.91809713898826</v>
      </c>
      <c r="AO61" s="95">
        <f t="shared" si="15"/>
        <v>-1504.1000122112923</v>
      </c>
      <c r="AP61" s="96"/>
      <c r="AQ61" s="97">
        <f t="shared" si="7"/>
        <v>943.40166666666664</v>
      </c>
      <c r="AR61" s="98">
        <f t="shared" si="26"/>
        <v>128.94</v>
      </c>
      <c r="AS61" s="98">
        <f t="shared" si="9"/>
        <v>357.8416666666667</v>
      </c>
      <c r="AT61" s="98">
        <f t="shared" si="10"/>
        <v>293.67000000000007</v>
      </c>
      <c r="AU61" s="98">
        <f t="shared" si="16"/>
        <v>0</v>
      </c>
      <c r="AV61" s="98">
        <f t="array" ref="AV61">_xlfn.IFS(U61=0,AO61,U61&lt;0,AO61/-U61,U61&gt;0,AO61/U61)</f>
        <v>-250.68333536854871</v>
      </c>
      <c r="AW61" s="234">
        <f t="shared" si="35"/>
        <v>-0.26572280315583013</v>
      </c>
      <c r="AX61" s="234">
        <f t="shared" si="36"/>
        <v>-1.9441859420548218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ДЕКАБРЬ!N62+ЯНВАРЬ!N62+ФЕВРАЛЬ!N62+МАРТ!N62+АПРЕЛЬ!N62</f>
        <v>0</v>
      </c>
      <c r="O62" s="89"/>
      <c r="P62" s="89"/>
      <c r="Q62" s="233"/>
      <c r="R62" s="92"/>
      <c r="S62" s="93">
        <f>ДЕКАБРЬ!S62+ЯНВАРЬ!S62+ФЕВРАЛЬ!S62+МАРТ!S62+АПРЕЛЬ!S62</f>
        <v>0</v>
      </c>
      <c r="T62" s="93">
        <f>ДЕКАБРЬ!T62+ЯНВАРЬ!T62+ФЕВРАЛЬ!T62+МАРТ!T62+АПРЕЛЬ!T62</f>
        <v>0</v>
      </c>
      <c r="U62" s="92">
        <f t="shared" si="1"/>
        <v>0</v>
      </c>
      <c r="V62" s="93">
        <f>ДЕКАБРЬ!V62+ЯНВАРЬ!V62+ФЕВРАЛЬ!V62+МАРТ!V62+АПРЕЛЬ!V62</f>
        <v>0</v>
      </c>
      <c r="W62" s="93">
        <f>ДЕКАБРЬ!W62+ЯНВАРЬ!W62+ФЕВРАЛЬ!W62+МАРТ!W62+АПРЕЛЬ!W62</f>
        <v>0</v>
      </c>
      <c r="X62" s="92">
        <f t="shared" si="2"/>
        <v>0</v>
      </c>
      <c r="Y62" s="93">
        <f>ДЕКАБРЬ!Y62+ЯНВАРЬ!Y62+ФЕВРАЛЬ!Y62+МАРТ!Y62+АПРЕЛЬ!Y62</f>
        <v>0</v>
      </c>
      <c r="Z62" s="93">
        <f>ДЕКАБРЬ!Z62+ЯНВАРЬ!Z62+ФЕВРАЛЬ!Z62+МАРТ!Z62+АПРЕЛЬ!Z62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ДЕКАБРЬ!AE62+ЯНВАРЬ!AE62+ФЕВРАЛЬ!AE62+МАРТ!AE62+АПРЕЛЬ!AE62</f>
        <v>0</v>
      </c>
      <c r="AF62" s="234">
        <f t="shared" si="6"/>
        <v>0</v>
      </c>
      <c r="AG62" s="93">
        <f>ДЕКАБРЬ!AG62+ЯНВАРЬ!AG62+ФЕВРАЛЬ!AG62+МАРТ!AG62+АПРЕЛЬ!AG62</f>
        <v>0</v>
      </c>
      <c r="AH62" s="93">
        <f>ДЕКАБРЬ!AH62+ЯНВАРЬ!AH62+ФЕВРАЛЬ!AH62+МАРТ!AH62+АПРЕЛЬ!AH62</f>
        <v>0</v>
      </c>
      <c r="AI62" s="93">
        <f>ДЕКАБРЬ!AI62+ЯНВАРЬ!AI62+ФЕВРАЛЬ!AI62+МАРТ!AI62+АПРЕЛЬ!AI62</f>
        <v>0</v>
      </c>
      <c r="AJ62" s="93">
        <f>АПРЕЛЬ!AJ62</f>
        <v>0</v>
      </c>
      <c r="AK62" s="93"/>
      <c r="AL62" s="93">
        <f>ДЕКАБРЬ!AL62+ЯНВАРЬ!AL62+ФЕВРАЛЬ!AL62+МАРТ!AL62+АПРЕЛЬ!AL62</f>
        <v>0</v>
      </c>
      <c r="AM62" s="93">
        <f>ДЕКАБРЬ!AM62+ЯНВАРЬ!AM62+ФЕВРАЛЬ!AM62+МАРТ!AM62+АПРЕЛЬ!AM62</f>
        <v>0</v>
      </c>
      <c r="AN62" s="93">
        <f>ДЕКАБРЬ!AN62+ЯНВАРЬ!AN62+ФЕВРАЛЬ!AN62+МАРТ!AN62+АПРЕЛЬ!AN62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ДЕКАБРЬ!N63+ЯНВАРЬ!N63+ФЕВРАЛЬ!N63+МАРТ!N63+АПРЕЛЬ!N63</f>
        <v>0</v>
      </c>
      <c r="O63" s="89"/>
      <c r="P63" s="89"/>
      <c r="Q63" s="233"/>
      <c r="R63" s="92"/>
      <c r="S63" s="93">
        <f>ДЕКАБРЬ!S63+ЯНВАРЬ!S63+ФЕВРАЛЬ!S63+МАРТ!S63+АПРЕЛЬ!S63</f>
        <v>0</v>
      </c>
      <c r="T63" s="93">
        <f>ДЕКАБРЬ!T63+ЯНВАРЬ!T63+ФЕВРАЛЬ!T63+МАРТ!T63+АПРЕЛЬ!T63</f>
        <v>0</v>
      </c>
      <c r="U63" s="92">
        <f t="shared" si="1"/>
        <v>0</v>
      </c>
      <c r="V63" s="93">
        <f>ДЕКАБРЬ!V63+ЯНВАРЬ!V63+ФЕВРАЛЬ!V63+МАРТ!V63+АПРЕЛЬ!V63</f>
        <v>0</v>
      </c>
      <c r="W63" s="93">
        <f>ДЕКАБРЬ!W63+ЯНВАРЬ!W63+ФЕВРАЛЬ!W63+МАРТ!W63+АПРЕЛЬ!W63</f>
        <v>0</v>
      </c>
      <c r="X63" s="92">
        <f t="shared" si="2"/>
        <v>0</v>
      </c>
      <c r="Y63" s="93">
        <f>ДЕКАБРЬ!Y63+ЯНВАРЬ!Y63+ФЕВРАЛЬ!Y63+МАРТ!Y63+АПРЕЛЬ!Y63</f>
        <v>0</v>
      </c>
      <c r="Z63" s="93">
        <f>ДЕКАБРЬ!Z63+ЯНВАРЬ!Z63+ФЕВРАЛЬ!Z63+МАРТ!Z63+АПРЕЛЬ!Z63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ДЕКАБРЬ!AE63+ЯНВАРЬ!AE63+ФЕВРАЛЬ!AE63+МАРТ!AE63+АПРЕЛЬ!AE63</f>
        <v>0</v>
      </c>
      <c r="AF63" s="234">
        <f t="shared" si="6"/>
        <v>0</v>
      </c>
      <c r="AG63" s="93">
        <f>ДЕКАБРЬ!AG63+ЯНВАРЬ!AG63+ФЕВРАЛЬ!AG63+МАРТ!AG63+АПРЕЛЬ!AG63</f>
        <v>0</v>
      </c>
      <c r="AH63" s="93">
        <f>ДЕКАБРЬ!AH63+ЯНВАРЬ!AH63+ФЕВРАЛЬ!AH63+МАРТ!AH63+АПРЕЛЬ!AH63</f>
        <v>0</v>
      </c>
      <c r="AI63" s="93">
        <f>ДЕКАБРЬ!AI63+ЯНВАРЬ!AI63+ФЕВРАЛЬ!AI63+МАРТ!AI63+АПРЕЛЬ!AI63</f>
        <v>0</v>
      </c>
      <c r="AJ63" s="93">
        <f>АПРЕЛЬ!AJ63</f>
        <v>0</v>
      </c>
      <c r="AK63" s="93"/>
      <c r="AL63" s="93">
        <f>ДЕКАБРЬ!AL63+ЯНВАРЬ!AL63+ФЕВРАЛЬ!AL63+МАРТ!AL63+АПРЕЛЬ!AL63</f>
        <v>0</v>
      </c>
      <c r="AM63" s="93">
        <f>ДЕКАБРЬ!AM63+ЯНВАРЬ!AM63+ФЕВРАЛЬ!AM63+МАРТ!AM63+АПРЕЛЬ!AM63</f>
        <v>0</v>
      </c>
      <c r="AN63" s="93">
        <f>ДЕКАБРЬ!AN63+ЯНВАРЬ!AN63+ФЕВРАЛЬ!AN63+МАРТ!AN63+АПРЕЛЬ!AN63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ДЕКАБРЬ!N64+ЯНВАРЬ!N64+ФЕВРАЛЬ!N64+МАРТ!N64+АПРЕЛЬ!N64</f>
        <v>0</v>
      </c>
      <c r="O64" s="89"/>
      <c r="P64" s="89"/>
      <c r="Q64" s="233"/>
      <c r="R64" s="92"/>
      <c r="S64" s="93">
        <f>ДЕКАБРЬ!S64+ЯНВАРЬ!S64+ФЕВРАЛЬ!S64+МАРТ!S64+АПРЕЛЬ!S64</f>
        <v>0</v>
      </c>
      <c r="T64" s="93">
        <f>ДЕКАБРЬ!T64+ЯНВАРЬ!T64+ФЕВРАЛЬ!T64+МАРТ!T64+АПРЕЛЬ!T64</f>
        <v>0</v>
      </c>
      <c r="U64" s="92">
        <f t="shared" si="1"/>
        <v>0</v>
      </c>
      <c r="V64" s="93">
        <f>ДЕКАБРЬ!V64+ЯНВАРЬ!V64+ФЕВРАЛЬ!V64+МАРТ!V64+АПРЕЛЬ!V64</f>
        <v>0</v>
      </c>
      <c r="W64" s="93">
        <f>ДЕКАБРЬ!W64+ЯНВАРЬ!W64+ФЕВРАЛЬ!W64+МАРТ!W64+АПРЕЛЬ!W64</f>
        <v>0</v>
      </c>
      <c r="X64" s="92">
        <f t="shared" si="2"/>
        <v>0</v>
      </c>
      <c r="Y64" s="93">
        <f>ДЕКАБРЬ!Y64+ЯНВАРЬ!Y64+ФЕВРАЛЬ!Y64+МАРТ!Y64+АПРЕЛЬ!Y64</f>
        <v>0</v>
      </c>
      <c r="Z64" s="93">
        <f>ДЕКАБРЬ!Z64+ЯНВАРЬ!Z64+ФЕВРАЛЬ!Z64+МАРТ!Z64+АПРЕЛЬ!Z64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ДЕКАБРЬ!AE64+ЯНВАРЬ!AE64+ФЕВРАЛЬ!AE64+МАРТ!AE64+АПРЕЛЬ!AE64</f>
        <v>0</v>
      </c>
      <c r="AF64" s="234">
        <f t="shared" si="6"/>
        <v>0</v>
      </c>
      <c r="AG64" s="93">
        <f>ДЕКАБРЬ!AG64+ЯНВАРЬ!AG64+ФЕВРАЛЬ!AG64+МАРТ!AG64+АПРЕЛЬ!AG64</f>
        <v>0</v>
      </c>
      <c r="AH64" s="93">
        <f>ДЕКАБРЬ!AH64+ЯНВАРЬ!AH64+ФЕВРАЛЬ!AH64+МАРТ!AH64+АПРЕЛЬ!AH64</f>
        <v>0</v>
      </c>
      <c r="AI64" s="93">
        <f>ДЕКАБРЬ!AI64+ЯНВАРЬ!AI64+ФЕВРАЛЬ!AI64+МАРТ!AI64+АПРЕЛЬ!AI64</f>
        <v>0</v>
      </c>
      <c r="AJ64" s="93">
        <f>АПРЕЛЬ!AJ64</f>
        <v>0</v>
      </c>
      <c r="AK64" s="93"/>
      <c r="AL64" s="93">
        <f>ДЕКАБРЬ!AL64+ЯНВАРЬ!AL64+ФЕВРАЛЬ!AL64+МАРТ!AL64+АПРЕЛЬ!AL64</f>
        <v>0</v>
      </c>
      <c r="AM64" s="93">
        <f>ДЕКАБРЬ!AM64+ЯНВАРЬ!AM64+ФЕВРАЛЬ!AM64+МАРТ!AM64+АПРЕЛЬ!AM64</f>
        <v>0</v>
      </c>
      <c r="AN64" s="93">
        <f>ДЕКАБРЬ!AN64+ЯНВАРЬ!AN64+ФЕВРАЛЬ!AN64+МАРТ!AN64+АПРЕЛЬ!AN64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ДЕКАБРЬ!N65+ЯНВАРЬ!N65+ФЕВРАЛЬ!N65+МАРТ!N65+АПРЕЛЬ!N65</f>
        <v>5</v>
      </c>
      <c r="O65" s="89"/>
      <c r="P65" s="89"/>
      <c r="Q65" s="233"/>
      <c r="R65" s="92"/>
      <c r="S65" s="93">
        <f>ДЕКАБРЬ!S65+ЯНВАРЬ!S65+ФЕВРАЛЬ!S65+МАРТ!S65+АПРЕЛЬ!S65</f>
        <v>0</v>
      </c>
      <c r="T65" s="93">
        <f>ДЕКАБРЬ!T65+ЯНВАРЬ!T65+ФЕВРАЛЬ!T65+МАРТ!T65+АПРЕЛЬ!T65</f>
        <v>0</v>
      </c>
      <c r="U65" s="92">
        <f t="shared" si="1"/>
        <v>0</v>
      </c>
      <c r="V65" s="93">
        <f>ДЕКАБРЬ!V65+ЯНВАРЬ!V65+ФЕВРАЛЬ!V65+МАРТ!V65+АПРЕЛЬ!V65</f>
        <v>0</v>
      </c>
      <c r="W65" s="93">
        <f>ДЕКАБРЬ!W65+ЯНВАРЬ!W65+ФЕВРАЛЬ!W65+МАРТ!W65+АПРЕЛЬ!W65</f>
        <v>0</v>
      </c>
      <c r="X65" s="92">
        <f t="shared" si="2"/>
        <v>0</v>
      </c>
      <c r="Y65" s="93">
        <f>ДЕКАБРЬ!Y65+ЯНВАРЬ!Y65+ФЕВРАЛЬ!Y65+МАРТ!Y65+АПРЕЛЬ!Y65</f>
        <v>0</v>
      </c>
      <c r="Z65" s="93">
        <f>ДЕКАБРЬ!Z65+ЯНВАРЬ!Z65+ФЕВРАЛЬ!Z65+МАРТ!Z65+АПРЕЛЬ!Z65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ДЕКАБРЬ!AE65+ЯНВАРЬ!AE65+ФЕВРАЛЬ!AE65+МАРТ!AE65+АПРЕЛЬ!AE65</f>
        <v>0</v>
      </c>
      <c r="AF65" s="234">
        <f t="shared" si="6"/>
        <v>0</v>
      </c>
      <c r="AG65" s="93">
        <f>ДЕКАБРЬ!AG65+ЯНВАРЬ!AG65+ФЕВРАЛЬ!AG65+МАРТ!AG65+АПРЕЛЬ!AG65</f>
        <v>367.81</v>
      </c>
      <c r="AH65" s="93">
        <f>ДЕКАБРЬ!AH65+ЯНВАРЬ!AH65+ФЕВРАЛЬ!AH65+МАРТ!AH65+АПРЕЛЬ!AH65</f>
        <v>0</v>
      </c>
      <c r="AI65" s="93">
        <f>ДЕКАБРЬ!AI65+ЯНВАРЬ!AI65+ФЕВРАЛЬ!AI65+МАРТ!AI65+АПРЕЛЬ!AI65</f>
        <v>0</v>
      </c>
      <c r="AJ65" s="93">
        <f>АПРЕЛЬ!AJ65</f>
        <v>0</v>
      </c>
      <c r="AK65" s="93"/>
      <c r="AL65" s="93">
        <f>ДЕКАБРЬ!AL65+ЯНВАРЬ!AL65+ФЕВРАЛЬ!AL65+МАРТ!AL65+АПРЕЛЬ!AL65</f>
        <v>7.7347608370185608</v>
      </c>
      <c r="AM65" s="93">
        <f>ДЕКАБРЬ!AM65+ЯНВАРЬ!AM65+ФЕВРАЛЬ!AM65+МАРТ!AM65+АПРЕЛЬ!AM65</f>
        <v>0</v>
      </c>
      <c r="AN65" s="93">
        <f>ДЕКАБРЬ!AN65+ЯНВАРЬ!AN65+ФЕВРАЛЬ!AN65+МАРТ!AN65+АПРЕЛЬ!AN65</f>
        <v>0</v>
      </c>
      <c r="AO65" s="95">
        <f t="shared" si="15"/>
        <v>-375.54476083701854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367.81</v>
      </c>
      <c r="AU65" s="98">
        <f t="shared" si="16"/>
        <v>0</v>
      </c>
      <c r="AV65" s="98">
        <f t="array" ref="AV65">_xlfn.IFS(U65=0,AO65,U65&lt;0,AO65/-U65,U65&gt;0,AO65/U65)</f>
        <v>-375.54476083701854</v>
      </c>
      <c r="AW65" s="234">
        <f t="shared" si="35"/>
        <v>0</v>
      </c>
      <c r="AX65" s="234">
        <f t="shared" si="36"/>
        <v>-3.767125698034091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ДЕКАБРЬ!N66+ЯНВАРЬ!N66+ФЕВРАЛЬ!N66+МАРТ!N66+АПРЕЛЬ!N66</f>
        <v>2</v>
      </c>
      <c r="O66" s="89"/>
      <c r="P66" s="89"/>
      <c r="Q66" s="233"/>
      <c r="R66" s="92"/>
      <c r="S66" s="93">
        <f>ДЕКАБРЬ!S66+ЯНВАРЬ!S66+ФЕВРАЛЬ!S66+МАРТ!S66+АПРЕЛЬ!S66</f>
        <v>0</v>
      </c>
      <c r="T66" s="93">
        <f>ДЕКАБРЬ!T66+ЯНВАРЬ!T66+ФЕВРАЛЬ!T66+МАРТ!T66+АПРЕЛЬ!T66</f>
        <v>0</v>
      </c>
      <c r="U66" s="92">
        <f t="shared" si="1"/>
        <v>0</v>
      </c>
      <c r="V66" s="93">
        <f>ДЕКАБРЬ!V66+ЯНВАРЬ!V66+ФЕВРАЛЬ!V66+МАРТ!V66+АПРЕЛЬ!V66</f>
        <v>0</v>
      </c>
      <c r="W66" s="93">
        <f>ДЕКАБРЬ!W66+ЯНВАРЬ!W66+ФЕВРАЛЬ!W66+МАРТ!W66+АПРЕЛЬ!W66</f>
        <v>0</v>
      </c>
      <c r="X66" s="92">
        <f t="shared" si="2"/>
        <v>0</v>
      </c>
      <c r="Y66" s="93">
        <f>ДЕКАБРЬ!Y66+ЯНВАРЬ!Y66+ФЕВРАЛЬ!Y66+МАРТ!Y66+АПРЕЛЬ!Y66</f>
        <v>0</v>
      </c>
      <c r="Z66" s="93">
        <f>ДЕКАБРЬ!Z66+ЯНВАРЬ!Z66+ФЕВРАЛЬ!Z66+МАРТ!Z66+АПРЕЛЬ!Z66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ДЕКАБРЬ!AE66+ЯНВАРЬ!AE66+ФЕВРАЛЬ!AE66+МАРТ!AE66+АПРЕЛЬ!AE66</f>
        <v>0</v>
      </c>
      <c r="AF66" s="234">
        <f t="shared" si="6"/>
        <v>0</v>
      </c>
      <c r="AG66" s="93">
        <f>ДЕКАБРЬ!AG66+ЯНВАРЬ!AG66+ФЕВРАЛЬ!AG66+МАРТ!AG66+АПРЕЛЬ!AG66</f>
        <v>195.75</v>
      </c>
      <c r="AH66" s="93">
        <f>ДЕКАБРЬ!AH66+ЯНВАРЬ!AH66+ФЕВРАЛЬ!AH66+МАРТ!AH66+АПРЕЛЬ!AH66</f>
        <v>0</v>
      </c>
      <c r="AI66" s="93">
        <f>ДЕКАБРЬ!AI66+ЯНВАРЬ!AI66+ФЕВРАЛЬ!AI66+МАРТ!AI66+АПРЕЛЬ!AI66</f>
        <v>0</v>
      </c>
      <c r="AJ66" s="93">
        <f>АПРЕЛЬ!AJ66</f>
        <v>0</v>
      </c>
      <c r="AK66" s="93"/>
      <c r="AL66" s="93">
        <f>ДЕКАБРЬ!AL66+ЯНВАРЬ!AL66+ФЕВРАЛЬ!AL66+МАРТ!AL66+АПРЕЛЬ!AL66</f>
        <v>23.544500484333671</v>
      </c>
      <c r="AM66" s="93">
        <f>ДЕКАБРЬ!AM66+ЯНВАРЬ!AM66+ФЕВРАЛЬ!AM66+МАРТ!AM66+АПРЕЛЬ!AM66</f>
        <v>0</v>
      </c>
      <c r="AN66" s="93">
        <f>ДЕКАБРЬ!AN66+ЯНВАРЬ!AN66+ФЕВРАЛЬ!AN66+МАРТ!AN66+АПРЕЛЬ!AN66</f>
        <v>0</v>
      </c>
      <c r="AO66" s="95">
        <f t="shared" si="15"/>
        <v>-219.29450048433367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-219.29450048433367</v>
      </c>
      <c r="AW66" s="234">
        <f t="shared" si="35"/>
        <v>0</v>
      </c>
      <c r="AX66" s="234">
        <f t="shared" si="36"/>
        <v>-2.2526399638863244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ДЕКАБРЬ!N67+ЯНВАРЬ!N67+ФЕВРАЛЬ!N67+МАРТ!N67+АПРЕЛЬ!N67</f>
        <v>21</v>
      </c>
      <c r="O67" s="89"/>
      <c r="P67" s="89"/>
      <c r="Q67" s="233"/>
      <c r="R67" s="92"/>
      <c r="S67" s="93">
        <f>ДЕКАБРЬ!S67+ЯНВАРЬ!S67+ФЕВРАЛЬ!S67+МАРТ!S67+АПРЕЛЬ!S67</f>
        <v>13</v>
      </c>
      <c r="T67" s="93">
        <f>ДЕКАБРЬ!T67+ЯНВАРЬ!T67+ФЕВРАЛЬ!T67+МАРТ!T67+АПРЕЛЬ!T67</f>
        <v>-2</v>
      </c>
      <c r="U67" s="92">
        <f t="shared" ref="U67:U104" si="38">S67+T67</f>
        <v>11</v>
      </c>
      <c r="V67" s="93">
        <f>ДЕКАБРЬ!V67+ЯНВАРЬ!V67+ФЕВРАЛЬ!V67+МАРТ!V67+АПРЕЛЬ!V67</f>
        <v>8602</v>
      </c>
      <c r="W67" s="93">
        <f>ДЕКАБРЬ!W67+ЯНВАРЬ!W67+ФЕВРАЛЬ!W67+МАРТ!W67+АПРЕЛЬ!W67</f>
        <v>-1418</v>
      </c>
      <c r="X67" s="92">
        <f t="shared" ref="X67:X104" si="39">V67+W67</f>
        <v>7184</v>
      </c>
      <c r="Y67" s="93">
        <f>ДЕКАБРЬ!Y67+ЯНВАРЬ!Y67+ФЕВРАЛЬ!Y67+МАРТ!Y67+АПРЕЛЬ!Y67</f>
        <v>13574.059999999998</v>
      </c>
      <c r="Z67" s="93">
        <f>ДЕКАБРЬ!Z67+ЯНВАРЬ!Z67+ФЕВРАЛЬ!Z67+МАРТ!Z67+АПРЕЛЬ!Z67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AA67/$AA$127</f>
        <v>2.5991971762862694E-4</v>
      </c>
      <c r="AD67" s="92">
        <f t="shared" ref="AD67:AD104" si="42">U67*K67</f>
        <v>1778.6999999999998</v>
      </c>
      <c r="AE67" s="93">
        <f>ДЕКАБРЬ!AE67+ЯНВАРЬ!AE67+ФЕВРАЛЬ!AE67+МАРТ!AE67+АПРЕЛЬ!AE67</f>
        <v>4287.8900000000003</v>
      </c>
      <c r="AF67" s="234">
        <f t="shared" ref="AF67:AF104" si="43">IF(AA67=0,0,AE67/AA67)</f>
        <v>0.37363781646314165</v>
      </c>
      <c r="AG67" s="93">
        <f>ДЕКАБРЬ!AG67+ЯНВАРЬ!AG67+ФЕВРАЛЬ!AG67+МАРТ!AG67+АПРЕЛЬ!AG67</f>
        <v>1522.8000000000002</v>
      </c>
      <c r="AH67" s="93">
        <f>ДЕКАБРЬ!AH67+ЯНВАРЬ!AH67+ФЕВРАЛЬ!AH67+МАРТ!AH67+АПРЕЛЬ!AH67</f>
        <v>0</v>
      </c>
      <c r="AI67" s="93">
        <f>ДЕКАБРЬ!AI67+ЯНВАРЬ!AI67+ФЕВРАЛЬ!AI67+МАРТ!AI67+АПРЕЛЬ!AI67</f>
        <v>0</v>
      </c>
      <c r="AJ67" s="93">
        <f>АПРЕЛЬ!AJ67</f>
        <v>0</v>
      </c>
      <c r="AK67" s="93"/>
      <c r="AL67" s="93">
        <f>ДЕКАБРЬ!AL67+ЯНВАРЬ!AL67+ФЕВРАЛЬ!AL67+МАРТ!AL67+АПРЕЛЬ!AL67</f>
        <v>34.974592185883665</v>
      </c>
      <c r="AM67" s="93">
        <f>ДЕКАБРЬ!AM67+ЯНВАРЬ!AM67+ФЕВРАЛЬ!AM67+МАРТ!AM67+АПРЕЛЬ!AM67</f>
        <v>0</v>
      </c>
      <c r="AN67" s="93">
        <f>ДЕКАБРЬ!AN67+ЯНВАРЬ!AN67+ФЕВРАЛЬ!AN67+МАРТ!AN67+АПРЕЛЬ!AN67</f>
        <v>460.12097607880213</v>
      </c>
      <c r="AO67" s="95">
        <f t="shared" si="15"/>
        <v>3391.574431735311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308.32494833957372</v>
      </c>
      <c r="AW67" s="234">
        <f t="shared" si="35"/>
        <v>0.29553474203997815</v>
      </c>
      <c r="AX67" s="234">
        <f t="shared" si="36"/>
        <v>1.9067714801457869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ДЕКАБРЬ!N68+ЯНВАРЬ!N68+ФЕВРАЛЬ!N68+МАРТ!N68+АПРЕЛЬ!N68</f>
        <v>0</v>
      </c>
      <c r="O68" s="89"/>
      <c r="P68" s="89"/>
      <c r="Q68" s="233"/>
      <c r="R68" s="92"/>
      <c r="S68" s="93">
        <f>ДЕКАБРЬ!S68+ЯНВАРЬ!S68+ФЕВРАЛЬ!S68+МАРТ!S68+АПРЕЛЬ!S68</f>
        <v>0</v>
      </c>
      <c r="T68" s="93">
        <f>ДЕКАБРЬ!T68+ЯНВАРЬ!T68+ФЕВРАЛЬ!T68+МАРТ!T68+АПРЕЛЬ!T68</f>
        <v>0</v>
      </c>
      <c r="U68" s="92">
        <f t="shared" si="38"/>
        <v>0</v>
      </c>
      <c r="V68" s="93">
        <f>ДЕКАБРЬ!V68+ЯНВАРЬ!V68+ФЕВРАЛЬ!V68+МАРТ!V68+АПРЕЛЬ!V68</f>
        <v>0</v>
      </c>
      <c r="W68" s="93">
        <f>ДЕКАБРЬ!W68+ЯНВАРЬ!W68+ФЕВРАЛЬ!W68+МАРТ!W68+АПРЕЛЬ!W68</f>
        <v>0</v>
      </c>
      <c r="X68" s="92">
        <f t="shared" si="39"/>
        <v>0</v>
      </c>
      <c r="Y68" s="93">
        <f>ДЕКАБРЬ!Y68+ЯНВАРЬ!Y68+ФЕВРАЛЬ!Y68+МАРТ!Y68+АПРЕЛЬ!Y68</f>
        <v>0</v>
      </c>
      <c r="Z68" s="93">
        <f>ДЕКАБРЬ!Z68+ЯНВАРЬ!Z68+ФЕВРАЛЬ!Z68+МАРТ!Z68+АПРЕЛЬ!Z68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ДЕКАБРЬ!AE68+ЯНВАРЬ!AE68+ФЕВРАЛЬ!AE68+МАРТ!AE68+АПРЕЛЬ!AE68</f>
        <v>0</v>
      </c>
      <c r="AF68" s="234">
        <f t="shared" si="43"/>
        <v>0</v>
      </c>
      <c r="AG68" s="93">
        <f>ДЕКАБРЬ!AG68+ЯНВАРЬ!AG68+ФЕВРАЛЬ!AG68+МАРТ!AG68+АПРЕЛЬ!AG68</f>
        <v>0</v>
      </c>
      <c r="AH68" s="93">
        <f>ДЕКАБРЬ!AH68+ЯНВАРЬ!AH68+ФЕВРАЛЬ!AH68+МАРТ!AH68+АПРЕЛЬ!AH68</f>
        <v>0</v>
      </c>
      <c r="AI68" s="93">
        <f>ДЕКАБРЬ!AI68+ЯНВАРЬ!AI68+ФЕВРАЛЬ!AI68+МАРТ!AI68+АПРЕЛЬ!AI68</f>
        <v>0</v>
      </c>
      <c r="AJ68" s="93">
        <f>АПРЕЛЬ!AJ68</f>
        <v>0</v>
      </c>
      <c r="AK68" s="93"/>
      <c r="AL68" s="93">
        <f>ДЕКАБРЬ!AL68+ЯНВАРЬ!AL68+ФЕВРАЛЬ!AL68+МАРТ!AL68+АПРЕЛЬ!AL68</f>
        <v>0</v>
      </c>
      <c r="AM68" s="93">
        <f>ДЕКАБРЬ!AM68+ЯНВАРЬ!AM68+ФЕВРАЛЬ!AM68+МАРТ!AM68+АПРЕЛЬ!AM68</f>
        <v>0</v>
      </c>
      <c r="AN68" s="93">
        <f>ДЕКАБРЬ!AN68+ЯНВАРЬ!AN68+ФЕВРАЛЬ!AN68+МАРТ!AN68+АПРЕЛЬ!AN68</f>
        <v>0</v>
      </c>
      <c r="AO68" s="95">
        <f t="shared" ref="AO68:AO103" si="45">AA68-AD68-AE68-AG68-AH68-AI68-AJ68-AK68-AL68-AN68-AM68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ДЕКАБРЬ!N69+ЯНВАРЬ!N69+ФЕВРАЛЬ!N69+МАРТ!N69+АПРЕЛЬ!N69</f>
        <v>28</v>
      </c>
      <c r="O69" s="89"/>
      <c r="P69" s="89"/>
      <c r="Q69" s="233"/>
      <c r="R69" s="92"/>
      <c r="S69" s="93">
        <f>ДЕКАБРЬ!S69+ЯНВАРЬ!S69+ФЕВРАЛЬ!S69+МАРТ!S69+АПРЕЛЬ!S69</f>
        <v>10</v>
      </c>
      <c r="T69" s="93">
        <f>ДЕКАБРЬ!T69+ЯНВАРЬ!T69+ФЕВРАЛЬ!T69+МАРТ!T69+АПРЕЛЬ!T69</f>
        <v>-1</v>
      </c>
      <c r="U69" s="92">
        <f t="shared" si="38"/>
        <v>9</v>
      </c>
      <c r="V69" s="93">
        <f>ДЕКАБРЬ!V69+ЯНВАРЬ!V69+ФЕВРАЛЬ!V69+МАРТ!V69+АПРЕЛЬ!V69</f>
        <v>6801.04</v>
      </c>
      <c r="W69" s="93">
        <f>ДЕКАБРЬ!W69+ЯНВАРЬ!W69+ФЕВРАЛЬ!W69+МАРТ!W69+АПРЕЛЬ!W69</f>
        <v>-640</v>
      </c>
      <c r="X69" s="92">
        <f t="shared" si="39"/>
        <v>6161.04</v>
      </c>
      <c r="Y69" s="93">
        <f>ДЕКАБРЬ!Y69+ЯНВАРЬ!Y69+ФЕВРАЛЬ!Y69+МАРТ!Y69+АПРЕЛЬ!Y69</f>
        <v>9958.880000000001</v>
      </c>
      <c r="Z69" s="93">
        <f>ДЕКАБРЬ!Z69+ЯНВАРЬ!Z69+ФЕВРАЛЬ!Z69+МАРТ!Z69+АПРЕЛЬ!Z69</f>
        <v>-998</v>
      </c>
      <c r="AA69" s="232">
        <f t="shared" si="40"/>
        <v>8960.880000000001</v>
      </c>
      <c r="AB69" s="92">
        <f t="shared" si="44"/>
        <v>0</v>
      </c>
      <c r="AC69" s="234">
        <f t="shared" si="41"/>
        <v>2.0295374887409191E-4</v>
      </c>
      <c r="AD69" s="92">
        <f t="shared" si="42"/>
        <v>1265.7599999999998</v>
      </c>
      <c r="AE69" s="93">
        <f>ДЕКАБРЬ!AE69+ЯНВАРЬ!AE69+ФЕВРАЛЬ!AE69+МАРТ!AE69+АПРЕЛЬ!AE69</f>
        <v>3377.79</v>
      </c>
      <c r="AF69" s="234">
        <f t="shared" si="43"/>
        <v>0.37694846934676052</v>
      </c>
      <c r="AG69" s="93">
        <f>ДЕКАБРЬ!AG69+ЯНВАРЬ!AG69+ФЕВРАЛЬ!AG69+МАРТ!AG69+АПРЕЛЬ!AG69</f>
        <v>2043.3300000000002</v>
      </c>
      <c r="AH69" s="93">
        <f>ДЕКАБРЬ!AH69+ЯНВАРЬ!AH69+ФЕВРАЛЬ!AH69+МАРТ!AH69+АПРЕЛЬ!AH69</f>
        <v>0</v>
      </c>
      <c r="AI69" s="93">
        <f>ДЕКАБРЬ!AI69+ЯНВАРЬ!AI69+ФЕВРАЛЬ!AI69+МАРТ!AI69+АПРЕЛЬ!AI69</f>
        <v>0</v>
      </c>
      <c r="AJ69" s="93">
        <f>АПРЕЛЬ!AJ69</f>
        <v>0</v>
      </c>
      <c r="AK69" s="93"/>
      <c r="AL69" s="93">
        <f>ДЕКАБРЬ!AL69+ЯНВАРЬ!AL69+ФЕВРАЛЬ!AL69+МАРТ!AL69+АПРЕЛЬ!AL69</f>
        <v>78.069480451664774</v>
      </c>
      <c r="AM69" s="93">
        <f>ДЕКАБРЬ!AM69+ЯНВАРЬ!AM69+ФЕВРАЛЬ!AM69+МАРТ!AM69+АПРЕЛЬ!AM69</f>
        <v>0</v>
      </c>
      <c r="AN69" s="93">
        <f>ДЕКАБРЬ!AN69+ЯНВАРЬ!AN69+ФЕВРАЛЬ!AN69+МАРТ!AN69+АПРЕЛЬ!AN69</f>
        <v>349.14692654419395</v>
      </c>
      <c r="AO69" s="95">
        <f t="shared" si="45"/>
        <v>1846.7835930041422</v>
      </c>
      <c r="AP69" s="96"/>
      <c r="AQ69" s="97">
        <f t="shared" si="7"/>
        <v>995.65333333333342</v>
      </c>
      <c r="AR69" s="98">
        <f t="shared" si="26"/>
        <v>140.63999999999999</v>
      </c>
      <c r="AS69" s="98">
        <f t="shared" si="9"/>
        <v>375.31</v>
      </c>
      <c r="AT69" s="98">
        <f t="shared" si="10"/>
        <v>204.33300000000003</v>
      </c>
      <c r="AU69" s="98">
        <f t="shared" si="16"/>
        <v>0</v>
      </c>
      <c r="AV69" s="98">
        <f t="array" ref="AV69">_xlfn.IFS(U69=0,AO69,U69&lt;0,AO69/-U69,U69&gt;0,AO69/U69)</f>
        <v>205.19817700046025</v>
      </c>
      <c r="AW69" s="234">
        <f t="shared" si="35"/>
        <v>0.20609399891574734</v>
      </c>
      <c r="AX69" s="234">
        <f t="shared" si="36"/>
        <v>1.4590314064310315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ДЕКАБРЬ!N70+ЯНВАРЬ!N70+ФЕВРАЛЬ!N70+МАРТ!N70+АПРЕЛЬ!N70</f>
        <v>23</v>
      </c>
      <c r="O70" s="89"/>
      <c r="P70" s="89"/>
      <c r="Q70" s="233"/>
      <c r="R70" s="92"/>
      <c r="S70" s="93">
        <f>ДЕКАБРЬ!S70+ЯНВАРЬ!S70+ФЕВРАЛЬ!S70+МАРТ!S70+АПРЕЛЬ!S70</f>
        <v>10</v>
      </c>
      <c r="T70" s="93">
        <f>ДЕКАБРЬ!T70+ЯНВАРЬ!T70+ФЕВРАЛЬ!T70+МАРТ!T70+АПРЕЛЬ!T70</f>
        <v>0</v>
      </c>
      <c r="U70" s="92">
        <f t="shared" si="38"/>
        <v>10</v>
      </c>
      <c r="V70" s="93">
        <f>ДЕКАБРЬ!V70+ЯНВАРЬ!V70+ФЕВРАЛЬ!V70+МАРТ!V70+АПРЕЛЬ!V70</f>
        <v>6888</v>
      </c>
      <c r="W70" s="93">
        <f>ДЕКАБРЬ!W70+ЯНВАРЬ!W70+ФЕВРАЛЬ!W70+МАРТ!W70+АПРЕЛЬ!W70</f>
        <v>0</v>
      </c>
      <c r="X70" s="92">
        <f t="shared" si="39"/>
        <v>6888</v>
      </c>
      <c r="Y70" s="93">
        <f>ДЕКАБРЬ!Y70+ЯНВАРЬ!Y70+ФЕВРАЛЬ!Y70+МАРТ!Y70+АПРЕЛЬ!Y70</f>
        <v>10530</v>
      </c>
      <c r="Z70" s="93">
        <f>ДЕКАБРЬ!Z70+ЯНВАРЬ!Z70+ФЕВРАЛЬ!Z70+МАРТ!Z70+АПРЕЛЬ!Z70</f>
        <v>0</v>
      </c>
      <c r="AA70" s="232">
        <f t="shared" si="40"/>
        <v>10530</v>
      </c>
      <c r="AB70" s="92">
        <f t="shared" si="44"/>
        <v>0</v>
      </c>
      <c r="AC70" s="234">
        <f t="shared" si="41"/>
        <v>2.3849253372929753E-4</v>
      </c>
      <c r="AD70" s="92">
        <f t="shared" si="42"/>
        <v>1172.3999999999999</v>
      </c>
      <c r="AE70" s="93">
        <f>ДЕКАБРЬ!AE70+ЯНВАРЬ!AE70+ФЕВРАЛЬ!AE70+МАРТ!AE70+АПРЕЛЬ!AE70</f>
        <v>3960.9</v>
      </c>
      <c r="AF70" s="234">
        <f t="shared" si="43"/>
        <v>0.37615384615384617</v>
      </c>
      <c r="AG70" s="93">
        <f>ДЕКАБРЬ!AG70+ЯНВАРЬ!AG70+ФЕВРАЛЬ!AG70+МАРТ!AG70+АПРЕЛЬ!AG70</f>
        <v>1764.6000000000001</v>
      </c>
      <c r="AH70" s="93">
        <f>ДЕКАБРЬ!AH70+ЯНВАРЬ!AH70+ФЕВРАЛЬ!AH70+МАРТ!AH70+АПРЕЛЬ!AH70</f>
        <v>0</v>
      </c>
      <c r="AI70" s="93">
        <f>ДЕКАБРЬ!AI70+ЯНВАРЬ!AI70+ФЕВРАЛЬ!AI70+МАРТ!AI70+АПРЕЛЬ!AI70</f>
        <v>0</v>
      </c>
      <c r="AJ70" s="93">
        <f>АПРЕЛЬ!AJ70</f>
        <v>0</v>
      </c>
      <c r="AK70" s="93"/>
      <c r="AL70" s="93">
        <f>ДЕКАБРЬ!AL70+ЯНВАРЬ!AL70+ФЕВРАЛЬ!AL70+МАРТ!AL70+АПРЕЛЬ!AL70</f>
        <v>38.701548100523162</v>
      </c>
      <c r="AM70" s="93">
        <f>ДЕКАБРЬ!AM70+ЯНВАРЬ!AM70+ФЕВРАЛЬ!AM70+МАРТ!AM70+АПРЕЛЬ!AM70</f>
        <v>0</v>
      </c>
      <c r="AN70" s="93">
        <f>ДЕКАБРЬ!AN70+ЯНВАРЬ!AN70+ФЕВРАЛЬ!AN70+МАРТ!AN70+АПРЕЛЬ!AN70</f>
        <v>388.30611089315579</v>
      </c>
      <c r="AO70" s="95">
        <f t="shared" si="45"/>
        <v>3205.0923410063215</v>
      </c>
      <c r="AP70" s="96"/>
      <c r="AQ70" s="97">
        <f t="shared" si="7"/>
        <v>1053</v>
      </c>
      <c r="AR70" s="98">
        <f t="shared" si="26"/>
        <v>117.24</v>
      </c>
      <c r="AS70" s="98">
        <f t="shared" si="9"/>
        <v>396.09000000000003</v>
      </c>
      <c r="AT70" s="98">
        <f t="shared" si="10"/>
        <v>176.46</v>
      </c>
      <c r="AU70" s="98">
        <f t="shared" si="16"/>
        <v>0</v>
      </c>
      <c r="AV70" s="98">
        <f t="array" ref="AV70">_xlfn.IFS(U70=0,AO70,U70&lt;0,AO70/-U70,U70&gt;0,AO70/U70)</f>
        <v>320.50923410063217</v>
      </c>
      <c r="AW70" s="234">
        <f t="shared" si="35"/>
        <v>0.30437724036147407</v>
      </c>
      <c r="AX70" s="234">
        <f t="shared" si="36"/>
        <v>2.7337873942394419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ДЕКАБРЬ!N71+ЯНВАРЬ!N71+ФЕВРАЛЬ!N71+МАРТ!N71+АПРЕЛЬ!N71</f>
        <v>78</v>
      </c>
      <c r="O71" s="89"/>
      <c r="P71" s="89"/>
      <c r="Q71" s="233"/>
      <c r="R71" s="92"/>
      <c r="S71" s="93">
        <f>ДЕКАБРЬ!S71+ЯНВАРЬ!S71+ФЕВРАЛЬ!S71+МАРТ!S71+АПРЕЛЬ!S71</f>
        <v>21</v>
      </c>
      <c r="T71" s="93">
        <f>ДЕКАБРЬ!T71+ЯНВАРЬ!T71+ФЕВРАЛЬ!T71+МАРТ!T71+АПРЕЛЬ!T71</f>
        <v>-3</v>
      </c>
      <c r="U71" s="92">
        <f t="shared" si="38"/>
        <v>18</v>
      </c>
      <c r="V71" s="93">
        <f>ДЕКАБРЬ!V71+ЯНВАРЬ!V71+ФЕВРАЛЬ!V71+МАРТ!V71+АПРЕЛЬ!V71</f>
        <v>10130.93</v>
      </c>
      <c r="W71" s="93">
        <f>ДЕКАБРЬ!W71+ЯНВАРЬ!W71+ФЕВРАЛЬ!W71+МАРТ!W71+АПРЕЛЬ!W71</f>
        <v>-1468</v>
      </c>
      <c r="X71" s="92">
        <f t="shared" si="39"/>
        <v>8662.93</v>
      </c>
      <c r="Y71" s="93">
        <f>ДЕКАБРЬ!Y71+ЯНВАРЬ!Y71+ФЕВРАЛЬ!Y71+МАРТ!Y71+АПРЕЛЬ!Y71</f>
        <v>14888.810000000001</v>
      </c>
      <c r="Z71" s="93">
        <f>ДЕКАБРЬ!Z71+ЯНВАРЬ!Z71+ФЕВРАЛЬ!Z71+МАРТ!Z71+АПРЕЛЬ!Z71</f>
        <v>-2211</v>
      </c>
      <c r="AA71" s="232">
        <f t="shared" si="40"/>
        <v>12677.810000000001</v>
      </c>
      <c r="AB71" s="92">
        <f t="shared" si="44"/>
        <v>0</v>
      </c>
      <c r="AC71" s="234">
        <f t="shared" si="41"/>
        <v>2.8713798946235761E-4</v>
      </c>
      <c r="AD71" s="92">
        <f t="shared" si="42"/>
        <v>2215.62</v>
      </c>
      <c r="AE71" s="93">
        <f>ДЕКАБРЬ!AE71+ЯНВАРЬ!AE71+ФЕВРАЛЬ!AE71+МАРТ!AE71+АПРЕЛЬ!AE71</f>
        <v>4770.5800000000008</v>
      </c>
      <c r="AF71" s="234">
        <f t="shared" si="43"/>
        <v>0.37629369741303903</v>
      </c>
      <c r="AG71" s="93">
        <f>ДЕКАБРЬ!AG71+ЯНВАРЬ!AG71+ФЕВРАЛЬ!AG71+МАРТ!AG71+АПРЕЛЬ!AG71</f>
        <v>6817.1900000000014</v>
      </c>
      <c r="AH71" s="93">
        <f>ДЕКАБРЬ!AH71+ЯНВАРЬ!AH71+ФЕВРАЛЬ!AH71+МАРТ!AH71+АПРЕЛЬ!AH71</f>
        <v>0</v>
      </c>
      <c r="AI71" s="93">
        <f>ДЕКАБРЬ!AI71+ЯНВАРЬ!AI71+ФЕВРАЛЬ!AI71+МАРТ!AI71+АПРЕЛЬ!AI71</f>
        <v>0</v>
      </c>
      <c r="AJ71" s="93">
        <f>АПРЕЛЬ!AJ71</f>
        <v>0</v>
      </c>
      <c r="AK71" s="93"/>
      <c r="AL71" s="93">
        <f>ДЕКАБРЬ!AL71+ЯНВАРЬ!AL71+ФЕВРАЛЬ!AL71+МАРТ!AL71+АПРЕЛЬ!AL71</f>
        <v>83.208124008223564</v>
      </c>
      <c r="AM71" s="93">
        <f>ДЕКАБРЬ!AM71+ЯНВАРЬ!AM71+ФЕВРАЛЬ!AM71+МАРТ!AM71+АПРЕЛЬ!AM71</f>
        <v>0</v>
      </c>
      <c r="AN71" s="93">
        <f>ДЕКАБРЬ!AN71+ЯНВАРЬ!AN71+ФЕВРАЛЬ!AN71+МАРТ!AN71+АПРЕЛЬ!AN71</f>
        <v>486.65153839148599</v>
      </c>
      <c r="AO71" s="95">
        <f t="shared" si="45"/>
        <v>-1695.4396623997095</v>
      </c>
      <c r="AP71" s="96"/>
      <c r="AQ71" s="97">
        <f t="shared" si="7"/>
        <v>704.3227777777779</v>
      </c>
      <c r="AR71" s="98">
        <f t="shared" si="26"/>
        <v>123.09</v>
      </c>
      <c r="AS71" s="98">
        <f t="shared" si="9"/>
        <v>265.03222222222229</v>
      </c>
      <c r="AT71" s="98">
        <f t="shared" si="10"/>
        <v>324.62809523809528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-94.191092355539411</v>
      </c>
      <c r="AW71" s="234">
        <f t="shared" si="35"/>
        <v>-0.13373284994803591</v>
      </c>
      <c r="AX71" s="234">
        <f t="shared" si="36"/>
        <v>-0.7652213206234415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ДЕКАБРЬ!N72+ЯНВАРЬ!N72+ФЕВРАЛЬ!N72+МАРТ!N72+АПРЕЛЬ!N72</f>
        <v>46</v>
      </c>
      <c r="O72" s="89"/>
      <c r="P72" s="89"/>
      <c r="Q72" s="233"/>
      <c r="R72" s="92"/>
      <c r="S72" s="93">
        <f>ДЕКАБРЬ!S72+ЯНВАРЬ!S72+ФЕВРАЛЬ!S72+МАРТ!S72+АПРЕЛЬ!S72</f>
        <v>15</v>
      </c>
      <c r="T72" s="93">
        <f>ДЕКАБРЬ!T72+ЯНВАРЬ!T72+ФЕВРАЛЬ!T72+МАРТ!T72+АПРЕЛЬ!T72</f>
        <v>0</v>
      </c>
      <c r="U72" s="92">
        <f t="shared" si="38"/>
        <v>15</v>
      </c>
      <c r="V72" s="93">
        <f>ДЕКАБРЬ!V72+ЯНВАРЬ!V72+ФЕВРАЛЬ!V72+МАРТ!V72+АПРЕЛЬ!V72</f>
        <v>8406</v>
      </c>
      <c r="W72" s="93">
        <f>ДЕКАБРЬ!W72+ЯНВАРЬ!W72+ФЕВРАЛЬ!W72+МАРТ!W72+АПРЕЛЬ!W72</f>
        <v>0</v>
      </c>
      <c r="X72" s="92">
        <f t="shared" si="39"/>
        <v>8406</v>
      </c>
      <c r="Y72" s="93">
        <f>ДЕКАБРЬ!Y72+ЯНВАРЬ!Y72+ФЕВРАЛЬ!Y72+МАРТ!Y72+АПРЕЛЬ!Y72</f>
        <v>12564.779999999999</v>
      </c>
      <c r="Z72" s="93">
        <f>ДЕКАБРЬ!Z72+ЯНВАРЬ!Z72+ФЕВРАЛЬ!Z72+МАРТ!Z72+АПРЕЛЬ!Z72</f>
        <v>0</v>
      </c>
      <c r="AA72" s="232">
        <f t="shared" si="40"/>
        <v>12564.779999999999</v>
      </c>
      <c r="AB72" s="92">
        <f t="shared" si="44"/>
        <v>0</v>
      </c>
      <c r="AC72" s="234">
        <f t="shared" si="41"/>
        <v>2.8457798840942093E-4</v>
      </c>
      <c r="AD72" s="92">
        <f t="shared" si="42"/>
        <v>1846.3500000000001</v>
      </c>
      <c r="AE72" s="93">
        <f>ДЕКАБРЬ!AE72+ЯНВАРЬ!AE72+ФЕВРАЛЬ!AE72+МАРТ!AE72+АПРЕЛЬ!AE72</f>
        <v>4725.96</v>
      </c>
      <c r="AF72" s="234">
        <f t="shared" si="43"/>
        <v>0.3761275565509305</v>
      </c>
      <c r="AG72" s="93">
        <f>ДЕКАБРЬ!AG72+ЯНВАРЬ!AG72+ФЕВРАЛЬ!AG72+МАРТ!AG72+АПРЕЛЬ!AG72</f>
        <v>3910.8300000000004</v>
      </c>
      <c r="AH72" s="93">
        <f>ДЕКАБРЬ!AH72+ЯНВАРЬ!AH72+ФЕВРАЛЬ!AH72+МАРТ!AH72+АПРЕЛЬ!AH72</f>
        <v>0</v>
      </c>
      <c r="AI72" s="93">
        <f>ДЕКАБРЬ!AI72+ЯНВАРЬ!AI72+ФЕВРАЛЬ!AI72+МАРТ!AI72+АПРЕЛЬ!AI72</f>
        <v>0</v>
      </c>
      <c r="AJ72" s="93">
        <f>АПРЕЛЬ!AJ72</f>
        <v>0</v>
      </c>
      <c r="AK72" s="93"/>
      <c r="AL72" s="93">
        <f>ДЕКАБРЬ!AL72+ЯНВАРЬ!AL72+ФЕВРАЛЬ!AL72+МАРТ!AL72+АПРЕЛЬ!AL72</f>
        <v>45.466969841648755</v>
      </c>
      <c r="AM72" s="93">
        <f>ДЕКАБРЬ!AM72+ЯНВАРЬ!AM72+ФЕВРАЛЬ!AM72+МАРТ!AM72+АПРЕЛЬ!AM72</f>
        <v>0</v>
      </c>
      <c r="AN72" s="93">
        <f>ДЕКАБРЬ!AN72+ЯНВАРЬ!AN72+ФЕВРАЛЬ!AN72+МАРТ!AN72+АПРЕЛЬ!AN72</f>
        <v>462.36467444010827</v>
      </c>
      <c r="AO72" s="95">
        <f t="shared" si="45"/>
        <v>1573.808355718241</v>
      </c>
      <c r="AP72" s="96"/>
      <c r="AQ72" s="97">
        <f t="shared" si="7"/>
        <v>837.65199999999993</v>
      </c>
      <c r="AR72" s="98">
        <f t="shared" si="26"/>
        <v>123.09</v>
      </c>
      <c r="AS72" s="98">
        <f t="shared" si="9"/>
        <v>315.06400000000002</v>
      </c>
      <c r="AT72" s="98">
        <f t="shared" si="10"/>
        <v>260.72200000000004</v>
      </c>
      <c r="AU72" s="98">
        <f t="shared" si="46"/>
        <v>0</v>
      </c>
      <c r="AV72" s="98">
        <f t="array" ref="AV72">_xlfn.IFS(U72=0,AO72,U72&lt;0,AO72/-U72,U72&gt;0,AO72/U72)</f>
        <v>104.92055704788274</v>
      </c>
      <c r="AW72" s="234">
        <f t="shared" si="35"/>
        <v>0.12525554412558287</v>
      </c>
      <c r="AX72" s="234">
        <f t="shared" si="36"/>
        <v>0.85238895968708051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ДЕКАБРЬ!N73+ЯНВАРЬ!N73+ФЕВРАЛЬ!N73+МАРТ!N73+АПРЕЛЬ!N73</f>
        <v>58</v>
      </c>
      <c r="O73" s="89"/>
      <c r="P73" s="89"/>
      <c r="Q73" s="233"/>
      <c r="R73" s="92"/>
      <c r="S73" s="93">
        <f>ДЕКАБРЬ!S73+ЯНВАРЬ!S73+ФЕВРАЛЬ!S73+МАРТ!S73+АПРЕЛЬ!S73</f>
        <v>16</v>
      </c>
      <c r="T73" s="93">
        <f>ДЕКАБРЬ!T73+ЯНВАРЬ!T73+ФЕВРАЛЬ!T73+МАРТ!T73+АПРЕЛЬ!T73</f>
        <v>-1</v>
      </c>
      <c r="U73" s="92">
        <f t="shared" si="38"/>
        <v>15</v>
      </c>
      <c r="V73" s="93">
        <f>ДЕКАБРЬ!V73+ЯНВАРЬ!V73+ФЕВРАЛЬ!V73+МАРТ!V73+АПРЕЛЬ!V73</f>
        <v>8878.92</v>
      </c>
      <c r="W73" s="93">
        <f>ДЕКАБРЬ!W73+ЯНВАРЬ!W73+ФЕВРАЛЬ!W73+МАРТ!W73+АПРЕЛЬ!W73</f>
        <v>-527</v>
      </c>
      <c r="X73" s="92">
        <f t="shared" si="39"/>
        <v>8351.92</v>
      </c>
      <c r="Y73" s="93">
        <f>ДЕКАБРЬ!Y73+ЯНВАРЬ!Y73+ФЕВРАЛЬ!Y73+МАРТ!Y73+АПРЕЛЬ!Y73</f>
        <v>12887.949999999999</v>
      </c>
      <c r="Z73" s="93">
        <f>ДЕКАБРЬ!Z73+ЯНВАРЬ!Z73+ФЕВРАЛЬ!Z73+МАРТ!Z73+АПРЕЛЬ!Z73</f>
        <v>-807</v>
      </c>
      <c r="AA73" s="232">
        <f t="shared" si="40"/>
        <v>12080.949999999999</v>
      </c>
      <c r="AB73" s="92">
        <f t="shared" si="44"/>
        <v>0</v>
      </c>
      <c r="AC73" s="234">
        <f t="shared" si="41"/>
        <v>2.7361978873285438E-4</v>
      </c>
      <c r="AD73" s="92">
        <f t="shared" si="42"/>
        <v>1846.3500000000001</v>
      </c>
      <c r="AE73" s="93">
        <f>ДЕКАБРЬ!AE73+ЯНВАРЬ!AE73+ФЕВРАЛЬ!AE73+МАРТ!AE73+АПРЕЛЬ!AE73</f>
        <v>4539.62</v>
      </c>
      <c r="AF73" s="234">
        <f t="shared" si="43"/>
        <v>0.37576680641836946</v>
      </c>
      <c r="AG73" s="93">
        <f>ДЕКАБРЬ!AG73+ЯНВАРЬ!AG73+ФЕВРАЛЬ!AG73+МАРТ!AG73+АПРЕЛЬ!AG73</f>
        <v>4905.329999999999</v>
      </c>
      <c r="AH73" s="93">
        <f>ДЕКАБРЬ!AH73+ЯНВАРЬ!AH73+ФЕВРАЛЬ!AH73+МАРТ!AH73+АПРЕЛЬ!AH73</f>
        <v>0</v>
      </c>
      <c r="AI73" s="93">
        <f>ДЕКАБРЬ!AI73+ЯНВАРЬ!AI73+ФЕВРАЛЬ!AI73+МАРТ!AI73+АПРЕЛЬ!AI73</f>
        <v>0</v>
      </c>
      <c r="AJ73" s="93">
        <f>АПРЕЛЬ!AJ73</f>
        <v>0</v>
      </c>
      <c r="AK73" s="93"/>
      <c r="AL73" s="93">
        <f>ДЕКАБРЬ!AL73+ЯНВАРЬ!AL73+ФЕВРАЛЬ!AL73+МАРТ!AL73+АПРЕЛЬ!AL73</f>
        <v>64.722026646797616</v>
      </c>
      <c r="AM73" s="93">
        <f>ДЕКАБРЬ!AM73+ЯНВАРЬ!AM73+ФЕВРАЛЬ!AM73+МАРТ!AM73+АПРЕЛЬ!AM73</f>
        <v>0</v>
      </c>
      <c r="AN73" s="93">
        <f>ДЕКАБРЬ!AN73+ЯНВАРЬ!AN73+ФЕВРАЛЬ!AN73+МАРТ!AN73+АПРЕЛЬ!AN73</f>
        <v>470.80647324768211</v>
      </c>
      <c r="AO73" s="95">
        <f t="shared" si="45"/>
        <v>254.12150010551989</v>
      </c>
      <c r="AP73" s="96"/>
      <c r="AQ73" s="97">
        <f t="shared" si="7"/>
        <v>805.39666666666665</v>
      </c>
      <c r="AR73" s="98">
        <f t="shared" si="26"/>
        <v>123.09</v>
      </c>
      <c r="AS73" s="98">
        <f t="shared" si="9"/>
        <v>302.64133333333331</v>
      </c>
      <c r="AT73" s="98">
        <f t="shared" si="10"/>
        <v>306.58312499999994</v>
      </c>
      <c r="AU73" s="98">
        <f t="shared" si="46"/>
        <v>0</v>
      </c>
      <c r="AV73" s="98">
        <f t="array" ref="AV73">_xlfn.IFS(U73=0,AO73,U73&lt;0,AO73/-U73,U73&gt;0,AO73/U73)</f>
        <v>16.941433340367993</v>
      </c>
      <c r="AW73" s="234">
        <f t="shared" si="35"/>
        <v>2.1034893787783237E-2</v>
      </c>
      <c r="AX73" s="234">
        <f t="shared" si="36"/>
        <v>0.1376345222225038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ДЕКАБРЬ!N74+ЯНВАРЬ!N74+ФЕВРАЛЬ!N74+МАРТ!N74+АПРЕЛЬ!N74</f>
        <v>14</v>
      </c>
      <c r="O74" s="89"/>
      <c r="P74" s="89"/>
      <c r="Q74" s="233"/>
      <c r="R74" s="92"/>
      <c r="S74" s="93">
        <f>ДЕКАБРЬ!S74+ЯНВАРЬ!S74+ФЕВРАЛЬ!S74+МАРТ!S74+АПРЕЛЬ!S74</f>
        <v>7</v>
      </c>
      <c r="T74" s="93">
        <f>ДЕКАБРЬ!T74+ЯНВАРЬ!T74+ФЕВРАЛЬ!T74+МАРТ!T74+АПРЕЛЬ!T74</f>
        <v>0</v>
      </c>
      <c r="U74" s="92">
        <f t="shared" si="38"/>
        <v>7</v>
      </c>
      <c r="V74" s="93">
        <f>ДЕКАБРЬ!V74+ЯНВАРЬ!V74+ФЕВРАЛЬ!V74+МАРТ!V74+АПРЕЛЬ!V74</f>
        <v>4293.8899999999994</v>
      </c>
      <c r="W74" s="93">
        <f>ДЕКАБРЬ!W74+ЯНВАРЬ!W74+ФЕВРАЛЬ!W74+МАРТ!W74+АПРЕЛЬ!W74</f>
        <v>0</v>
      </c>
      <c r="X74" s="92">
        <f t="shared" si="39"/>
        <v>4293.8899999999994</v>
      </c>
      <c r="Y74" s="93">
        <f>ДЕКАБРЬ!Y74+ЯНВАРЬ!Y74+ФЕВРАЛЬ!Y74+МАРТ!Y74+АПРЕЛЬ!Y74</f>
        <v>5611.6200000000008</v>
      </c>
      <c r="Z74" s="93">
        <f>ДЕКАБРЬ!Z74+ЯНВАРЬ!Z74+ФЕВРАЛЬ!Z74+МАРТ!Z74+АПРЕЛЬ!Z74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1.2709681596638183E-4</v>
      </c>
      <c r="AD74" s="92">
        <f t="shared" si="42"/>
        <v>943.53</v>
      </c>
      <c r="AE74" s="93">
        <f>ДЕКАБРЬ!AE74+ЯНВАРЬ!AE74+ФЕВРАЛЬ!AE74+МАРТ!AE74+АПРЕЛЬ!AE74</f>
        <v>2110.3300000000008</v>
      </c>
      <c r="AF74" s="234">
        <f t="shared" si="43"/>
        <v>0.3760643094151066</v>
      </c>
      <c r="AG74" s="93">
        <f>ДЕКАБРЬ!AG74+ЯНВАРЬ!AG74+ФЕВРАЛЬ!AG74+МАРТ!AG74+АПРЕЛЬ!AG74</f>
        <v>1024.43</v>
      </c>
      <c r="AH74" s="93">
        <f>ДЕКАБРЬ!AH74+ЯНВАРЬ!AH74+ФЕВРАЛЬ!AH74+МАРТ!AH74+АПРЕЛЬ!AH74</f>
        <v>0</v>
      </c>
      <c r="AI74" s="93">
        <f>ДЕКАБРЬ!AI74+ЯНВАРЬ!AI74+ФЕВРАЛЬ!AI74+МАРТ!AI74+АПРЕЛЬ!AI74</f>
        <v>0</v>
      </c>
      <c r="AJ74" s="93">
        <f>АПРЕЛЬ!AJ74</f>
        <v>0</v>
      </c>
      <c r="AK74" s="93"/>
      <c r="AL74" s="93">
        <f>ДЕКАБРЬ!AL74+ЯНВАРЬ!AL74+ФЕВРАЛЬ!AL74+МАРТ!AL74+АПРЕЛЬ!AL74</f>
        <v>6.9949184371767323</v>
      </c>
      <c r="AM74" s="93">
        <f>ДЕКАБРЬ!AM74+ЯНВАРЬ!AM74+ФЕВРАЛЬ!AM74+МАРТ!AM74+АПРЕЛЬ!AM74</f>
        <v>0</v>
      </c>
      <c r="AN74" s="93">
        <f>ДЕКАБРЬ!AN74+ЯНВАРЬ!AN74+ФЕВРАЛЬ!AN74+МАРТ!AN74+АПРЕЛЬ!AN74</f>
        <v>229.15763875889104</v>
      </c>
      <c r="AO74" s="95">
        <f t="shared" si="45"/>
        <v>1297.1774428039325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146.34714285714287</v>
      </c>
      <c r="AU74" s="98">
        <f t="shared" si="46"/>
        <v>0</v>
      </c>
      <c r="AV74" s="98">
        <f t="array" ref="AV74">_xlfn.IFS(U74=0,AO74,U74&lt;0,AO74/-U74,U74&gt;0,AO74/U74)</f>
        <v>185.31106325770466</v>
      </c>
      <c r="AW74" s="234">
        <f t="shared" si="35"/>
        <v>0.23115917378652376</v>
      </c>
      <c r="AX74" s="234">
        <f t="shared" si="36"/>
        <v>1.3748131408687934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ДЕКАБРЬ!N75+ЯНВАРЬ!N75+ФЕВРАЛЬ!N75+МАРТ!N75+АПРЕЛЬ!N75</f>
        <v>152</v>
      </c>
      <c r="O75" s="89"/>
      <c r="P75" s="89"/>
      <c r="Q75" s="233"/>
      <c r="R75" s="92"/>
      <c r="S75" s="93">
        <f>ДЕКАБРЬ!S75+ЯНВАРЬ!S75+ФЕВРАЛЬ!S75+МАРТ!S75+АПРЕЛЬ!S75</f>
        <v>56</v>
      </c>
      <c r="T75" s="93">
        <f>ДЕКАБРЬ!T75+ЯНВАРЬ!T75+ФЕВРАЛЬ!T75+МАРТ!T75+АПРЕЛЬ!T75</f>
        <v>-7</v>
      </c>
      <c r="U75" s="92">
        <f t="shared" si="38"/>
        <v>49</v>
      </c>
      <c r="V75" s="93">
        <f>ДЕКАБРЬ!V75+ЯНВАРЬ!V75+ФЕВРАЛЬ!V75+МАРТ!V75+АПРЕЛЬ!V75</f>
        <v>32579.190000000002</v>
      </c>
      <c r="W75" s="93">
        <f>ДЕКАБРЬ!W75+ЯНВАРЬ!W75+ФЕВРАЛЬ!W75+МАРТ!W75+АПРЕЛЬ!W75</f>
        <v>-3682</v>
      </c>
      <c r="X75" s="92">
        <f t="shared" si="39"/>
        <v>28897.190000000002</v>
      </c>
      <c r="Y75" s="93">
        <f>ДЕКАБРЬ!Y75+ЯНВАРЬ!Y75+ФЕВРАЛЬ!Y75+МАРТ!Y75+АПРЕЛЬ!Y75</f>
        <v>45063.930000000008</v>
      </c>
      <c r="Z75" s="93">
        <f>ДЕКАБРЬ!Z75+ЯНВАРЬ!Z75+ФЕВРАЛЬ!Z75+МАРТ!Z75+АПРЕЛЬ!Z75</f>
        <v>-5272.33</v>
      </c>
      <c r="AA75" s="232">
        <f t="shared" si="40"/>
        <v>39791.600000000006</v>
      </c>
      <c r="AB75" s="92">
        <f t="shared" si="44"/>
        <v>0</v>
      </c>
      <c r="AC75" s="234">
        <f t="shared" si="41"/>
        <v>9.0123452090624088E-4</v>
      </c>
      <c r="AD75" s="92">
        <f t="shared" si="42"/>
        <v>6604.71</v>
      </c>
      <c r="AE75" s="93">
        <f>ДЕКАБРЬ!AE75+ЯНВАРЬ!AE75+ФЕВРАЛЬ!AE75+МАРТ!AE75+АПРЕЛЬ!AE75</f>
        <v>14956.590000000004</v>
      </c>
      <c r="AF75" s="234">
        <f t="shared" si="43"/>
        <v>0.3758730485831181</v>
      </c>
      <c r="AG75" s="93">
        <f>ДЕКАБРЬ!AG75+ЯНВАРЬ!AG75+ФЕВРАЛЬ!AG75+МАРТ!AG75+АПРЕЛЬ!AG75</f>
        <v>11817.919999999998</v>
      </c>
      <c r="AH75" s="93">
        <f>ДЕКАБРЬ!AH75+ЯНВАРЬ!AH75+ФЕВРАЛЬ!AH75+МАРТ!AH75+АПРЕЛЬ!AH75</f>
        <v>0</v>
      </c>
      <c r="AI75" s="93">
        <f>ДЕКАБРЬ!AI75+ЯНВАРЬ!AI75+ФЕВРАЛЬ!AI75+МАРТ!AI75+АПРЕЛЬ!AI75</f>
        <v>4124</v>
      </c>
      <c r="AJ75" s="93">
        <f>АПРЕЛЬ!AJ75</f>
        <v>0</v>
      </c>
      <c r="AK75" s="93"/>
      <c r="AL75" s="93">
        <f>ДЕКАБРЬ!AL75+ЯНВАРЬ!AL75+ФЕВРАЛЬ!AL75+МАРТ!AL75+АПРЕЛЬ!AL75</f>
        <v>51.540410383451679</v>
      </c>
      <c r="AM75" s="93">
        <f>ДЕКАБРЬ!AM75+ЯНВАРЬ!AM75+ФЕВРАЛЬ!AM75+МАРТ!AM75+АПРЕЛЬ!AM75</f>
        <v>0</v>
      </c>
      <c r="AN75" s="93">
        <f>ДЕКАБРЬ!AN75+ЯНВАРЬ!AN75+ФЕВРАЛЬ!AN75+МАРТ!AN75+АПРЕЛЬ!AN75</f>
        <v>1661.7975360366715</v>
      </c>
      <c r="AO75" s="95">
        <f t="shared" si="45"/>
        <v>575.04205357988144</v>
      </c>
      <c r="AP75" s="96"/>
      <c r="AQ75" s="97">
        <f t="shared" si="7"/>
        <v>812.07346938775527</v>
      </c>
      <c r="AR75" s="98">
        <f t="shared" si="26"/>
        <v>134.79</v>
      </c>
      <c r="AS75" s="98">
        <f t="shared" si="9"/>
        <v>305.23653061224496</v>
      </c>
      <c r="AT75" s="98">
        <f t="shared" si="10"/>
        <v>211.03428571428569</v>
      </c>
      <c r="AU75" s="98">
        <f t="shared" si="46"/>
        <v>73.642857142857139</v>
      </c>
      <c r="AV75" s="98">
        <f t="array" ref="AV75">_xlfn.IFS(U75=0,AO75,U75&lt;0,AO75/-U75,U75&gt;0,AO75/U75)</f>
        <v>11.735552113875132</v>
      </c>
      <c r="AW75" s="234">
        <f t="shared" si="35"/>
        <v>1.4451342835670879E-2</v>
      </c>
      <c r="AX75" s="234">
        <f t="shared" si="36"/>
        <v>8.7065450804029471E-2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ДЕКАБРЬ!N76+ЯНВАРЬ!N76+ФЕВРАЛЬ!N76+МАРТ!N76+АПРЕЛЬ!N76</f>
        <v>105</v>
      </c>
      <c r="O76" s="89"/>
      <c r="P76" s="89"/>
      <c r="Q76" s="233"/>
      <c r="R76" s="92"/>
      <c r="S76" s="93">
        <f>ДЕКАБРЬ!S76+ЯНВАРЬ!S76+ФЕВРАЛЬ!S76+МАРТ!S76+АПРЕЛЬ!S76</f>
        <v>16</v>
      </c>
      <c r="T76" s="93">
        <f>ДЕКАБРЬ!T76+ЯНВАРЬ!T76+ФЕВРАЛЬ!T76+МАРТ!T76+АПРЕЛЬ!T76</f>
        <v>-3</v>
      </c>
      <c r="U76" s="92">
        <f t="shared" si="38"/>
        <v>13</v>
      </c>
      <c r="V76" s="93">
        <f>ДЕКАБРЬ!V76+ЯНВАРЬ!V76+ФЕВРАЛЬ!V76+МАРТ!V76+АПРЕЛЬ!V76</f>
        <v>11018.15</v>
      </c>
      <c r="W76" s="93">
        <f>ДЕКАБРЬ!W76+ЯНВАРЬ!W76+ФЕВРАЛЬ!W76+МАРТ!W76+АПРЕЛЬ!W76</f>
        <v>-2033</v>
      </c>
      <c r="X76" s="92">
        <f t="shared" si="39"/>
        <v>8985.15</v>
      </c>
      <c r="Y76" s="93">
        <f>ДЕКАБРЬ!Y76+ЯНВАРЬ!Y76+ФЕВРАЛЬ!Y76+МАРТ!Y76+АПРЕЛЬ!Y76</f>
        <v>16775.77</v>
      </c>
      <c r="Z76" s="93">
        <f>ДЕКАБРЬ!Z76+ЯНВАРЬ!Z76+ФЕВРАЛЬ!Z76+МАРТ!Z76+АПРЕЛЬ!Z76</f>
        <v>-3150</v>
      </c>
      <c r="AA76" s="232">
        <f t="shared" si="40"/>
        <v>13625.77</v>
      </c>
      <c r="AB76" s="92">
        <f t="shared" si="44"/>
        <v>0</v>
      </c>
      <c r="AC76" s="234">
        <f t="shared" si="41"/>
        <v>3.0860820620253089E-4</v>
      </c>
      <c r="AD76" s="92">
        <f t="shared" si="42"/>
        <v>1600.17</v>
      </c>
      <c r="AE76" s="93">
        <f>ДЕКАБРЬ!AE76+ЯНВАРЬ!AE76+ФЕВРАЛЬ!AE76+МАРТ!AE76+АПРЕЛЬ!AE76</f>
        <v>5116.869999999999</v>
      </c>
      <c r="AF76" s="234">
        <f t="shared" si="43"/>
        <v>0.37552886919418121</v>
      </c>
      <c r="AG76" s="93">
        <f>ДЕКАБРЬ!AG76+ЯНВАРЬ!AG76+ФЕВРАЛЬ!AG76+МАРТ!AG76+АПРЕЛЬ!AG76</f>
        <v>8282.239999999998</v>
      </c>
      <c r="AH76" s="93">
        <f>ДЕКАБРЬ!AH76+ЯНВАРЬ!AH76+ФЕВРАЛЬ!AH76+МАРТ!AH76+АПРЕЛЬ!AH76</f>
        <v>1000</v>
      </c>
      <c r="AI76" s="93">
        <f>ДЕКАБРЬ!AI76+ЯНВАРЬ!AI76+ФЕВРАЛЬ!AI76+МАРТ!AI76+АПРЕЛЬ!AI76</f>
        <v>7191</v>
      </c>
      <c r="AJ76" s="93">
        <f>АПРЕЛЬ!AJ76</f>
        <v>990</v>
      </c>
      <c r="AK76" s="93"/>
      <c r="AL76" s="93">
        <f>ДЕКАБРЬ!AL76+ЯНВАРЬ!AL76+ФЕВРАЛЬ!AL76+МАРТ!AL76+АПРЕЛЬ!AL76</f>
        <v>476.96535533467016</v>
      </c>
      <c r="AM76" s="93">
        <f>ДЕКАБРЬ!AM76+ЯНВАРЬ!AM76+ФЕВРАЛЬ!AM76+МАРТ!AM76+АПРЕЛЬ!AM76</f>
        <v>0</v>
      </c>
      <c r="AN76" s="93">
        <f>ДЕКАБРЬ!AN76+ЯНВАРЬ!AN76+ФЕВРАЛЬ!AN76+МАРТ!AN76+АПРЕЛЬ!AN76</f>
        <v>506.35284275474538</v>
      </c>
      <c r="AO76" s="95">
        <f t="shared" si="45"/>
        <v>-11537.828198089413</v>
      </c>
      <c r="AP76" s="96"/>
      <c r="AQ76" s="97">
        <f t="shared" si="7"/>
        <v>1048.1361538461538</v>
      </c>
      <c r="AR76" s="98">
        <f t="shared" si="26"/>
        <v>123.09</v>
      </c>
      <c r="AS76" s="98">
        <f t="shared" si="9"/>
        <v>393.60538461538454</v>
      </c>
      <c r="AT76" s="98">
        <f t="shared" si="10"/>
        <v>517.63999999999987</v>
      </c>
      <c r="AU76" s="98">
        <f t="shared" si="46"/>
        <v>573.8125</v>
      </c>
      <c r="AV76" s="98">
        <f t="array" ref="AV76">_xlfn.IFS(U76=0,AO76,U76&lt;0,AO76/-U76,U76&gt;0,AO76/U76)</f>
        <v>-887.52524600687798</v>
      </c>
      <c r="AW76" s="234">
        <f t="shared" si="35"/>
        <v>-0.84676522487091843</v>
      </c>
      <c r="AX76" s="234">
        <f t="shared" si="36"/>
        <v>-7.2103765213004953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ДЕКАБРЬ!N77+ЯНВАРЬ!N77+ФЕВРАЛЬ!N77+МАРТ!N77+АПРЕЛЬ!N77</f>
        <v>61</v>
      </c>
      <c r="O77" s="89"/>
      <c r="P77" s="89"/>
      <c r="Q77" s="233"/>
      <c r="R77" s="92"/>
      <c r="S77" s="93">
        <f>ДЕКАБРЬ!S77+ЯНВАРЬ!S77+ФЕВРАЛЬ!S77+МАРТ!S77+АПРЕЛЬ!S77</f>
        <v>14</v>
      </c>
      <c r="T77" s="93">
        <f>ДЕКАБРЬ!T77+ЯНВАРЬ!T77+ФЕВРАЛЬ!T77+МАРТ!T77+АПРЕЛЬ!T77</f>
        <v>0</v>
      </c>
      <c r="U77" s="92">
        <f t="shared" si="38"/>
        <v>14</v>
      </c>
      <c r="V77" s="93">
        <f>ДЕКАБРЬ!V77+ЯНВАРЬ!V77+ФЕВРАЛЬ!V77+МАРТ!V77+АПРЕЛЬ!V77</f>
        <v>10367</v>
      </c>
      <c r="W77" s="93">
        <f>ДЕКАБРЬ!W77+ЯНВАРЬ!W77+ФЕВРАЛЬ!W77+МАРТ!W77+АПРЕЛЬ!W77</f>
        <v>0</v>
      </c>
      <c r="X77" s="92">
        <f t="shared" si="39"/>
        <v>10367</v>
      </c>
      <c r="Y77" s="93">
        <f>ДЕКАБРЬ!Y77+ЯНВАРЬ!Y77+ФЕВРАЛЬ!Y77+МАРТ!Y77+АПРЕЛЬ!Y77</f>
        <v>16029</v>
      </c>
      <c r="Z77" s="93">
        <f>ДЕКАБРЬ!Z77+ЯНВАРЬ!Z77+ФЕВРАЛЬ!Z77+МАРТ!Z77+АПРЕЛЬ!Z77</f>
        <v>0</v>
      </c>
      <c r="AA77" s="232">
        <f t="shared" si="40"/>
        <v>16029</v>
      </c>
      <c r="AB77" s="92">
        <f t="shared" si="44"/>
        <v>0</v>
      </c>
      <c r="AC77" s="234">
        <f t="shared" si="41"/>
        <v>3.6303863467681955E-4</v>
      </c>
      <c r="AD77" s="92">
        <f t="shared" si="42"/>
        <v>1723.26</v>
      </c>
      <c r="AE77" s="93">
        <f>ДЕКАБРЬ!AE77+ЯНВАРЬ!AE77+ФЕВРАЛЬ!AE77+МАРТ!AE77+АПРЕЛЬ!AE77</f>
        <v>6072.01</v>
      </c>
      <c r="AF77" s="234">
        <f t="shared" si="43"/>
        <v>0.37881402458044794</v>
      </c>
      <c r="AG77" s="93">
        <f>ДЕКАБРЬ!AG77+ЯНВАРЬ!AG77+ФЕВРАЛЬ!AG77+МАРТ!AG77+АПРЕЛЬ!AG77</f>
        <v>4452.71</v>
      </c>
      <c r="AH77" s="93">
        <f>ДЕКАБРЬ!AH77+ЯНВАРЬ!AH77+ФЕВРАЛЬ!AH77+МАРТ!AH77+АПРЕЛЬ!AH77</f>
        <v>1000</v>
      </c>
      <c r="AI77" s="93">
        <f>ДЕКАБРЬ!AI77+ЯНВАРЬ!AI77+ФЕВРАЛЬ!AI77+МАРТ!AI77+АПРЕЛЬ!AI77</f>
        <v>5640</v>
      </c>
      <c r="AJ77" s="93">
        <f>АПРЕЛЬ!AJ77</f>
        <v>990</v>
      </c>
      <c r="AK77" s="93"/>
      <c r="AL77" s="93">
        <f>ДЕКАБРЬ!AL77+ЯНВАРЬ!AL77+ФЕВРАЛЬ!AL77+МАРТ!AL77+АПРЕЛЬ!AL77</f>
        <v>364.39857497190621</v>
      </c>
      <c r="AM77" s="93">
        <f>ДЕКАБРЬ!AM77+ЯНВАРЬ!AM77+ФЕВРАЛЬ!AM77+МАРТ!AM77+АПРЕЛЬ!AM77</f>
        <v>0</v>
      </c>
      <c r="AN77" s="93">
        <f>ДЕКАБРЬ!AN77+ЯНВАРЬ!AN77+ФЕВРАЛЬ!AN77+МАРТ!AN77+АПРЕЛЬ!AN77</f>
        <v>589.18626820118288</v>
      </c>
      <c r="AO77" s="95">
        <f t="shared" si="45"/>
        <v>-4802.5648431730897</v>
      </c>
      <c r="AP77" s="96"/>
      <c r="AQ77" s="97">
        <f t="shared" si="7"/>
        <v>1144.9285714285713</v>
      </c>
      <c r="AR77" s="98">
        <f t="shared" si="26"/>
        <v>123.09</v>
      </c>
      <c r="AS77" s="98">
        <f t="shared" si="9"/>
        <v>433.71500000000003</v>
      </c>
      <c r="AT77" s="98">
        <f t="shared" si="10"/>
        <v>318.05071428571426</v>
      </c>
      <c r="AU77" s="98">
        <f t="shared" si="46"/>
        <v>545</v>
      </c>
      <c r="AV77" s="98">
        <f t="array" ref="AV77">_xlfn.IFS(U77=0,AO77,U77&lt;0,AO77/-U77,U77&gt;0,AO77/U77)</f>
        <v>-343.04034594093497</v>
      </c>
      <c r="AW77" s="234">
        <f t="shared" si="35"/>
        <v>-0.29961724643914717</v>
      </c>
      <c r="AX77" s="234">
        <f t="shared" si="36"/>
        <v>-2.7869067019330163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ДЕКАБРЬ!N78+ЯНВАРЬ!N78+ФЕВРАЛЬ!N78+МАРТ!N78+АПРЕЛЬ!N78</f>
        <v>78</v>
      </c>
      <c r="O78" s="89"/>
      <c r="P78" s="89"/>
      <c r="Q78" s="233"/>
      <c r="R78" s="92"/>
      <c r="S78" s="93">
        <f>ДЕКАБРЬ!S78+ЯНВАРЬ!S78+ФЕВРАЛЬ!S78+МАРТ!S78+АПРЕЛЬ!S78</f>
        <v>16</v>
      </c>
      <c r="T78" s="93">
        <f>ДЕКАБРЬ!T78+ЯНВАРЬ!T78+ФЕВРАЛЬ!T78+МАРТ!T78+АПРЕЛЬ!T78</f>
        <v>-1</v>
      </c>
      <c r="U78" s="92">
        <f t="shared" si="38"/>
        <v>15</v>
      </c>
      <c r="V78" s="93">
        <f>ДЕКАБРЬ!V78+ЯНВАРЬ!V78+ФЕВРАЛЬ!V78+МАРТ!V78+АПРЕЛЬ!V78</f>
        <v>10652</v>
      </c>
      <c r="W78" s="93">
        <f>ДЕКАБРЬ!W78+ЯНВАРЬ!W78+ФЕВРАЛЬ!W78+МАРТ!W78+АПРЕЛЬ!W78</f>
        <v>-677</v>
      </c>
      <c r="X78" s="92">
        <f t="shared" si="39"/>
        <v>9975</v>
      </c>
      <c r="Y78" s="93">
        <f>ДЕКАБРЬ!Y78+ЯНВАРЬ!Y78+ФЕВРАЛЬ!Y78+МАРТ!Y78+АПРЕЛЬ!Y78</f>
        <v>16539</v>
      </c>
      <c r="Z78" s="93">
        <f>ДЕКАБРЬ!Z78+ЯНВАРЬ!Z78+ФЕВРАЛЬ!Z78+МАРТ!Z78+АПРЕЛЬ!Z78</f>
        <v>-1000</v>
      </c>
      <c r="AA78" s="232">
        <f t="shared" si="40"/>
        <v>15539</v>
      </c>
      <c r="AB78" s="92">
        <f t="shared" si="44"/>
        <v>0</v>
      </c>
      <c r="AC78" s="234">
        <f t="shared" si="41"/>
        <v>3.5194069151182851E-4</v>
      </c>
      <c r="AD78" s="92">
        <f t="shared" si="42"/>
        <v>1846.3500000000001</v>
      </c>
      <c r="AE78" s="93">
        <f>ДЕКАБРЬ!AE78+ЯНВАРЬ!AE78+ФЕВРАЛЬ!AE78+МАРТ!AE78+АПРЕЛЬ!AE78</f>
        <v>5837.63</v>
      </c>
      <c r="AF78" s="234">
        <f t="shared" si="43"/>
        <v>0.37567604092927476</v>
      </c>
      <c r="AG78" s="93">
        <f>ДЕКАБРЬ!AG78+ЯНВАРЬ!AG78+ФЕВРАЛЬ!AG78+МАРТ!AG78+АПРЕЛЬ!AG78</f>
        <v>6216.5999999999995</v>
      </c>
      <c r="AH78" s="93">
        <f>ДЕКАБРЬ!AH78+ЯНВАРЬ!AH78+ФЕВРАЛЬ!AH78+МАРТ!AH78+АПРЕЛЬ!AH78</f>
        <v>2000</v>
      </c>
      <c r="AI78" s="93">
        <f>ДЕКАБРЬ!AI78+ЯНВАРЬ!AI78+ФЕВРАЛЬ!AI78+МАРТ!AI78+АПРЕЛЬ!AI78</f>
        <v>3960</v>
      </c>
      <c r="AJ78" s="93">
        <f>АПРЕЛЬ!AJ78</f>
        <v>0</v>
      </c>
      <c r="AK78" s="93"/>
      <c r="AL78" s="93">
        <f>ДЕКАБРЬ!AL78+ЯНВАРЬ!AL78+ФЕВРАЛЬ!AL78+МАРТ!AL78+АПРЕЛЬ!AL78</f>
        <v>208.34796969735572</v>
      </c>
      <c r="AM78" s="93">
        <f>ДЕКАБРЬ!AM78+ЯНВАРЬ!AM78+ФЕВРАЛЬ!AM78+МАРТ!AM78+АПРЕЛЬ!AM78</f>
        <v>0</v>
      </c>
      <c r="AN78" s="93">
        <f>ДЕКАБРЬ!AN78+ЯНВАРЬ!AN78+ФЕВРАЛЬ!AN78+МАРТ!AN78+АПРЕЛЬ!AN78</f>
        <v>562.09879836604887</v>
      </c>
      <c r="AO78" s="95">
        <f t="shared" si="45"/>
        <v>-5092.0267680634042</v>
      </c>
      <c r="AP78" s="96"/>
      <c r="AQ78" s="97">
        <f t="shared" si="7"/>
        <v>1035.9333333333334</v>
      </c>
      <c r="AR78" s="98">
        <f t="shared" si="26"/>
        <v>123.09</v>
      </c>
      <c r="AS78" s="98">
        <f t="shared" si="9"/>
        <v>389.17533333333336</v>
      </c>
      <c r="AT78" s="98">
        <f t="shared" si="10"/>
        <v>388.53749999999997</v>
      </c>
      <c r="AU78" s="98">
        <f t="shared" si="46"/>
        <v>372.5</v>
      </c>
      <c r="AV78" s="98">
        <f t="array" ref="AV78">_xlfn.IFS(U78=0,AO78,U78&lt;0,AO78/-U78,U78&gt;0,AO78/U78)</f>
        <v>-339.46845120422694</v>
      </c>
      <c r="AW78" s="234">
        <f t="shared" si="35"/>
        <v>-0.32769333728447159</v>
      </c>
      <c r="AX78" s="234">
        <f t="shared" si="36"/>
        <v>-2.7578881404194244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ДЕКАБРЬ!N79+ЯНВАРЬ!N79+ФЕВРАЛЬ!N79+МАРТ!N79+АПРЕЛЬ!N79</f>
        <v>106</v>
      </c>
      <c r="O79" s="89"/>
      <c r="P79" s="89"/>
      <c r="Q79" s="233"/>
      <c r="R79" s="92"/>
      <c r="S79" s="93">
        <f>ДЕКАБРЬ!S79+ЯНВАРЬ!S79+ФЕВРАЛЬ!S79+МАРТ!S79+АПРЕЛЬ!S79</f>
        <v>20</v>
      </c>
      <c r="T79" s="93">
        <f>ДЕКАБРЬ!T79+ЯНВАРЬ!T79+ФЕВРАЛЬ!T79+МАРТ!T79+АПРЕЛЬ!T79</f>
        <v>-1</v>
      </c>
      <c r="U79" s="92">
        <f t="shared" si="38"/>
        <v>19</v>
      </c>
      <c r="V79" s="93">
        <f>ДЕКАБРЬ!V79+ЯНВАРЬ!V79+ФЕВРАЛЬ!V79+МАРТ!V79+АПРЕЛЬ!V79</f>
        <v>18446.919999999998</v>
      </c>
      <c r="W79" s="93">
        <f>ДЕКАБРЬ!W79+ЯНВАРЬ!W79+ФЕВРАЛЬ!W79+МАРТ!W79+АПРЕЛЬ!W79</f>
        <v>-901</v>
      </c>
      <c r="X79" s="92">
        <f t="shared" si="39"/>
        <v>17545.919999999998</v>
      </c>
      <c r="Y79" s="93">
        <f>ДЕКАБРЬ!Y79+ЯНВАРЬ!Y79+ФЕВРАЛЬ!Y79+МАРТ!Y79+АПРЕЛЬ!Y79</f>
        <v>27259.48</v>
      </c>
      <c r="Z79" s="93">
        <f>ДЕКАБРЬ!Z79+ЯНВАРЬ!Z79+ФЕВРАЛЬ!Z79+МАРТ!Z79+АПРЕЛЬ!Z79</f>
        <v>-1455</v>
      </c>
      <c r="AA79" s="232">
        <f t="shared" si="40"/>
        <v>25804.48</v>
      </c>
      <c r="AB79" s="92">
        <f t="shared" si="44"/>
        <v>0</v>
      </c>
      <c r="AC79" s="234">
        <f t="shared" si="41"/>
        <v>5.8444214784111903E-4</v>
      </c>
      <c r="AD79" s="92">
        <f t="shared" si="42"/>
        <v>3116.7599999999998</v>
      </c>
      <c r="AE79" s="93">
        <f>ДЕКАБРЬ!AE79+ЯНВАРЬ!AE79+ФЕВРАЛЬ!AE79+МАРТ!AE79+АПРЕЛЬ!AE79</f>
        <v>9672.7000000000007</v>
      </c>
      <c r="AF79" s="234">
        <f t="shared" si="43"/>
        <v>0.37484576321630975</v>
      </c>
      <c r="AG79" s="93">
        <f>ДЕКАБРЬ!AG79+ЯНВАРЬ!AG79+ФЕВРАЛЬ!AG79+МАРТ!AG79+АПРЕЛЬ!AG79</f>
        <v>6945.76</v>
      </c>
      <c r="AH79" s="93">
        <f>ДЕКАБРЬ!AH79+ЯНВАРЬ!AH79+ФЕВРАЛЬ!AH79+МАРТ!AH79+АПРЕЛЬ!AH79</f>
        <v>0</v>
      </c>
      <c r="AI79" s="93">
        <f>ДЕКАБРЬ!AI79+ЯНВАРЬ!AI79+ФЕВРАЛЬ!AI79+МАРТ!AI79+АПРЕЛЬ!AI79</f>
        <v>7020</v>
      </c>
      <c r="AJ79" s="93">
        <f>АПРЕЛЬ!AJ79</f>
        <v>1105</v>
      </c>
      <c r="AK79" s="93"/>
      <c r="AL79" s="93">
        <f>ДЕКАБРЬ!AL79+ЯНВАРЬ!AL79+ФЕВРАЛЬ!AL79+МАРТ!AL79+АПРЕЛЬ!AL79</f>
        <v>443.17604647558949</v>
      </c>
      <c r="AM79" s="93">
        <f>ДЕКАБРЬ!AM79+ЯНВАРЬ!AM79+ФЕВРАЛЬ!AM79+МАРТ!AM79+АПРЕЛЬ!AM79</f>
        <v>0</v>
      </c>
      <c r="AN79" s="93">
        <f>ДЕКАБРЬ!AN79+ЯНВАРЬ!AN79+ФЕВРАЛЬ!AN79+МАРТ!AN79+АПРЕЛЬ!AN79</f>
        <v>997.15736296315094</v>
      </c>
      <c r="AO79" s="95">
        <f t="shared" si="45"/>
        <v>-3496.0734094387399</v>
      </c>
      <c r="AP79" s="96"/>
      <c r="AQ79" s="97">
        <f t="shared" si="7"/>
        <v>1358.1305263157894</v>
      </c>
      <c r="AR79" s="98">
        <f t="shared" si="26"/>
        <v>164.04</v>
      </c>
      <c r="AS79" s="98">
        <f t="shared" si="9"/>
        <v>509.08947368421059</v>
      </c>
      <c r="AT79" s="98">
        <f t="shared" si="10"/>
        <v>347.28800000000001</v>
      </c>
      <c r="AU79" s="98">
        <f t="shared" si="46"/>
        <v>406.25</v>
      </c>
      <c r="AV79" s="98">
        <f t="array" ref="AV79">_xlfn.IFS(U79=0,AO79,U79&lt;0,AO79/-U79,U79&gt;0,AO79/U79)</f>
        <v>-184.00386365467051</v>
      </c>
      <c r="AW79" s="234">
        <f t="shared" si="35"/>
        <v>-0.13548319553188981</v>
      </c>
      <c r="AX79" s="234">
        <f t="shared" si="36"/>
        <v>-1.1217011927253751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ДЕКАБРЬ!N80+ЯНВАРЬ!N80+ФЕВРАЛЬ!N80+МАРТ!N80+АПРЕЛЬ!N80</f>
        <v>115</v>
      </c>
      <c r="O80" s="89"/>
      <c r="P80" s="89"/>
      <c r="Q80" s="233"/>
      <c r="R80" s="92"/>
      <c r="S80" s="93">
        <f>ДЕКАБРЬ!S80+ЯНВАРЬ!S80+ФЕВРАЛЬ!S80+МАРТ!S80+АПРЕЛЬ!S80</f>
        <v>32</v>
      </c>
      <c r="T80" s="93">
        <f>ДЕКАБРЬ!T80+ЯНВАРЬ!T80+ФЕВРАЛЬ!T80+МАРТ!T80+АПРЕЛЬ!T80</f>
        <v>-5</v>
      </c>
      <c r="U80" s="92">
        <f t="shared" si="38"/>
        <v>27</v>
      </c>
      <c r="V80" s="93">
        <f>ДЕКАБРЬ!V80+ЯНВАРЬ!V80+ФЕВРАЛЬ!V80+МАРТ!V80+АПРЕЛЬ!V80</f>
        <v>21626.16</v>
      </c>
      <c r="W80" s="93">
        <f>ДЕКАБРЬ!W80+ЯНВАРЬ!W80+ФЕВРАЛЬ!W80+МАРТ!W80+АПРЕЛЬ!W80</f>
        <v>-3257</v>
      </c>
      <c r="X80" s="92">
        <f t="shared" si="39"/>
        <v>18369.16</v>
      </c>
      <c r="Y80" s="93">
        <f>ДЕКАБРЬ!Y80+ЯНВАРЬ!Y80+ФЕВРАЛЬ!Y80+МАРТ!Y80+АПРЕЛЬ!Y80</f>
        <v>32031.33</v>
      </c>
      <c r="Z80" s="93">
        <f>ДЕКАБРЬ!Z80+ЯНВАРЬ!Z80+ФЕВРАЛЬ!Z80+МАРТ!Z80+АПРЕЛЬ!Z80</f>
        <v>-4978</v>
      </c>
      <c r="AA80" s="232">
        <f t="shared" si="40"/>
        <v>27053.33</v>
      </c>
      <c r="AB80" s="92">
        <f t="shared" si="44"/>
        <v>0</v>
      </c>
      <c r="AC80" s="234">
        <f t="shared" si="41"/>
        <v>6.1272718115050495E-4</v>
      </c>
      <c r="AD80" s="92">
        <f t="shared" si="42"/>
        <v>4429.08</v>
      </c>
      <c r="AE80" s="93">
        <f>ДЕКАБРЬ!AE80+ЯНВАРЬ!AE80+ФЕВРАЛЬ!AE80+МАРТ!AE80+АПРЕЛЬ!AE80</f>
        <v>10240.989999999998</v>
      </c>
      <c r="AF80" s="234">
        <f t="shared" si="43"/>
        <v>0.37854822308381253</v>
      </c>
      <c r="AG80" s="93">
        <f>ДЕКАБРЬ!AG80+ЯНВАРЬ!AG80+ФЕВРАЛЬ!AG80+МАРТ!AG80+АПРЕЛЬ!AG80</f>
        <v>9791.3799999999974</v>
      </c>
      <c r="AH80" s="93">
        <f>ДЕКАБРЬ!AH80+ЯНВАРЬ!AH80+ФЕВРАЛЬ!AH80+МАРТ!AH80+АПРЕЛЬ!AH80</f>
        <v>2974</v>
      </c>
      <c r="AI80" s="93">
        <f>ДЕКАБРЬ!AI80+ЯНВАРЬ!AI80+ФЕВРАЛЬ!AI80+МАРТ!AI80+АПРЕЛЬ!AI80</f>
        <v>4071</v>
      </c>
      <c r="AJ80" s="93">
        <f>АПРЕЛЬ!AJ80</f>
        <v>0</v>
      </c>
      <c r="AK80" s="93"/>
      <c r="AL80" s="93">
        <f>ДЕКАБРЬ!AL80+ЯНВАРЬ!AL80+ФЕВРАЛЬ!AL80+МАРТ!AL80+АПРЕЛЬ!AL80</f>
        <v>354.47905824629845</v>
      </c>
      <c r="AM80" s="93">
        <f>ДЕКАБРЬ!AM80+ЯНВАРЬ!AM80+ФЕВРАЛЬ!AM80+МАРТ!AM80+АПРЕЛЬ!AM80</f>
        <v>0</v>
      </c>
      <c r="AN80" s="93">
        <f>ДЕКАБРЬ!AN80+ЯНВАРЬ!AN80+ФЕВРАЛЬ!AN80+МАРТ!AN80+АПРЕЛЬ!AN80</f>
        <v>1035.4159761169697</v>
      </c>
      <c r="AO80" s="95">
        <f t="shared" si="45"/>
        <v>-5843.0150343632631</v>
      </c>
      <c r="AP80" s="96"/>
      <c r="AQ80" s="97">
        <f t="shared" si="7"/>
        <v>1001.9751851851853</v>
      </c>
      <c r="AR80" s="98">
        <f t="shared" si="26"/>
        <v>164.04</v>
      </c>
      <c r="AS80" s="98">
        <f t="shared" si="9"/>
        <v>379.29592592592587</v>
      </c>
      <c r="AT80" s="98">
        <f t="shared" si="10"/>
        <v>305.98062499999992</v>
      </c>
      <c r="AU80" s="98">
        <f t="shared" si="46"/>
        <v>220.15625</v>
      </c>
      <c r="AV80" s="98">
        <f t="array" ref="AV80">_xlfn.IFS(U80=0,AO80,U80&lt;0,AO80/-U80,U80&gt;0,AO80/U80)</f>
        <v>-216.40796423567642</v>
      </c>
      <c r="AW80" s="234">
        <f t="shared" si="35"/>
        <v>-0.21598136105105223</v>
      </c>
      <c r="AX80" s="234">
        <f t="shared" si="36"/>
        <v>-1.3192389919268253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ДЕКАБРЬ!N81+ЯНВАРЬ!N81+ФЕВРАЛЬ!N81+МАРТ!N81+АПРЕЛЬ!N81</f>
        <v>105</v>
      </c>
      <c r="O81" s="89"/>
      <c r="P81" s="89"/>
      <c r="Q81" s="233"/>
      <c r="R81" s="92"/>
      <c r="S81" s="93">
        <f>ДЕКАБРЬ!S81+ЯНВАРЬ!S81+ФЕВРАЛЬ!S81+МАРТ!S81+АПРЕЛЬ!S81</f>
        <v>39</v>
      </c>
      <c r="T81" s="93">
        <f>ДЕКАБРЬ!T81+ЯНВАРЬ!T81+ФЕВРАЛЬ!T81+МАРТ!T81+АПРЕЛЬ!T81</f>
        <v>-3</v>
      </c>
      <c r="U81" s="92">
        <f t="shared" si="38"/>
        <v>36</v>
      </c>
      <c r="V81" s="93">
        <f>ДЕКАБРЬ!V81+ЯНВАРЬ!V81+ФЕВРАЛЬ!V81+МАРТ!V81+АПРЕЛЬ!V81</f>
        <v>29177.809999999998</v>
      </c>
      <c r="W81" s="93">
        <f>ДЕКАБРЬ!W81+ЯНВАРЬ!W81+ФЕВРАЛЬ!W81+МАРТ!W81+АПРЕЛЬ!W81</f>
        <v>-2303</v>
      </c>
      <c r="X81" s="92">
        <f t="shared" si="39"/>
        <v>26874.809999999998</v>
      </c>
      <c r="Y81" s="93">
        <f>ДЕКАБРЬ!Y81+ЯНВАРЬ!Y81+ФЕВРАЛЬ!Y81+МАРТ!Y81+АПРЕЛЬ!Y81</f>
        <v>45924.32</v>
      </c>
      <c r="Z81" s="93">
        <f>ДЕКАБРЬ!Z81+ЯНВАРЬ!Z81+ФЕВРАЛЬ!Z81+МАРТ!Z81+АПРЕЛЬ!Z81</f>
        <v>-3580</v>
      </c>
      <c r="AA81" s="232">
        <f t="shared" si="40"/>
        <v>42344.32</v>
      </c>
      <c r="AB81" s="92">
        <f t="shared" si="44"/>
        <v>0</v>
      </c>
      <c r="AC81" s="234">
        <f t="shared" si="41"/>
        <v>9.5905072800039578E-4</v>
      </c>
      <c r="AD81" s="92">
        <f t="shared" si="42"/>
        <v>4641.84</v>
      </c>
      <c r="AE81" s="93">
        <f>ДЕКАБРЬ!AE81+ЯНВАРЬ!AE81+ФЕВРАЛЬ!AE81+МАРТ!AE81+АПРЕЛЬ!AE81</f>
        <v>15905.759999999998</v>
      </c>
      <c r="AF81" s="234">
        <f t="shared" si="43"/>
        <v>0.37562912806251225</v>
      </c>
      <c r="AG81" s="93">
        <f>ДЕКАБРЬ!AG81+ЯНВАРЬ!AG81+ФЕВРАЛЬ!AG81+МАРТ!AG81+АПРЕЛЬ!AG81</f>
        <v>8961.7099999999991</v>
      </c>
      <c r="AH81" s="93">
        <f>ДЕКАБРЬ!AH81+ЯНВАРЬ!AH81+ФЕВРАЛЬ!AH81+МАРТ!AH81+АПРЕЛЬ!AH81</f>
        <v>7159</v>
      </c>
      <c r="AI81" s="93">
        <f>ДЕКАБРЬ!AI81+ЯНВАРЬ!AI81+ФЕВРАЛЬ!AI81+МАРТ!AI81+АПРЕЛЬ!AI81</f>
        <v>12515</v>
      </c>
      <c r="AJ81" s="93">
        <f>АПРЕЛЬ!AJ81</f>
        <v>0</v>
      </c>
      <c r="AK81" s="93"/>
      <c r="AL81" s="93">
        <f>ДЕКАБРЬ!AL81+ЯНВАРЬ!AL81+ФЕВРАЛЬ!AL81+МАРТ!AL81+АПРЕЛЬ!AL81</f>
        <v>280.61931338098196</v>
      </c>
      <c r="AM81" s="93">
        <f>ДЕКАБРЬ!AM81+ЯНВАРЬ!AM81+ФЕВРАЛЬ!AM81+МАРТ!AM81+АПРЕЛЬ!AM81</f>
        <v>0</v>
      </c>
      <c r="AN81" s="93">
        <f>ДЕКАБРЬ!AN81+ЯНВАРЬ!AN81+ФЕВРАЛЬ!AN81+МАРТ!AN81+АПРЕЛЬ!AN81</f>
        <v>1505.9323366038973</v>
      </c>
      <c r="AO81" s="95">
        <f t="shared" si="45"/>
        <v>-8625.5416499848816</v>
      </c>
      <c r="AP81" s="96"/>
      <c r="AQ81" s="97">
        <f t="shared" si="7"/>
        <v>1176.2311111111112</v>
      </c>
      <c r="AR81" s="98">
        <f t="shared" si="26"/>
        <v>128.94</v>
      </c>
      <c r="AS81" s="98">
        <f t="shared" si="9"/>
        <v>441.8266666666666</v>
      </c>
      <c r="AT81" s="98">
        <f t="shared" si="10"/>
        <v>229.78743589743587</v>
      </c>
      <c r="AU81" s="98">
        <f t="shared" si="46"/>
        <v>504.46153846153845</v>
      </c>
      <c r="AV81" s="98">
        <f t="array" ref="AV81">_xlfn.IFS(U81=0,AO81,U81&lt;0,AO81/-U81,U81&gt;0,AO81/U81)</f>
        <v>-239.5983791662467</v>
      </c>
      <c r="AW81" s="234">
        <f t="shared" si="35"/>
        <v>-0.20370008657559929</v>
      </c>
      <c r="AX81" s="234">
        <f t="shared" si="36"/>
        <v>-1.8582160630234736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ДЕКАБРЬ!N82+ЯНВАРЬ!N82+ФЕВРАЛЬ!N82+МАРТ!N82+АПРЕЛЬ!N82</f>
        <v>20</v>
      </c>
      <c r="O82" s="89"/>
      <c r="P82" s="89"/>
      <c r="Q82" s="233"/>
      <c r="R82" s="92"/>
      <c r="S82" s="93">
        <f>ДЕКАБРЬ!S82+ЯНВАРЬ!S82+ФЕВРАЛЬ!S82+МАРТ!S82+АПРЕЛЬ!S82</f>
        <v>8</v>
      </c>
      <c r="T82" s="93">
        <f>ДЕКАБРЬ!T82+ЯНВАРЬ!T82+ФЕВРАЛЬ!T82+МАРТ!T82+АПРЕЛЬ!T82</f>
        <v>0</v>
      </c>
      <c r="U82" s="92">
        <f t="shared" si="38"/>
        <v>8</v>
      </c>
      <c r="V82" s="93">
        <f>ДЕКАБРЬ!V82+ЯНВАРЬ!V82+ФЕВРАЛЬ!V82+МАРТ!V82+АПРЕЛЬ!V82</f>
        <v>6427.03</v>
      </c>
      <c r="W82" s="93">
        <f>ДЕКАБРЬ!W82+ЯНВАРЬ!W82+ФЕВРАЛЬ!W82+МАРТ!W82+АПРЕЛЬ!W82</f>
        <v>0</v>
      </c>
      <c r="X82" s="92">
        <f t="shared" si="39"/>
        <v>6427.03</v>
      </c>
      <c r="Y82" s="93">
        <f>ДЕКАБРЬ!Y82+ЯНВАРЬ!Y82+ФЕВРАЛЬ!Y82+МАРТ!Y82+АПРЕЛЬ!Y82</f>
        <v>9333.4599999999991</v>
      </c>
      <c r="Z82" s="93">
        <f>ДЕКАБРЬ!Z82+ЯНВАРЬ!Z82+ФЕВРАЛЬ!Z82+МАРТ!Z82+АПРЕЛЬ!Z82</f>
        <v>0</v>
      </c>
      <c r="AA82" s="232">
        <f t="shared" si="40"/>
        <v>9333.4599999999991</v>
      </c>
      <c r="AB82" s="92">
        <f t="shared" si="44"/>
        <v>0</v>
      </c>
      <c r="AC82" s="234">
        <f t="shared" si="41"/>
        <v>2.1139226247493344E-4</v>
      </c>
      <c r="AD82" s="92">
        <f t="shared" si="42"/>
        <v>1031.52</v>
      </c>
      <c r="AE82" s="93">
        <f>ДЕКАБРЬ!AE82+ЯНВАРЬ!AE82+ФЕВРАЛЬ!AE82+МАРТ!AE82+АПРЕЛЬ!AE82</f>
        <v>3524.0999999999995</v>
      </c>
      <c r="AF82" s="234">
        <f t="shared" si="43"/>
        <v>0.37757701859760473</v>
      </c>
      <c r="AG82" s="93">
        <f>ДЕКАБРЬ!AG82+ЯНВАРЬ!AG82+ФЕВРАЛЬ!AG82+МАРТ!AG82+АПРЕЛЬ!AG82</f>
        <v>1566.58</v>
      </c>
      <c r="AH82" s="93">
        <f>ДЕКАБРЬ!AH82+ЯНВАРЬ!AH82+ФЕВРАЛЬ!AH82+МАРТ!AH82+АПРЕЛЬ!AH82</f>
        <v>0</v>
      </c>
      <c r="AI82" s="93">
        <f>ДЕКАБРЬ!AI82+ЯНВАРЬ!AI82+ФЕВРАЛЬ!AI82+МАРТ!AI82+АПРЕЛЬ!AI82</f>
        <v>516</v>
      </c>
      <c r="AJ82" s="93">
        <f>АПРЕЛЬ!AJ82</f>
        <v>2970</v>
      </c>
      <c r="AK82" s="93"/>
      <c r="AL82" s="93">
        <f>ДЕКАБРЬ!AL82+ЯНВАРЬ!AL82+ФЕВРАЛЬ!AL82+МАРТ!AL82+АПРЕЛЬ!AL82</f>
        <v>547.35655546716566</v>
      </c>
      <c r="AM82" s="93">
        <f>ДЕКАБРЬ!AM82+ЯНВАРЬ!AM82+ФЕВРАЛЬ!AM82+МАРТ!AM82+АПРЕЛЬ!AM82</f>
        <v>0</v>
      </c>
      <c r="AN82" s="93">
        <f>ДЕКАБРЬ!AN82+ЯНВАРЬ!AN82+ФЕВРАЛЬ!AN82+МАРТ!AN82+АПРЕЛЬ!AN82</f>
        <v>363.28655533640529</v>
      </c>
      <c r="AO82" s="95">
        <f t="shared" si="45"/>
        <v>-1185.3831108035715</v>
      </c>
      <c r="AP82" s="96"/>
      <c r="AQ82" s="97">
        <f t="shared" si="7"/>
        <v>1166.6824999999999</v>
      </c>
      <c r="AR82" s="98">
        <f t="shared" si="26"/>
        <v>128.94</v>
      </c>
      <c r="AS82" s="98">
        <f t="shared" si="9"/>
        <v>440.51249999999993</v>
      </c>
      <c r="AT82" s="98">
        <f t="shared" si="10"/>
        <v>195.82249999999999</v>
      </c>
      <c r="AU82" s="98">
        <f t="shared" si="46"/>
        <v>435.75</v>
      </c>
      <c r="AV82" s="98">
        <f t="array" ref="AV82">_xlfn.IFS(U82=0,AO82,U82&lt;0,AO82/-U82,U82&gt;0,AO82/U82)</f>
        <v>-148.17288885044644</v>
      </c>
      <c r="AW82" s="234">
        <f t="shared" si="35"/>
        <v>-0.1270036096799656</v>
      </c>
      <c r="AX82" s="234">
        <f t="shared" si="36"/>
        <v>-1.1491615390914103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ДЕКАБРЬ!N83+ЯНВАРЬ!N83+ФЕВРАЛЬ!N83+МАРТ!N83+АПРЕЛЬ!N83</f>
        <v>37</v>
      </c>
      <c r="O83" s="89"/>
      <c r="P83" s="89"/>
      <c r="Q83" s="233"/>
      <c r="R83" s="92"/>
      <c r="S83" s="93">
        <f>ДЕКАБРЬ!S83+ЯНВАРЬ!S83+ФЕВРАЛЬ!S83+МАРТ!S83+АПРЕЛЬ!S83</f>
        <v>7</v>
      </c>
      <c r="T83" s="93">
        <f>ДЕКАБРЬ!T83+ЯНВАРЬ!T83+ФЕВРАЛЬ!T83+МАРТ!T83+АПРЕЛЬ!T83</f>
        <v>0</v>
      </c>
      <c r="U83" s="92">
        <f t="shared" si="38"/>
        <v>7</v>
      </c>
      <c r="V83" s="93">
        <f>ДЕКАБРЬ!V83+ЯНВАРЬ!V83+ФЕВРАЛЬ!V83+МАРТ!V83+АПРЕЛЬ!V83</f>
        <v>6107</v>
      </c>
      <c r="W83" s="93">
        <f>ДЕКАБРЬ!W83+ЯНВАРЬ!W83+ФЕВРАЛЬ!W83+МАРТ!W83+АПРЕЛЬ!W83</f>
        <v>0</v>
      </c>
      <c r="X83" s="92">
        <f t="shared" si="39"/>
        <v>6107</v>
      </c>
      <c r="Y83" s="93">
        <f>ДЕКАБРЬ!Y83+ЯНВАРЬ!Y83+ФЕВРАЛЬ!Y83+МАРТ!Y83+АПРЕЛЬ!Y83</f>
        <v>9625</v>
      </c>
      <c r="Z83" s="93">
        <f>ДЕКАБРЬ!Z83+ЯНВАРЬ!Z83+ФЕВРАЛЬ!Z83+МАРТ!Z83+АПРЕЛЬ!Z83</f>
        <v>0</v>
      </c>
      <c r="AA83" s="232">
        <f t="shared" si="40"/>
        <v>9625</v>
      </c>
      <c r="AB83" s="92">
        <f t="shared" si="44"/>
        <v>0</v>
      </c>
      <c r="AC83" s="234">
        <f t="shared" si="41"/>
        <v>2.179953121694671E-4</v>
      </c>
      <c r="AD83" s="92">
        <f t="shared" si="42"/>
        <v>861.63</v>
      </c>
      <c r="AE83" s="93">
        <f>ДЕКАБРЬ!AE83+ЯНВАРЬ!AE83+ФЕВРАЛЬ!AE83+МАРТ!AE83+АПРЕЛЬ!AE83</f>
        <v>3645.22</v>
      </c>
      <c r="AF83" s="234">
        <f t="shared" si="43"/>
        <v>0.37872415584415581</v>
      </c>
      <c r="AG83" s="93">
        <f>ДЕКАБРЬ!AG83+ЯНВАРЬ!AG83+ФЕВРАЛЬ!AG83+МАРТ!AG83+АПРЕЛЬ!AG83</f>
        <v>3225.83</v>
      </c>
      <c r="AH83" s="93">
        <f>ДЕКАБРЬ!AH83+ЯНВАРЬ!AH83+ФЕВРАЛЬ!AH83+МАРТ!AH83+АПРЕЛЬ!AH83</f>
        <v>0</v>
      </c>
      <c r="AI83" s="93">
        <f>ДЕКАБРЬ!AI83+ЯНВАРЬ!AI83+ФЕВРАЛЬ!AI83+МАРТ!AI83+АПРЕЛЬ!AI83</f>
        <v>0</v>
      </c>
      <c r="AJ83" s="93">
        <f>АПРЕЛЬ!AJ83</f>
        <v>0</v>
      </c>
      <c r="AK83" s="93"/>
      <c r="AL83" s="93">
        <f>ДЕКАБРЬ!AL83+ЯНВАРЬ!AL83+ФЕВРАЛЬ!AL83+МАРТ!AL83+АПРЕЛЬ!AL83</f>
        <v>532.91841830912642</v>
      </c>
      <c r="AM83" s="93">
        <f>ДЕКАБРЬ!AM83+ЯНВАРЬ!AM83+ФЕВРАЛЬ!AM83+МАРТ!AM83+АПРЕЛЬ!AM83</f>
        <v>0</v>
      </c>
      <c r="AN83" s="93">
        <f>ДЕКАБРЬ!AN83+ЯНВАРЬ!AN83+ФЕВРАЛЬ!AN83+МАРТ!AN83+АПРЕЛЬ!AN83</f>
        <v>343.7827331001655</v>
      </c>
      <c r="AO83" s="95">
        <f t="shared" si="45"/>
        <v>1015.6188485907095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520.74571428571426</v>
      </c>
      <c r="AT83" s="98">
        <f t="shared" si="10"/>
        <v>460.83285714285711</v>
      </c>
      <c r="AU83" s="98">
        <f t="shared" si="46"/>
        <v>0</v>
      </c>
      <c r="AV83" s="98">
        <f t="array" ref="AV83">_xlfn.IFS(U83=0,AO83,U83&lt;0,AO83/-U83,U83&gt;0,AO83/U83)</f>
        <v>145.08840694152994</v>
      </c>
      <c r="AW83" s="234">
        <f t="shared" si="35"/>
        <v>0.10551884141202178</v>
      </c>
      <c r="AX83" s="234">
        <f t="shared" si="36"/>
        <v>1.1787180676052478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ДЕКАБРЬ!N84+ЯНВАРЬ!N84+ФЕВРАЛЬ!N84+МАРТ!N84+АПРЕЛЬ!N84</f>
        <v>69</v>
      </c>
      <c r="O84" s="89"/>
      <c r="P84" s="89"/>
      <c r="Q84" s="233"/>
      <c r="R84" s="92"/>
      <c r="S84" s="93">
        <f>ДЕКАБРЬ!S84+ЯНВАРЬ!S84+ФЕВРАЛЬ!S84+МАРТ!S84+АПРЕЛЬ!S84</f>
        <v>9</v>
      </c>
      <c r="T84" s="93">
        <f>ДЕКАБРЬ!T84+ЯНВАРЬ!T84+ФЕВРАЛЬ!T84+МАРТ!T84+АПРЕЛЬ!T84</f>
        <v>-1</v>
      </c>
      <c r="U84" s="92">
        <f t="shared" si="38"/>
        <v>8</v>
      </c>
      <c r="V84" s="93">
        <f>ДЕКАБРЬ!V84+ЯНВАРЬ!V84+ФЕВРАЛЬ!V84+МАРТ!V84+АПРЕЛЬ!V84</f>
        <v>8575.4500000000007</v>
      </c>
      <c r="W84" s="93">
        <f>ДЕКАБРЬ!W84+ЯНВАРЬ!W84+ФЕВРАЛЬ!W84+МАРТ!W84+АПРЕЛЬ!W84</f>
        <v>-840</v>
      </c>
      <c r="X84" s="92">
        <f t="shared" si="39"/>
        <v>7735.4500000000007</v>
      </c>
      <c r="Y84" s="93">
        <f>ДЕКАБРЬ!Y84+ЯНВАРЬ!Y84+ФЕВРАЛЬ!Y84+МАРТ!Y84+АПРЕЛЬ!Y84</f>
        <v>12854.43</v>
      </c>
      <c r="Z84" s="93">
        <f>ДЕКАБРЬ!Z84+ЯНВАРЬ!Z84+ФЕВРАЛЬ!Z84+МАРТ!Z84+АПРЕЛЬ!Z84</f>
        <v>-1410</v>
      </c>
      <c r="AA84" s="232">
        <f t="shared" si="40"/>
        <v>11444.43</v>
      </c>
      <c r="AB84" s="92">
        <f t="shared" si="44"/>
        <v>0</v>
      </c>
      <c r="AC84" s="234">
        <f t="shared" si="41"/>
        <v>2.59203334072895E-4</v>
      </c>
      <c r="AD84" s="92">
        <f t="shared" si="42"/>
        <v>1171.92</v>
      </c>
      <c r="AE84" s="93">
        <f>ДЕКАБРЬ!AE84+ЯНВАРЬ!AE84+ФЕВРАЛЬ!AE84+МАРТ!AE84+АПРЕЛЬ!AE84</f>
        <v>4359.42</v>
      </c>
      <c r="AF84" s="234">
        <f t="shared" si="43"/>
        <v>0.38092067494842469</v>
      </c>
      <c r="AG84" s="93">
        <f>ДЕКАБРЬ!AG84+ЯНВАРЬ!AG84+ФЕВРАЛЬ!AG84+МАРТ!AG84+АПРЕЛЬ!AG84</f>
        <v>5719.82</v>
      </c>
      <c r="AH84" s="93">
        <f>ДЕКАБРЬ!AH84+ЯНВАРЬ!AH84+ФЕВРАЛЬ!AH84+МАРТ!AH84+АПРЕЛЬ!AH84</f>
        <v>1000</v>
      </c>
      <c r="AI84" s="93">
        <f>ДЕКАБРЬ!AI84+ЯНВАРЬ!AI84+ФЕВРАЛЬ!AI84+МАРТ!AI84+АПРЕЛЬ!AI84</f>
        <v>7500</v>
      </c>
      <c r="AJ84" s="93">
        <f>АПРЕЛЬ!AJ84</f>
        <v>0</v>
      </c>
      <c r="AK84" s="93"/>
      <c r="AL84" s="93">
        <f>ДЕКАБРЬ!AL84+ЯНВАРЬ!AL84+ФЕВРАЛЬ!AL84+МАРТ!AL84+АПРЕЛЬ!AL84</f>
        <v>498.03201205793494</v>
      </c>
      <c r="AM84" s="93">
        <f>ДЕКАБРЬ!AM84+ЯНВАРЬ!AM84+ФЕВРАЛЬ!AM84+МАРТ!AM84+АПРЕЛЬ!AM84</f>
        <v>0</v>
      </c>
      <c r="AN84" s="93">
        <f>ДЕКАБРЬ!AN84+ЯНВАРЬ!AN84+ФЕВРАЛЬ!AN84+МАРТ!AN84+АПРЕЛЬ!AN84</f>
        <v>440.4620489137759</v>
      </c>
      <c r="AO84" s="95">
        <f t="shared" si="45"/>
        <v>-9245.2240609717101</v>
      </c>
      <c r="AP84" s="96"/>
      <c r="AQ84" s="97">
        <f t="shared" si="7"/>
        <v>1430.55375</v>
      </c>
      <c r="AR84" s="98">
        <f t="shared" si="26"/>
        <v>146.49</v>
      </c>
      <c r="AS84" s="98">
        <f t="shared" si="9"/>
        <v>544.92750000000001</v>
      </c>
      <c r="AT84" s="98">
        <f t="shared" si="10"/>
        <v>635.53555555555556</v>
      </c>
      <c r="AU84" s="98">
        <f t="shared" si="46"/>
        <v>944.44444444444446</v>
      </c>
      <c r="AV84" s="98">
        <f t="array" ref="AV84">_xlfn.IFS(U84=0,AO84,U84&lt;0,AO84/-U84,U84&gt;0,AO84/U84)</f>
        <v>-1155.6530076214638</v>
      </c>
      <c r="AW84" s="234">
        <f t="shared" si="35"/>
        <v>-0.80783613172274282</v>
      </c>
      <c r="AX84" s="234">
        <f t="shared" si="36"/>
        <v>-7.8889549294932326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ДЕКАБРЬ!N85+ЯНВАРЬ!N85+ФЕВРАЛЬ!N85+МАРТ!N85+АПРЕЛЬ!N85</f>
        <v>101</v>
      </c>
      <c r="O85" s="89"/>
      <c r="P85" s="89"/>
      <c r="Q85" s="233"/>
      <c r="R85" s="92"/>
      <c r="S85" s="93">
        <f>ДЕКАБРЬ!S85+ЯНВАРЬ!S85+ФЕВРАЛЬ!S85+МАРТ!S85+АПРЕЛЬ!S85</f>
        <v>19</v>
      </c>
      <c r="T85" s="93">
        <f>ДЕКАБРЬ!T85+ЯНВАРЬ!T85+ФЕВРАЛЬ!T85+МАРТ!T85+АПРЕЛЬ!T85</f>
        <v>-4</v>
      </c>
      <c r="U85" s="92">
        <f t="shared" si="38"/>
        <v>15</v>
      </c>
      <c r="V85" s="93">
        <f>ДЕКАБРЬ!V85+ЯНВАРЬ!V85+ФЕВРАЛЬ!V85+МАРТ!V85+АПРЕЛЬ!V85</f>
        <v>12613</v>
      </c>
      <c r="W85" s="93">
        <f>ДЕКАБРЬ!W85+ЯНВАРЬ!W85+ФЕВРАЛЬ!W85+МАРТ!W85+АПРЕЛЬ!W85</f>
        <v>-2891</v>
      </c>
      <c r="X85" s="92">
        <f t="shared" si="39"/>
        <v>9722</v>
      </c>
      <c r="Y85" s="93">
        <f>ДЕКАБРЬ!Y85+ЯНВАРЬ!Y85+ФЕВРАЛЬ!Y85+МАРТ!Y85+АПРЕЛЬ!Y85</f>
        <v>18953.28</v>
      </c>
      <c r="Z85" s="93">
        <f>ДЕКАБРЬ!Z85+ЯНВАРЬ!Z85+ФЕВРАЛЬ!Z85+МАРТ!Z85+АПРЕЛЬ!Z85</f>
        <v>-4032</v>
      </c>
      <c r="AA85" s="232">
        <f t="shared" si="40"/>
        <v>14921.279999999999</v>
      </c>
      <c r="AB85" s="92">
        <f t="shared" si="44"/>
        <v>0</v>
      </c>
      <c r="AC85" s="234">
        <f t="shared" si="41"/>
        <v>3.379500354875871E-4</v>
      </c>
      <c r="AD85" s="92">
        <f t="shared" si="42"/>
        <v>1548</v>
      </c>
      <c r="AE85" s="93">
        <f>ДЕКАБРЬ!AE85+ЯНВАРЬ!AE85+ФЕВРАЛЬ!AE85+МАРТ!AE85+АПРЕЛЬ!AE85</f>
        <v>5625.27</v>
      </c>
      <c r="AF85" s="234">
        <f t="shared" si="43"/>
        <v>0.37699647751399351</v>
      </c>
      <c r="AG85" s="93">
        <f>ДЕКАБРЬ!AG85+ЯНВАРЬ!AG85+ФЕВРАЛЬ!AG85+МАРТ!AG85+АПРЕЛЬ!AG85</f>
        <v>9355.69</v>
      </c>
      <c r="AH85" s="93">
        <f>ДЕКАБРЬ!AH85+ЯНВАРЬ!AH85+ФЕВРАЛЬ!AH85+МАРТ!AH85+АПРЕЛЬ!AH85</f>
        <v>3308</v>
      </c>
      <c r="AI85" s="93">
        <f>ДЕКАБРЬ!AI85+ЯНВАРЬ!AI85+ФЕВРАЛЬ!AI85+МАРТ!AI85+АПРЕЛЬ!AI85</f>
        <v>11871</v>
      </c>
      <c r="AJ85" s="93">
        <f>АПРЕЛЬ!AJ85</f>
        <v>410</v>
      </c>
      <c r="AK85" s="93"/>
      <c r="AL85" s="93">
        <f>ДЕКАБРЬ!AL85+ЯНВАРЬ!AL85+ФЕВРАЛЬ!AL85+МАРТ!AL85+АПРЕЛЬ!AL85</f>
        <v>419.16456987137201</v>
      </c>
      <c r="AM85" s="93">
        <f>ДЕКАБРЬ!AM85+ЯНВАРЬ!AM85+ФЕВРАЛЬ!AM85+МАРТ!AM85+АПРЕЛЬ!AM85</f>
        <v>70</v>
      </c>
      <c r="AN85" s="93">
        <f>ДЕКАБРЬ!AN85+ЯНВАРЬ!AN85+ФЕВРАЛЬ!AN85+МАРТ!AN85+АПРЕЛЬ!AN85</f>
        <v>552.04338540843628</v>
      </c>
      <c r="AO85" s="95">
        <f t="shared" si="45"/>
        <v>-18237.88795527981</v>
      </c>
      <c r="AP85" s="96"/>
      <c r="AQ85" s="97">
        <f t="shared" si="7"/>
        <v>994.75199999999995</v>
      </c>
      <c r="AR85" s="98">
        <f t="shared" si="26"/>
        <v>103.2</v>
      </c>
      <c r="AS85" s="98">
        <f t="shared" si="9"/>
        <v>375.01800000000003</v>
      </c>
      <c r="AT85" s="98">
        <f t="shared" si="10"/>
        <v>492.40473684210531</v>
      </c>
      <c r="AU85" s="98">
        <f t="shared" si="46"/>
        <v>820.47368421052636</v>
      </c>
      <c r="AV85" s="98">
        <f t="array" ref="AV85">_xlfn.IFS(U85=0,AO85,U85&lt;0,AO85/-U85,U85&gt;0,AO85/U85)</f>
        <v>-1215.859197018654</v>
      </c>
      <c r="AW85" s="234">
        <f t="shared" si="35"/>
        <v>-1.2222736893403119</v>
      </c>
      <c r="AX85" s="234">
        <f t="shared" si="36"/>
        <v>-11.781581366459825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ДЕКАБРЬ!N86+ЯНВАРЬ!N86+ФЕВРАЛЬ!N86+МАРТ!N86+АПРЕЛЬ!N86</f>
        <v>55</v>
      </c>
      <c r="O86" s="89"/>
      <c r="P86" s="89"/>
      <c r="Q86" s="233"/>
      <c r="R86" s="92"/>
      <c r="S86" s="93">
        <f>ДЕКАБРЬ!S86+ЯНВАРЬ!S86+ФЕВРАЛЬ!S86+МАРТ!S86+АПРЕЛЬ!S86</f>
        <v>15</v>
      </c>
      <c r="T86" s="93">
        <f>ДЕКАБРЬ!T86+ЯНВАРЬ!T86+ФЕВРАЛЬ!T86+МАРТ!T86+АПРЕЛЬ!T86</f>
        <v>0</v>
      </c>
      <c r="U86" s="92">
        <f t="shared" si="38"/>
        <v>15</v>
      </c>
      <c r="V86" s="93">
        <f>ДЕКАБРЬ!V86+ЯНВАРЬ!V86+ФЕВРАЛЬ!V86+МАРТ!V86+АПРЕЛЬ!V86</f>
        <v>12985.619999999999</v>
      </c>
      <c r="W86" s="93">
        <f>ДЕКАБРЬ!W86+ЯНВАРЬ!W86+ФЕВРАЛЬ!W86+МАРТ!W86+АПРЕЛЬ!W86</f>
        <v>0</v>
      </c>
      <c r="X86" s="92">
        <f t="shared" si="39"/>
        <v>12985.619999999999</v>
      </c>
      <c r="Y86" s="93">
        <f>ДЕКАБРЬ!Y86+ЯНВАРЬ!Y86+ФЕВРАЛЬ!Y86+МАРТ!Y86+АПРЕЛЬ!Y86</f>
        <v>18646.22</v>
      </c>
      <c r="Z86" s="93">
        <f>ДЕКАБРЬ!Z86+ЯНВАРЬ!Z86+ФЕВРАЛЬ!Z86+МАРТ!Z86+АПРЕЛЬ!Z86</f>
        <v>0</v>
      </c>
      <c r="AA86" s="232">
        <f t="shared" si="40"/>
        <v>18646.22</v>
      </c>
      <c r="AB86" s="92">
        <f t="shared" si="44"/>
        <v>0</v>
      </c>
      <c r="AC86" s="234">
        <f t="shared" si="41"/>
        <v>4.2231569347330508E-4</v>
      </c>
      <c r="AD86" s="92">
        <f t="shared" si="42"/>
        <v>2250</v>
      </c>
      <c r="AE86" s="93">
        <f>ДЕКАБРЬ!AE86+ЯНВАРЬ!AE86+ФЕВРАЛЬ!AE86+МАРТ!AE86+АПРЕЛЬ!AE86</f>
        <v>7035.13</v>
      </c>
      <c r="AF86" s="234">
        <f t="shared" si="43"/>
        <v>0.37729523731887749</v>
      </c>
      <c r="AG86" s="93">
        <f>ДЕКАБРЬ!AG86+ЯНВАРЬ!AG86+ФЕВРАЛЬ!AG86+МАРТ!AG86+АПРЕЛЬ!AG86</f>
        <v>3824.8599999999997</v>
      </c>
      <c r="AH86" s="93">
        <f>ДЕКАБРЬ!AH86+ЯНВАРЬ!AH86+ФЕВРАЛЬ!AH86+МАРТ!AH86+АПРЕЛЬ!AH86</f>
        <v>0</v>
      </c>
      <c r="AI86" s="93">
        <f>ДЕКАБРЬ!AI86+ЯНВАРЬ!AI86+ФЕВРАЛЬ!AI86+МАРТ!AI86+АПРЕЛЬ!AI86</f>
        <v>5010</v>
      </c>
      <c r="AJ86" s="93">
        <f>АПРЕЛЬ!AJ86</f>
        <v>931</v>
      </c>
      <c r="AK86" s="93"/>
      <c r="AL86" s="93">
        <f>ДЕКАБРЬ!AL86+ЯНВАРЬ!AL86+ФЕВРАЛЬ!AL86+МАРТ!AL86+АПРЕЛЬ!AL86</f>
        <v>485.30422639949035</v>
      </c>
      <c r="AM86" s="93">
        <f>ДЕКАБРЬ!AM86+ЯНВАРЬ!AM86+ФЕВРАЛЬ!AM86+МАРТ!AM86+АПРЕЛЬ!AM86</f>
        <v>0</v>
      </c>
      <c r="AN86" s="93">
        <f>ДЕКАБРЬ!AN86+ЯНВАРЬ!AN86+ФЕВРАЛЬ!AN86+МАРТ!AN86+АПРЕЛЬ!AN86</f>
        <v>728.81287144826774</v>
      </c>
      <c r="AO86" s="95">
        <f t="shared" si="45"/>
        <v>-1618.8870978477576</v>
      </c>
      <c r="AP86" s="96"/>
      <c r="AQ86" s="97">
        <f t="shared" si="7"/>
        <v>1243.0813333333333</v>
      </c>
      <c r="AR86" s="98">
        <f t="shared" si="26"/>
        <v>150</v>
      </c>
      <c r="AS86" s="98">
        <f t="shared" si="9"/>
        <v>469.00866666666667</v>
      </c>
      <c r="AT86" s="98">
        <f t="shared" si="10"/>
        <v>254.99066666666664</v>
      </c>
      <c r="AU86" s="98">
        <f t="shared" si="46"/>
        <v>396.06666666666666</v>
      </c>
      <c r="AV86" s="98">
        <f t="array" ref="AV86">_xlfn.IFS(U86=0,AO86,U86&lt;0,AO86/-U86,U86&gt;0,AO86/U86)</f>
        <v>-107.92580652318384</v>
      </c>
      <c r="AW86" s="234">
        <f t="shared" si="35"/>
        <v>-8.6821194743371979E-2</v>
      </c>
      <c r="AX86" s="234">
        <f t="shared" si="36"/>
        <v>-0.71950537682122562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ДЕКАБРЬ!N87+ЯНВАРЬ!N87+ФЕВРАЛЬ!N87+МАРТ!N87+АПРЕЛЬ!N87</f>
        <v>159</v>
      </c>
      <c r="O87" s="89"/>
      <c r="P87" s="89"/>
      <c r="Q87" s="233"/>
      <c r="R87" s="92"/>
      <c r="S87" s="93">
        <f>ДЕКАБРЬ!S87+ЯНВАРЬ!S87+ФЕВРАЛЬ!S87+МАРТ!S87+АПРЕЛЬ!S87</f>
        <v>49</v>
      </c>
      <c r="T87" s="93">
        <f>ДЕКАБРЬ!T87+ЯНВАРЬ!T87+ФЕВРАЛЬ!T87+МАРТ!T87+АПРЕЛЬ!T87</f>
        <v>-5</v>
      </c>
      <c r="U87" s="92">
        <f t="shared" si="38"/>
        <v>44</v>
      </c>
      <c r="V87" s="93">
        <f>ДЕКАБРЬ!V87+ЯНВАРЬ!V87+ФЕВРАЛЬ!V87+МАРТ!V87+АПРЕЛЬ!V87</f>
        <v>37116.17</v>
      </c>
      <c r="W87" s="93">
        <f>ДЕКАБРЬ!W87+ЯНВАРЬ!W87+ФЕВРАЛЬ!W87+МАРТ!W87+АПРЕЛЬ!W87</f>
        <v>-4068</v>
      </c>
      <c r="X87" s="92">
        <f t="shared" si="39"/>
        <v>33048.17</v>
      </c>
      <c r="Y87" s="93">
        <f>ДЕКАБРЬ!Y87+ЯНВАРЬ!Y87+ФЕВРАЛЬ!Y87+МАРТ!Y87+АПРЕЛЬ!Y87</f>
        <v>53436.89</v>
      </c>
      <c r="Z87" s="93">
        <f>ДЕКАБРЬ!Z87+ЯНВАРЬ!Z87+ФЕВРАЛЬ!Z87+МАРТ!Z87+АПРЕЛЬ!Z87</f>
        <v>-5706</v>
      </c>
      <c r="AA87" s="232">
        <f t="shared" si="40"/>
        <v>47730.89</v>
      </c>
      <c r="AB87" s="92">
        <f t="shared" si="44"/>
        <v>0</v>
      </c>
      <c r="AC87" s="234">
        <f t="shared" si="41"/>
        <v>1.0810504172131424E-3</v>
      </c>
      <c r="AD87" s="92">
        <f t="shared" si="42"/>
        <v>6600</v>
      </c>
      <c r="AE87" s="93">
        <f>ДЕКАБРЬ!AE87+ЯНВАРЬ!AE87+ФЕВРАЛЬ!AE87+МАРТ!AE87+АПРЕЛЬ!AE87</f>
        <v>18056.689999999995</v>
      </c>
      <c r="AF87" s="234">
        <f t="shared" si="43"/>
        <v>0.37830197593214782</v>
      </c>
      <c r="AG87" s="93">
        <f>ДЕКАБРЬ!AG87+ЯНВАРЬ!AG87+ФЕВРАЛЬ!AG87+МАРТ!AG87+АПРЕЛЬ!AG87</f>
        <v>13308.039999999997</v>
      </c>
      <c r="AH87" s="93">
        <f>ДЕКАБРЬ!AH87+ЯНВАРЬ!AH87+ФЕВРАЛЬ!AH87+МАРТ!AH87+АПРЕЛЬ!AH87</f>
        <v>3000</v>
      </c>
      <c r="AI87" s="93">
        <f>ДЕКАБРЬ!AI87+ЯНВАРЬ!AI87+ФЕВРАЛЬ!AI87+МАРТ!AI87+АПРЕЛЬ!AI87</f>
        <v>10000</v>
      </c>
      <c r="AJ87" s="93">
        <f>АПРЕЛЬ!AJ87</f>
        <v>0</v>
      </c>
      <c r="AK87" s="93"/>
      <c r="AL87" s="93">
        <f>ДЕКАБРЬ!AL87+ЯНВАРЬ!AL87+ФЕВРАЛЬ!AL87+МАРТ!AL87+АПРЕЛЬ!AL87</f>
        <v>177.81070731723446</v>
      </c>
      <c r="AM87" s="93">
        <f>ДЕКАБРЬ!AM87+ЯНВАРЬ!AM87+ФЕВРАЛЬ!AM87+МАРТ!AM87+АПРЕЛЬ!AM87</f>
        <v>0</v>
      </c>
      <c r="AN87" s="93">
        <f>ДЕКАБРЬ!AN87+ЯНВАРЬ!AN87+ФЕВРАЛЬ!AN87+МАРТ!AN87+АПРЕЛЬ!AN87</f>
        <v>1838.0829998663617</v>
      </c>
      <c r="AO87" s="95">
        <f t="shared" si="45"/>
        <v>-5249.7337071835891</v>
      </c>
      <c r="AP87" s="96"/>
      <c r="AQ87" s="97">
        <f t="shared" si="7"/>
        <v>1084.7929545454544</v>
      </c>
      <c r="AR87" s="98">
        <f t="shared" si="26"/>
        <v>150</v>
      </c>
      <c r="AS87" s="98">
        <f t="shared" si="9"/>
        <v>410.37931818181806</v>
      </c>
      <c r="AT87" s="98">
        <f t="shared" si="10"/>
        <v>271.59265306122444</v>
      </c>
      <c r="AU87" s="98">
        <f t="shared" si="46"/>
        <v>265.30612244897958</v>
      </c>
      <c r="AV87" s="98">
        <f t="array" ref="AV87">_xlfn.IFS(U87=0,AO87,U87&lt;0,AO87/-U87,U87&gt;0,AO87/U87)</f>
        <v>-119.31212970871793</v>
      </c>
      <c r="AW87" s="234">
        <f t="shared" si="35"/>
        <v>-0.10998608463373696</v>
      </c>
      <c r="AX87" s="234">
        <f t="shared" si="36"/>
        <v>-0.79541419805811953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ДЕКАБРЬ!N88+ЯНВАРЬ!N88+ФЕВРАЛЬ!N88+МАРТ!N88+АПРЕЛЬ!N88</f>
        <v>135</v>
      </c>
      <c r="O88" s="89"/>
      <c r="P88" s="89"/>
      <c r="Q88" s="233"/>
      <c r="R88" s="92"/>
      <c r="S88" s="93">
        <f>ДЕКАБРЬ!S88+ЯНВАРЬ!S88+ФЕВРАЛЬ!S88+МАРТ!S88+АПРЕЛЬ!S88</f>
        <v>48</v>
      </c>
      <c r="T88" s="93">
        <f>ДЕКАБРЬ!T88+ЯНВАРЬ!T88+ФЕВРАЛЬ!T88+МАРТ!T88+АПРЕЛЬ!T88</f>
        <v>-5</v>
      </c>
      <c r="U88" s="92">
        <f t="shared" si="38"/>
        <v>43</v>
      </c>
      <c r="V88" s="93">
        <f>ДЕКАБРЬ!V88+ЯНВАРЬ!V88+ФЕВРАЛЬ!V88+МАРТ!V88+АПРЕЛЬ!V88</f>
        <v>41933.089999999997</v>
      </c>
      <c r="W88" s="93">
        <f>ДЕКАБРЬ!W88+ЯНВАРЬ!W88+ФЕВРАЛЬ!W88+МАРТ!W88+АПРЕЛЬ!W88</f>
        <v>-3985</v>
      </c>
      <c r="X88" s="92">
        <f t="shared" si="39"/>
        <v>37948.089999999997</v>
      </c>
      <c r="Y88" s="93">
        <f>ДЕКАБРЬ!Y88+ЯНВАРЬ!Y88+ФЕВРАЛЬ!Y88+МАРТ!Y88+АПРЕЛЬ!Y88</f>
        <v>60573.87</v>
      </c>
      <c r="Z88" s="93">
        <f>ДЕКАБРЬ!Z88+ЯНВАРЬ!Z88+ФЕВРАЛЬ!Z88+МАРТ!Z88+АПРЕЛЬ!Z88</f>
        <v>-6209.58</v>
      </c>
      <c r="AA88" s="232">
        <f t="shared" si="40"/>
        <v>54364.29</v>
      </c>
      <c r="AB88" s="92">
        <f t="shared" si="44"/>
        <v>0</v>
      </c>
      <c r="AC88" s="234">
        <f t="shared" si="41"/>
        <v>1.2312893890307989E-3</v>
      </c>
      <c r="AD88" s="92">
        <f t="shared" si="42"/>
        <v>6450</v>
      </c>
      <c r="AE88" s="93">
        <f>ДЕКАБРЬ!AE88+ЯНВАРЬ!AE88+ФЕВРАЛЬ!AE88+МАРТ!AE88+АПРЕЛЬ!AE88</f>
        <v>20248.620000000003</v>
      </c>
      <c r="AF88" s="234">
        <f t="shared" si="43"/>
        <v>0.37246177591945012</v>
      </c>
      <c r="AG88" s="93">
        <f>ДЕКАБРЬ!AG88+ЯНВАРЬ!AG88+ФЕВРАЛЬ!AG88+МАРТ!AG88+АПРЕЛЬ!AG88</f>
        <v>11874.900000000001</v>
      </c>
      <c r="AH88" s="93">
        <f>ДЕКАБРЬ!AH88+ЯНВАРЬ!AH88+ФЕВРАЛЬ!AH88+МАРТ!AH88+АПРЕЛЬ!AH88</f>
        <v>1878</v>
      </c>
      <c r="AI88" s="93">
        <f>ДЕКАБРЬ!AI88+ЯНВАРЬ!AI88+ФЕВРАЛЬ!AI88+МАРТ!AI88+АПРЕЛЬ!AI88</f>
        <v>10029</v>
      </c>
      <c r="AJ88" s="93">
        <f>АПРЕЛЬ!AJ88</f>
        <v>0</v>
      </c>
      <c r="AK88" s="93"/>
      <c r="AL88" s="93">
        <f>ДЕКАБРЬ!AL88+ЯНВАРЬ!AL88+ФЕВРАЛЬ!AL88+МАРТ!AL88+АПРЕЛЬ!AL88</f>
        <v>113.18157112180559</v>
      </c>
      <c r="AM88" s="93">
        <f>ДЕКАБРЬ!AM88+ЯНВАРЬ!AM88+ФЕВРАЛЬ!AM88+МАРТ!AM88+АПРЕЛЬ!AM88</f>
        <v>10</v>
      </c>
      <c r="AN88" s="93">
        <f>ДЕКАБРЬ!AN88+ЯНВАРЬ!AN88+ФЕВРАЛЬ!AN88+МАРТ!AN88+АПРЕЛЬ!AN88</f>
        <v>2183.4594876469396</v>
      </c>
      <c r="AO88" s="95">
        <f t="shared" si="45"/>
        <v>1577.1289412312517</v>
      </c>
      <c r="AP88" s="96"/>
      <c r="AQ88" s="97">
        <f t="shared" si="7"/>
        <v>1264.2858139534883</v>
      </c>
      <c r="AR88" s="98">
        <f t="shared" si="26"/>
        <v>150</v>
      </c>
      <c r="AS88" s="98">
        <f t="shared" si="9"/>
        <v>470.8981395348838</v>
      </c>
      <c r="AT88" s="98">
        <f t="shared" si="10"/>
        <v>247.39375000000004</v>
      </c>
      <c r="AU88" s="98">
        <f t="shared" si="46"/>
        <v>248.0625</v>
      </c>
      <c r="AV88" s="98">
        <f t="array" ref="AV88">_xlfn.IFS(U88=0,AO88,U88&lt;0,AO88/-U88,U88&gt;0,AO88/U88)</f>
        <v>36.677417237936083</v>
      </c>
      <c r="AW88" s="234">
        <f t="shared" si="35"/>
        <v>2.9010384228898265E-2</v>
      </c>
      <c r="AX88" s="234">
        <f t="shared" si="36"/>
        <v>0.2445161149195739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ДЕКАБРЬ!N89+ЯНВАРЬ!N89+ФЕВРАЛЬ!N89+МАРТ!N89+АПРЕЛЬ!N89</f>
        <v>93</v>
      </c>
      <c r="O89" s="89"/>
      <c r="P89" s="89"/>
      <c r="Q89" s="233"/>
      <c r="R89" s="92"/>
      <c r="S89" s="93">
        <f>ДЕКАБРЬ!S89+ЯНВАРЬ!S89+ФЕВРАЛЬ!S89+МАРТ!S89+АПРЕЛЬ!S89</f>
        <v>41</v>
      </c>
      <c r="T89" s="93">
        <f>ДЕКАБРЬ!T89+ЯНВАРЬ!T89+ФЕВРАЛЬ!T89+МАРТ!T89+АПРЕЛЬ!T89</f>
        <v>-1</v>
      </c>
      <c r="U89" s="92">
        <f t="shared" si="38"/>
        <v>40</v>
      </c>
      <c r="V89" s="93">
        <f>ДЕКАБРЬ!V89+ЯНВАРЬ!V89+ФЕВРАЛЬ!V89+МАРТ!V89+АПРЕЛЬ!V89</f>
        <v>40217.929999999993</v>
      </c>
      <c r="W89" s="93">
        <f>ДЕКАБРЬ!W89+ЯНВАРЬ!W89+ФЕВРАЛЬ!W89+МАРТ!W89+АПРЕЛЬ!W89</f>
        <v>-969</v>
      </c>
      <c r="X89" s="92">
        <f t="shared" si="39"/>
        <v>39248.929999999993</v>
      </c>
      <c r="Y89" s="93">
        <f>ДЕКАБРЬ!Y89+ЯНВАРЬ!Y89+ФЕВРАЛЬ!Y89+МАРТ!Y89+АПРЕЛЬ!Y89</f>
        <v>61260.86</v>
      </c>
      <c r="Z89" s="93">
        <f>ДЕКАБРЬ!Z89+ЯНВАРЬ!Z89+ФЕВРАЛЬ!Z89+МАРТ!Z89+АПРЕЛЬ!Z89</f>
        <v>-1504</v>
      </c>
      <c r="AA89" s="232">
        <f t="shared" si="40"/>
        <v>59756.86</v>
      </c>
      <c r="AB89" s="92">
        <f t="shared" si="44"/>
        <v>0</v>
      </c>
      <c r="AC89" s="234">
        <f t="shared" si="41"/>
        <v>1.3534249714251575E-3</v>
      </c>
      <c r="AD89" s="92">
        <f t="shared" si="42"/>
        <v>6795.5999999999995</v>
      </c>
      <c r="AE89" s="93">
        <f>ДЕКАБРЬ!AE89+ЯНВАРЬ!AE89+ФЕВРАЛЬ!AE89+МАРТ!AE89+АПРЕЛЬ!AE89</f>
        <v>22551.049999999996</v>
      </c>
      <c r="AF89" s="234">
        <f t="shared" si="43"/>
        <v>0.37738010330529409</v>
      </c>
      <c r="AG89" s="93">
        <f>ДЕКАБРЬ!AG89+ЯНВАРЬ!AG89+ФЕВРАЛЬ!AG89+МАРТ!AG89+АПРЕЛЬ!AG89</f>
        <v>6849.8999999999987</v>
      </c>
      <c r="AH89" s="93">
        <f>ДЕКАБРЬ!AH89+ЯНВАРЬ!AH89+ФЕВРАЛЬ!AH89+МАРТ!AH89+АПРЕЛЬ!AH89</f>
        <v>0</v>
      </c>
      <c r="AI89" s="93">
        <f>ДЕКАБРЬ!AI89+ЯНВАРЬ!AI89+ФЕВРАЛЬ!AI89+МАРТ!AI89+АПРЕЛЬ!AI89</f>
        <v>0</v>
      </c>
      <c r="AJ89" s="93">
        <f>АПРЕЛЬ!AJ89</f>
        <v>0</v>
      </c>
      <c r="AK89" s="93"/>
      <c r="AL89" s="93">
        <f>ДЕКАБРЬ!AL89+ЯНВАРЬ!AL89+ФЕВРАЛЬ!AL89+МАРТ!AL89+АПРЕЛЬ!AL89</f>
        <v>271.54878830814027</v>
      </c>
      <c r="AM89" s="93">
        <f>ДЕКАБРЬ!AM89+ЯНВАРЬ!AM89+ФЕВРАЛЬ!AM89+МАРТ!AM89+АПРЕЛЬ!AM89</f>
        <v>0</v>
      </c>
      <c r="AN89" s="93">
        <f>ДЕКАБРЬ!AN89+ЯНВАРЬ!AN89+ФЕВРАЛЬ!AN89+МАРТ!AN89+АПРЕЛЬ!AN89</f>
        <v>2212.2551644386031</v>
      </c>
      <c r="AO89" s="95">
        <f t="shared" si="45"/>
        <v>21076.506047253264</v>
      </c>
      <c r="AP89" s="96"/>
      <c r="AQ89" s="97">
        <f t="shared" si="7"/>
        <v>1493.9214999999999</v>
      </c>
      <c r="AR89" s="98">
        <f t="shared" si="26"/>
        <v>169.89</v>
      </c>
      <c r="AS89" s="98">
        <f t="shared" si="9"/>
        <v>563.77624999999989</v>
      </c>
      <c r="AT89" s="98">
        <f t="shared" si="10"/>
        <v>167.07073170731704</v>
      </c>
      <c r="AU89" s="98">
        <f t="shared" si="46"/>
        <v>0</v>
      </c>
      <c r="AV89" s="98">
        <f t="array" ref="AV89">_xlfn.IFS(U89=0,AO89,U89&lt;0,AO89/-U89,U89&gt;0,AO89/U89)</f>
        <v>526.91265118133163</v>
      </c>
      <c r="AW89" s="234">
        <f t="shared" si="35"/>
        <v>0.35270437648921421</v>
      </c>
      <c r="AX89" s="234">
        <f t="shared" si="36"/>
        <v>3.1014930318519727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ДЕКАБРЬ!N90+ЯНВАРЬ!N90+ФЕВРАЛЬ!N90+МАРТ!N90+АПРЕЛЬ!N90</f>
        <v>2</v>
      </c>
      <c r="O90" s="89"/>
      <c r="P90" s="89"/>
      <c r="Q90" s="233"/>
      <c r="R90" s="92"/>
      <c r="S90" s="93">
        <f>ДЕКАБРЬ!S90+ЯНВАРЬ!S90+ФЕВРАЛЬ!S90+МАРТ!S90+АПРЕЛЬ!S90</f>
        <v>2</v>
      </c>
      <c r="T90" s="93">
        <f>ДЕКАБРЬ!T90+ЯНВАРЬ!T90+ФЕВРАЛЬ!T90+МАРТ!T90+АПРЕЛЬ!T90</f>
        <v>0</v>
      </c>
      <c r="U90" s="92">
        <f t="shared" si="38"/>
        <v>2</v>
      </c>
      <c r="V90" s="93">
        <f>ДЕКАБРЬ!V90+ЯНВАРЬ!V90+ФЕВРАЛЬ!V90+МАРТ!V90+АПРЕЛЬ!V90</f>
        <v>1387</v>
      </c>
      <c r="W90" s="93">
        <f>ДЕКАБРЬ!W90+ЯНВАРЬ!W90+ФЕВРАЛЬ!W90+МАРТ!W90+АПРЕЛЬ!W90</f>
        <v>0</v>
      </c>
      <c r="X90" s="92">
        <f t="shared" si="39"/>
        <v>1387</v>
      </c>
      <c r="Y90" s="93">
        <f>ДЕКАБРЬ!Y90+ЯНВАРЬ!Y90+ФЕВРАЛЬ!Y90+МАРТ!Y90+АПРЕЛЬ!Y90</f>
        <v>2154</v>
      </c>
      <c r="Z90" s="93">
        <f>ДЕКАБРЬ!Z90+ЯНВАРЬ!Z90+ФЕВРАЛЬ!Z90+МАРТ!Z90+АПРЕЛЬ!Z90</f>
        <v>0</v>
      </c>
      <c r="AA90" s="232">
        <f t="shared" si="40"/>
        <v>2154</v>
      </c>
      <c r="AB90" s="92">
        <f t="shared" si="44"/>
        <v>0</v>
      </c>
      <c r="AC90" s="234">
        <f t="shared" si="41"/>
        <v>4.8785652198756584E-5</v>
      </c>
      <c r="AD90" s="92">
        <f t="shared" si="42"/>
        <v>215.76</v>
      </c>
      <c r="AE90" s="93">
        <f>ДЕКАБРЬ!AE90+ЯНВАРЬ!AE90+ФЕВРАЛЬ!AE90+МАРТ!AE90+АПРЕЛЬ!AE90</f>
        <v>814.76</v>
      </c>
      <c r="AF90" s="234">
        <f t="shared" si="43"/>
        <v>0.37825441039925717</v>
      </c>
      <c r="AG90" s="93">
        <f>ДЕКАБРЬ!AG90+ЯНВАРЬ!AG90+ФЕВРАЛЬ!AG90+МАРТ!AG90+АПРЕЛЬ!AG90</f>
        <v>120.06</v>
      </c>
      <c r="AH90" s="93">
        <f>ДЕКАБРЬ!AH90+ЯНВАРЬ!AH90+ФЕВРАЛЬ!AH90+МАРТ!AH90+АПРЕЛЬ!AH90</f>
        <v>0</v>
      </c>
      <c r="AI90" s="93">
        <f>ДЕКАБРЬ!AI90+ЯНВАРЬ!AI90+ФЕВРАЛЬ!AI90+МАРТ!AI90+АПРЕЛЬ!AI90</f>
        <v>0</v>
      </c>
      <c r="AJ90" s="93">
        <f>АПРЕЛЬ!AJ90</f>
        <v>0</v>
      </c>
      <c r="AK90" s="93"/>
      <c r="AL90" s="93">
        <f>ДЕКАБРЬ!AL90+ЯНВАРЬ!AL90+ФЕВРАЛЬ!AL90+МАРТ!AL90+АПРЕЛЬ!AL90</f>
        <v>603.21255296662889</v>
      </c>
      <c r="AM90" s="93">
        <f>ДЕКАБРЬ!AM90+ЯНВАРЬ!AM90+ФЕВРАЛЬ!AM90+МАРТ!AM90+АПРЕЛЬ!AM90</f>
        <v>0</v>
      </c>
      <c r="AN90" s="93">
        <f>ДЕКАБРЬ!AN90+ЯНВАРЬ!AN90+ФЕВРАЛЬ!AN90+МАРТ!AN90+АПРЕЛЬ!AN90</f>
        <v>79.197699999999998</v>
      </c>
      <c r="AO90" s="95">
        <f t="shared" si="45"/>
        <v>321.00974703337118</v>
      </c>
      <c r="AP90" s="96"/>
      <c r="AQ90" s="97">
        <f t="shared" si="7"/>
        <v>1077</v>
      </c>
      <c r="AR90" s="98">
        <f t="shared" si="26"/>
        <v>107.88</v>
      </c>
      <c r="AS90" s="98">
        <f t="shared" si="9"/>
        <v>407.38</v>
      </c>
      <c r="AT90" s="98">
        <f t="shared" si="10"/>
        <v>60.03</v>
      </c>
      <c r="AU90" s="98">
        <f t="shared" si="46"/>
        <v>0</v>
      </c>
      <c r="AV90" s="98">
        <f t="array" ref="AV90">_xlfn.IFS(U90=0,AO90,U90&lt;0,AO90/-U90,U90&gt;0,AO90/U90)</f>
        <v>160.50487351668559</v>
      </c>
      <c r="AW90" s="234">
        <f t="shared" si="35"/>
        <v>0.14902959472301355</v>
      </c>
      <c r="AX90" s="234">
        <f t="shared" si="36"/>
        <v>1.4878093577742455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ДЕКАБРЬ!N91+ЯНВАРЬ!N91+ФЕВРАЛЬ!N91+МАРТ!N91+АПРЕЛЬ!N91</f>
        <v>98</v>
      </c>
      <c r="O91" s="89"/>
      <c r="P91" s="89"/>
      <c r="Q91" s="233"/>
      <c r="R91" s="92"/>
      <c r="S91" s="93">
        <f>ДЕКАБРЬ!S91+ЯНВАРЬ!S91+ФЕВРАЛЬ!S91+МАРТ!S91+АПРЕЛЬ!S91</f>
        <v>12</v>
      </c>
      <c r="T91" s="93">
        <f>ДЕКАБРЬ!T91+ЯНВАРЬ!T91+ФЕВРАЛЬ!T91+МАРТ!T91+АПРЕЛЬ!T91</f>
        <v>-3</v>
      </c>
      <c r="U91" s="92">
        <f t="shared" si="38"/>
        <v>9</v>
      </c>
      <c r="V91" s="93">
        <f>ДЕКАБРЬ!V91+ЯНВАРЬ!V91+ФЕВРАЛЬ!V91+МАРТ!V91+АПРЕЛЬ!V91</f>
        <v>8639.0400000000009</v>
      </c>
      <c r="W91" s="93">
        <f>ДЕКАБРЬ!W91+ЯНВАРЬ!W91+ФЕВРАЛЬ!W91+МАРТ!W91+АПРЕЛЬ!W91</f>
        <v>-2095</v>
      </c>
      <c r="X91" s="92">
        <f t="shared" si="39"/>
        <v>6544.0400000000009</v>
      </c>
      <c r="Y91" s="93">
        <f>ДЕКАБРЬ!Y91+ЯНВАРЬ!Y91+ФЕВРАЛЬ!Y91+МАРТ!Y91+АПРЕЛЬ!Y91</f>
        <v>12878.380000000001</v>
      </c>
      <c r="Z91" s="93">
        <f>ДЕКАБРЬ!Z91+ЯНВАРЬ!Z91+ФЕВРАЛЬ!Z91+МАРТ!Z91+АПРЕЛЬ!Z91</f>
        <v>-3225</v>
      </c>
      <c r="AA91" s="232">
        <f t="shared" si="40"/>
        <v>9653.380000000001</v>
      </c>
      <c r="AB91" s="92">
        <f t="shared" si="44"/>
        <v>0</v>
      </c>
      <c r="AC91" s="234">
        <f t="shared" si="41"/>
        <v>2.1863808691849253E-4</v>
      </c>
      <c r="AD91" s="92">
        <f t="shared" si="42"/>
        <v>844.56000000000006</v>
      </c>
      <c r="AE91" s="93">
        <f>ДЕКАБРЬ!AE91+ЯНВАРЬ!AE91+ФЕВРАЛЬ!AE91+МАРТ!AE91+АПРЕЛЬ!AE91</f>
        <v>3587.9300000000003</v>
      </c>
      <c r="AF91" s="234">
        <f t="shared" si="43"/>
        <v>0.37167603471530181</v>
      </c>
      <c r="AG91" s="93">
        <f>ДЕКАБРЬ!AG91+ЯНВАРЬ!AG91+ФЕВРАЛЬ!AG91+МАРТ!AG91+АПРЕЛЬ!AG91</f>
        <v>8656.4900000000016</v>
      </c>
      <c r="AH91" s="93">
        <f>ДЕКАБРЬ!AH91+ЯНВАРЬ!AH91+ФЕВРАЛЬ!AH91+МАРТ!AH91+АПРЕЛЬ!AH91</f>
        <v>0</v>
      </c>
      <c r="AI91" s="93">
        <f>ДЕКАБРЬ!AI91+ЯНВАРЬ!AI91+ФЕВРАЛЬ!AI91+МАРТ!AI91+АПРЕЛЬ!AI91</f>
        <v>2697</v>
      </c>
      <c r="AJ91" s="93">
        <f>АПРЕЛЬ!AJ91</f>
        <v>0</v>
      </c>
      <c r="AK91" s="93"/>
      <c r="AL91" s="93">
        <f>ДЕКАБРЬ!AL91+ЯНВАРЬ!AL91+ФЕВРАЛЬ!AL91+МАРТ!AL91+АПРЕЛЬ!AL91</f>
        <v>313.74424730849563</v>
      </c>
      <c r="AM91" s="93">
        <f>ДЕКАБРЬ!AM91+ЯНВАРЬ!AM91+ФЕВРАЛЬ!AM91+МАРТ!AM91+АПРЕЛЬ!AM91</f>
        <v>0</v>
      </c>
      <c r="AN91" s="93">
        <f>ДЕКАБРЬ!AN91+ЯНВАРЬ!AN91+ФЕВРАЛЬ!AN91+МАРТ!AN91+АПРЕЛЬ!AN91</f>
        <v>367.63554028008195</v>
      </c>
      <c r="AO91" s="95">
        <f t="shared" si="45"/>
        <v>-6813.9797875885779</v>
      </c>
      <c r="AP91" s="96"/>
      <c r="AQ91" s="97">
        <f t="shared" si="7"/>
        <v>1072.597777777778</v>
      </c>
      <c r="AR91" s="98">
        <f t="shared" si="26"/>
        <v>93.84</v>
      </c>
      <c r="AS91" s="98">
        <f t="shared" si="9"/>
        <v>398.6588888888889</v>
      </c>
      <c r="AT91" s="98">
        <f t="shared" si="10"/>
        <v>721.37416666666684</v>
      </c>
      <c r="AU91" s="98">
        <f t="shared" si="46"/>
        <v>224.75</v>
      </c>
      <c r="AV91" s="98">
        <f t="array" ref="AV91">_xlfn.IFS(U91=0,AO91,U91&lt;0,AO91/-U91,U91&gt;0,AO91/U91)</f>
        <v>-757.10886528761978</v>
      </c>
      <c r="AW91" s="234">
        <f t="shared" si="35"/>
        <v>-0.70586465958955069</v>
      </c>
      <c r="AX91" s="234">
        <f t="shared" si="36"/>
        <v>-8.0680825371655978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ДЕКАБРЬ!N92+ЯНВАРЬ!N92+ФЕВРАЛЬ!N92+МАРТ!N92+АПРЕЛЬ!N92</f>
        <v>40</v>
      </c>
      <c r="O92" s="89"/>
      <c r="P92" s="89"/>
      <c r="Q92" s="233"/>
      <c r="R92" s="92"/>
      <c r="S92" s="93">
        <f>ДЕКАБРЬ!S92+ЯНВАРЬ!S92+ФЕВРАЛЬ!S92+МАРТ!S92+АПРЕЛЬ!S92</f>
        <v>6</v>
      </c>
      <c r="T92" s="93">
        <f>ДЕКАБРЬ!T92+ЯНВАРЬ!T92+ФЕВРАЛЬ!T92+МАРТ!T92+АПРЕЛЬ!T92</f>
        <v>-2</v>
      </c>
      <c r="U92" s="92">
        <f t="shared" si="38"/>
        <v>4</v>
      </c>
      <c r="V92" s="93">
        <f>ДЕКАБРЬ!V92+ЯНВАРЬ!V92+ФЕВРАЛЬ!V92+МАРТ!V92+АПРЕЛЬ!V92</f>
        <v>5294.01</v>
      </c>
      <c r="W92" s="93">
        <f>ДЕКАБРЬ!W92+ЯНВАРЬ!W92+ФЕВРАЛЬ!W92+МАРТ!W92+АПРЕЛЬ!W92</f>
        <v>-1904.01</v>
      </c>
      <c r="X92" s="92">
        <f t="shared" si="39"/>
        <v>3390</v>
      </c>
      <c r="Y92" s="93">
        <f>ДЕКАБРЬ!Y92+ЯНВАРЬ!Y92+ФЕВРАЛЬ!Y92+МАРТ!Y92+АПРЕЛЬ!Y92</f>
        <v>7715.88</v>
      </c>
      <c r="Z92" s="93">
        <f>ДЕКАБРЬ!Z92+ЯНВАРЬ!Z92+ФЕВРАЛЬ!Z92+МАРТ!Z92+АПРЕЛЬ!Z92</f>
        <v>-2653.38</v>
      </c>
      <c r="AA92" s="232">
        <f t="shared" si="40"/>
        <v>5062.5</v>
      </c>
      <c r="AB92" s="92">
        <f t="shared" si="44"/>
        <v>0</v>
      </c>
      <c r="AC92" s="234">
        <f t="shared" si="41"/>
        <v>1.146598719852392E-4</v>
      </c>
      <c r="AD92" s="92">
        <f t="shared" si="42"/>
        <v>557.88</v>
      </c>
      <c r="AE92" s="93">
        <f>ДЕКАБРЬ!AE92+ЯНВАРЬ!AE92+ФЕВРАЛЬ!AE92+МАРТ!AE92+АПРЕЛЬ!AE92</f>
        <v>1927.5299999999997</v>
      </c>
      <c r="AF92" s="234">
        <f t="shared" si="43"/>
        <v>0.38074666666666662</v>
      </c>
      <c r="AG92" s="93">
        <f>ДЕКАБРЬ!AG92+ЯНВАРЬ!AG92+ФЕВРАЛЬ!AG92+МАРТ!AG92+АПРЕЛЬ!AG92</f>
        <v>3266.0299999999997</v>
      </c>
      <c r="AH92" s="93">
        <f>ДЕКАБРЬ!AH92+ЯНВАРЬ!AH92+ФЕВРАЛЬ!AH92+МАРТ!AH92+АПРЕЛЬ!AH92</f>
        <v>0</v>
      </c>
      <c r="AI92" s="93">
        <f>ДЕКАБРЬ!AI92+ЯНВАРЬ!AI92+ФЕВРАЛЬ!AI92+МАРТ!AI92+АПРЕЛЬ!AI92</f>
        <v>4088</v>
      </c>
      <c r="AJ92" s="93">
        <f>АПРЕЛЬ!AJ92</f>
        <v>359</v>
      </c>
      <c r="AK92" s="93"/>
      <c r="AL92" s="93">
        <f>ДЕКАБРЬ!AL92+ЯНВАРЬ!AL92+ФЕВРАЛЬ!AL92+МАРТ!AL92+АПРЕЛЬ!AL92</f>
        <v>563.63440465029214</v>
      </c>
      <c r="AM92" s="93">
        <f>ДЕКАБРЬ!AM92+ЯНВАРЬ!AM92+ФЕВРАЛЬ!AM92+МАРТ!AM92+АПРЕЛЬ!AM92</f>
        <v>0</v>
      </c>
      <c r="AN92" s="93">
        <f>ДЕКАБРЬ!AN92+ЯНВАРЬ!AN92+ФЕВРАЛЬ!AN92+МАРТ!AN92+АПРЕЛЬ!AN92</f>
        <v>251.95472004350933</v>
      </c>
      <c r="AO92" s="95">
        <f t="shared" si="45"/>
        <v>-5951.5291246938004</v>
      </c>
      <c r="AP92" s="96"/>
      <c r="AQ92" s="97">
        <f t="shared" si="7"/>
        <v>1265.625</v>
      </c>
      <c r="AR92" s="98">
        <f t="shared" si="26"/>
        <v>139.47</v>
      </c>
      <c r="AS92" s="98">
        <f t="shared" si="9"/>
        <v>481.88249999999994</v>
      </c>
      <c r="AT92" s="98">
        <f t="shared" si="10"/>
        <v>544.33833333333325</v>
      </c>
      <c r="AU92" s="98">
        <f t="shared" si="46"/>
        <v>741.16666666666663</v>
      </c>
      <c r="AV92" s="98">
        <f t="array" ref="AV92">_xlfn.IFS(U92=0,AO92,U92&lt;0,AO92/-U92,U92&gt;0,AO92/U92)</f>
        <v>-1487.8822811734501</v>
      </c>
      <c r="AW92" s="234">
        <f t="shared" si="35"/>
        <v>-1.1756106912975408</v>
      </c>
      <c r="AX92" s="234">
        <f t="shared" si="36"/>
        <v>-10.66811702282534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ДЕКАБРЬ!N93+ЯНВАРЬ!N93+ФЕВРАЛЬ!N93+МАРТ!N93+АПРЕЛЬ!N93</f>
        <v>26</v>
      </c>
      <c r="O93" s="89"/>
      <c r="P93" s="89"/>
      <c r="Q93" s="233"/>
      <c r="R93" s="92"/>
      <c r="S93" s="93">
        <f>ДЕКАБРЬ!S93+ЯНВАРЬ!S93+ФЕВРАЛЬ!S93+МАРТ!S93+АПРЕЛЬ!S93</f>
        <v>11</v>
      </c>
      <c r="T93" s="93">
        <f>ДЕКАБРЬ!T93+ЯНВАРЬ!T93+ФЕВРАЛЬ!T93+МАРТ!T93+АПРЕЛЬ!T93</f>
        <v>-2</v>
      </c>
      <c r="U93" s="92">
        <f t="shared" si="38"/>
        <v>9</v>
      </c>
      <c r="V93" s="93">
        <f>ДЕКАБРЬ!V93+ЯНВАРЬ!V93+ФЕВРАЛЬ!V93+МАРТ!V93+АПРЕЛЬ!V93</f>
        <v>9503.9700000000012</v>
      </c>
      <c r="W93" s="93">
        <f>ДЕКАБРЬ!W93+ЯНВАРЬ!W93+ФЕВРАЛЬ!W93+МАРТ!W93+АПРЕЛЬ!W93</f>
        <v>-1887</v>
      </c>
      <c r="X93" s="92">
        <f t="shared" si="39"/>
        <v>7616.9700000000012</v>
      </c>
      <c r="Y93" s="93">
        <f>ДЕКАБРЬ!Y93+ЯНВАРЬ!Y93+ФЕВРАЛЬ!Y93+МАРТ!Y93+АПРЕЛЬ!Y93</f>
        <v>14152.18</v>
      </c>
      <c r="Z93" s="93">
        <f>ДЕКАБРЬ!Z93+ЯНВАРЬ!Z93+ФЕВРАЛЬ!Z93+МАРТ!Z93+АПРЕЛЬ!Z93</f>
        <v>-2592</v>
      </c>
      <c r="AA93" s="232">
        <f t="shared" si="40"/>
        <v>11560.18</v>
      </c>
      <c r="AB93" s="92">
        <f t="shared" si="44"/>
        <v>0</v>
      </c>
      <c r="AC93" s="234">
        <f t="shared" si="41"/>
        <v>2.6182494003482913E-4</v>
      </c>
      <c r="AD93" s="92">
        <f t="shared" si="42"/>
        <v>1255.23</v>
      </c>
      <c r="AE93" s="93">
        <f>ДЕКАБРЬ!AE93+ЯНВАРЬ!AE93+ФЕВРАЛЬ!AE93+МАРТ!AE93+АПРЕЛЬ!AE93</f>
        <v>4382.9499999999989</v>
      </c>
      <c r="AF93" s="234">
        <f t="shared" si="43"/>
        <v>0.37914202027996091</v>
      </c>
      <c r="AG93" s="93">
        <f>ДЕКАБРЬ!AG93+ЯНВАРЬ!AG93+ФЕВРАЛЬ!AG93+МАРТ!AG93+АПРЕЛЬ!AG93</f>
        <v>2038.9099999999999</v>
      </c>
      <c r="AH93" s="93">
        <f>ДЕКАБРЬ!AH93+ЯНВАРЬ!AH93+ФЕВРАЛЬ!AH93+МАРТ!AH93+АПРЕЛЬ!AH93</f>
        <v>0</v>
      </c>
      <c r="AI93" s="93">
        <f>ДЕКАБРЬ!AI93+ЯНВАРЬ!AI93+ФЕВРАЛЬ!AI93+МАРТ!AI93+АПРЕЛЬ!AI93</f>
        <v>0</v>
      </c>
      <c r="AJ93" s="93">
        <f>АПРЕЛЬ!AJ93</f>
        <v>0</v>
      </c>
      <c r="AK93" s="93"/>
      <c r="AL93" s="93">
        <f>ДЕКАБРЬ!AL93+ЯНВАРЬ!AL93+ФЕВРАЛЬ!AL93+МАРТ!AL93+АПРЕЛЬ!AL93</f>
        <v>509.2402978169448</v>
      </c>
      <c r="AM93" s="93">
        <f>ДЕКАБРЬ!AM93+ЯНВАРЬ!AM93+ФЕВРАЛЬ!AM93+МАРТ!AM93+АПРЕЛЬ!AM93</f>
        <v>0</v>
      </c>
      <c r="AN93" s="93">
        <f>ДЕКАБРЬ!AN93+ЯНВАРЬ!AN93+ФЕВРАЛЬ!AN93+МАРТ!AN93+АПРЕЛЬ!AN93</f>
        <v>482.25143805572424</v>
      </c>
      <c r="AO93" s="95">
        <f t="shared" si="45"/>
        <v>2891.5982641273331</v>
      </c>
      <c r="AP93" s="96"/>
      <c r="AQ93" s="97">
        <f t="shared" si="7"/>
        <v>1284.4644444444446</v>
      </c>
      <c r="AR93" s="98">
        <f t="shared" si="26"/>
        <v>139.47</v>
      </c>
      <c r="AS93" s="98">
        <f t="shared" si="9"/>
        <v>486.9944444444443</v>
      </c>
      <c r="AT93" s="98">
        <f t="shared" si="10"/>
        <v>185.35545454545453</v>
      </c>
      <c r="AU93" s="98">
        <f t="shared" si="46"/>
        <v>0</v>
      </c>
      <c r="AV93" s="98">
        <f t="array" ref="AV93">_xlfn.IFS(U93=0,AO93,U93&lt;0,AO93/-U93,U93&gt;0,AO93/U93)</f>
        <v>321.28869601414812</v>
      </c>
      <c r="AW93" s="234">
        <f t="shared" si="35"/>
        <v>0.25013436331677646</v>
      </c>
      <c r="AX93" s="234">
        <f t="shared" si="36"/>
        <v>2.3036401807854601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ДЕКАБРЬ!N94+ЯНВАРЬ!N94+ФЕВРАЛЬ!N94+МАРТ!N94+АПРЕЛЬ!N94</f>
        <v>3</v>
      </c>
      <c r="O94" s="89"/>
      <c r="P94" s="89"/>
      <c r="Q94" s="233"/>
      <c r="R94" s="92"/>
      <c r="S94" s="93">
        <f>ДЕКАБРЬ!S94+ЯНВАРЬ!S94+ФЕВРАЛЬ!S94+МАРТ!S94+АПРЕЛЬ!S94</f>
        <v>2</v>
      </c>
      <c r="T94" s="93">
        <f>ДЕКАБРЬ!T94+ЯНВАРЬ!T94+ФЕВРАЛЬ!T94+МАРТ!T94+АПРЕЛЬ!T94</f>
        <v>0</v>
      </c>
      <c r="U94" s="92">
        <f t="shared" si="38"/>
        <v>2</v>
      </c>
      <c r="V94" s="93">
        <f>ДЕКАБРЬ!V94+ЯНВАРЬ!V94+ФЕВРАЛЬ!V94+МАРТ!V94+АПРЕЛЬ!V94</f>
        <v>1644</v>
      </c>
      <c r="W94" s="93">
        <f>ДЕКАБРЬ!W94+ЯНВАРЬ!W94+ФЕВРАЛЬ!W94+МАРТ!W94+АПРЕЛЬ!W94</f>
        <v>0</v>
      </c>
      <c r="X94" s="92">
        <f t="shared" si="39"/>
        <v>1644</v>
      </c>
      <c r="Y94" s="93">
        <f>ДЕКАБРЬ!Y94+ЯНВАРЬ!Y94+ФЕВРАЛЬ!Y94+МАРТ!Y94+АПРЕЛЬ!Y94</f>
        <v>2555.09</v>
      </c>
      <c r="Z94" s="93">
        <f>ДЕКАБРЬ!Z94+ЯНВАРЬ!Z94+ФЕВРАЛЬ!Z94+МАРТ!Z94+АПРЕЛЬ!Z94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5.7869884900891818E-5</v>
      </c>
      <c r="AD94" s="92">
        <f t="shared" si="42"/>
        <v>800.16</v>
      </c>
      <c r="AE94" s="93">
        <f>ДЕКАБРЬ!AE94+ЯНВАРЬ!AE94+ФЕВРАЛЬ!AE94+МАРТ!AE94+АПРЕЛЬ!AE94</f>
        <v>955.21999999999991</v>
      </c>
      <c r="AF94" s="234">
        <f t="shared" si="43"/>
        <v>0.37384984481955619</v>
      </c>
      <c r="AG94" s="93">
        <f>ДЕКАБРЬ!AG94+ЯНВАРЬ!AG94+ФЕВРАЛЬ!AG94+МАРТ!AG94+АПРЕЛЬ!AG94</f>
        <v>218.23</v>
      </c>
      <c r="AH94" s="93">
        <f>ДЕКАБРЬ!AH94+ЯНВАРЬ!AH94+ФЕВРАЛЬ!AH94+МАРТ!AH94+АПРЕЛЬ!AH94</f>
        <v>0</v>
      </c>
      <c r="AI94" s="93">
        <f>ДЕКАБРЬ!AI94+ЯНВАРЬ!AI94+ФЕВРАЛЬ!AI94+МАРТ!AI94+АПРЕЛЬ!AI94</f>
        <v>0</v>
      </c>
      <c r="AJ94" s="93">
        <f>АПРЕЛЬ!AJ94</f>
        <v>0</v>
      </c>
      <c r="AK94" s="93"/>
      <c r="AL94" s="93">
        <f>ДЕКАБРЬ!AL94+ЯНВАРЬ!AL94+ФЕВРАЛЬ!AL94+МАРТ!AL94+АПРЕЛЬ!AL94</f>
        <v>6.9949184371767323</v>
      </c>
      <c r="AM94" s="93">
        <f>ДЕКАБРЬ!AM94+ЯНВАРЬ!AM94+ФЕВРАЛЬ!AM94+МАРТ!AM94+АПРЕЛЬ!AM94</f>
        <v>0</v>
      </c>
      <c r="AN94" s="93">
        <f>ДЕКАБРЬ!AN94+ЯНВАРЬ!AN94+ФЕВРАЛЬ!AN94+МАРТ!AN94+АПРЕЛЬ!AN94</f>
        <v>92.028765656698113</v>
      </c>
      <c r="AO94" s="95">
        <f t="shared" si="45"/>
        <v>482.45631590612555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241.22815795306278</v>
      </c>
      <c r="AW94" s="234">
        <f t="shared" si="35"/>
        <v>0.18882165242951346</v>
      </c>
      <c r="AX94" s="234">
        <f t="shared" si="36"/>
        <v>0.60294980492167261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ДЕКАБРЬ!N95+ЯНВАРЬ!N95+ФЕВРАЛЬ!N95+МАРТ!N95+АПРЕЛЬ!N95</f>
        <v>1</v>
      </c>
      <c r="O95" s="89"/>
      <c r="P95" s="89"/>
      <c r="Q95" s="233"/>
      <c r="R95" s="92"/>
      <c r="S95" s="93">
        <f>ДЕКАБРЬ!S95+ЯНВАРЬ!S95+ФЕВРАЛЬ!S95+МАРТ!S95+АПРЕЛЬ!S95</f>
        <v>1</v>
      </c>
      <c r="T95" s="93">
        <f>ДЕКАБРЬ!T95+ЯНВАРЬ!T95+ФЕВРАЛЬ!T95+МАРТ!T95+АПРЕЛЬ!T95</f>
        <v>0</v>
      </c>
      <c r="U95" s="92">
        <f t="shared" si="38"/>
        <v>1</v>
      </c>
      <c r="V95" s="93">
        <f>ДЕКАБРЬ!V95+ЯНВАРЬ!V95+ФЕВРАЛЬ!V95+МАРТ!V95+АПРЕЛЬ!V95</f>
        <v>1025</v>
      </c>
      <c r="W95" s="93">
        <f>ДЕКАБРЬ!W95+ЯНВАРЬ!W95+ФЕВРАЛЬ!W95+МАРТ!W95+АПРЕЛЬ!W95</f>
        <v>0</v>
      </c>
      <c r="X95" s="92">
        <f t="shared" si="39"/>
        <v>1025</v>
      </c>
      <c r="Y95" s="93">
        <f>ДЕКАБРЬ!Y95+ЯНВАРЬ!Y95+ФЕВРАЛЬ!Y95+МАРТ!Y95+АПРЕЛЬ!Y95</f>
        <v>1647</v>
      </c>
      <c r="Z95" s="93">
        <f>ДЕКАБРЬ!Z95+ЯНВАРЬ!Z95+ФЕВРАЛЬ!Z95+МАРТ!Z95+АПРЕЛЬ!Z95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3.7302678352531153E-5</v>
      </c>
      <c r="AD95" s="92">
        <f t="shared" si="42"/>
        <v>400.08</v>
      </c>
      <c r="AE95" s="93">
        <f>ДЕКАБРЬ!AE95+ЯНВАРЬ!AE95+ФЕВРАЛЬ!AE95+МАРТ!AE95+АПРЕЛЬ!AE95</f>
        <v>607.45000000000005</v>
      </c>
      <c r="AF95" s="234">
        <f t="shared" si="43"/>
        <v>0.36882210078931393</v>
      </c>
      <c r="AG95" s="93">
        <f>ДЕКАБРЬ!AG95+ЯНВАРЬ!AG95+ФЕВРАЛЬ!AG95+МАРТ!AG95+АПРЕЛЬ!AG95</f>
        <v>34.799999999999997</v>
      </c>
      <c r="AH95" s="93">
        <f>ДЕКАБРЬ!AH95+ЯНВАРЬ!AH95+ФЕВРАЛЬ!AH95+МАРТ!AH95+АПРЕЛЬ!AH95</f>
        <v>0</v>
      </c>
      <c r="AI95" s="93">
        <f>ДЕКАБРЬ!AI95+ЯНВАРЬ!AI95+ФЕВРАЛЬ!AI95+МАРТ!AI95+АПРЕЛЬ!AI95</f>
        <v>0</v>
      </c>
      <c r="AJ95" s="93">
        <f>АПРЕЛЬ!AJ95</f>
        <v>0</v>
      </c>
      <c r="AK95" s="93"/>
      <c r="AL95" s="93">
        <f>ДЕКАБРЬ!AL95+ЯНВАРЬ!AL95+ФЕВРАЛЬ!AL95+МАРТ!AL95+АПРЕЛЬ!AL95</f>
        <v>3.4974592185883662</v>
      </c>
      <c r="AM95" s="93">
        <f>ДЕКАБРЬ!AM95+ЯНВАРЬ!AM95+ФЕВРАЛЬ!AM95+МАРТ!AM95+АПРЕЛЬ!AM95</f>
        <v>0</v>
      </c>
      <c r="AN95" s="93">
        <f>ДЕКАБРЬ!AN95+ЯНВАРЬ!AN95+ФЕВРАЛЬ!AN95+МАРТ!AN95+АПРЕЛЬ!AN95</f>
        <v>57.551606948479609</v>
      </c>
      <c r="AO95" s="95">
        <f t="shared" si="45"/>
        <v>543.62093383293211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543.62093383293211</v>
      </c>
      <c r="AW95" s="234">
        <f t="shared" si="35"/>
        <v>0.33006735508981916</v>
      </c>
      <c r="AX95" s="234">
        <f t="shared" si="36"/>
        <v>1.3587805784666369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ДЕКАБРЬ!N96+ЯНВАРЬ!N96+ФЕВРАЛЬ!N96+МАРТ!N96+АПРЕЛЬ!N96</f>
        <v>1</v>
      </c>
      <c r="O96" s="89"/>
      <c r="P96" s="89"/>
      <c r="Q96" s="233"/>
      <c r="R96" s="92"/>
      <c r="S96" s="93">
        <f>ДЕКАБРЬ!S96+ЯНВАРЬ!S96+ФЕВРАЛЬ!S96+МАРТ!S96+АПРЕЛЬ!S96</f>
        <v>1</v>
      </c>
      <c r="T96" s="93">
        <f>ДЕКАБРЬ!T96+ЯНВАРЬ!T96+ФЕВРАЛЬ!T96+МАРТ!T96+АПРЕЛЬ!T96</f>
        <v>0</v>
      </c>
      <c r="U96" s="92">
        <f t="shared" si="38"/>
        <v>1</v>
      </c>
      <c r="V96" s="93">
        <f>ДЕКАБРЬ!V96+ЯНВАРЬ!V96+ФЕВРАЛЬ!V96+МАРТ!V96+АПРЕЛЬ!V96</f>
        <v>684</v>
      </c>
      <c r="W96" s="93">
        <f>ДЕКАБРЬ!W96+ЯНВАРЬ!W96+ФЕВРАЛЬ!W96+МАРТ!W96+АПРЕЛЬ!W96</f>
        <v>0</v>
      </c>
      <c r="X96" s="92">
        <f t="shared" si="39"/>
        <v>684</v>
      </c>
      <c r="Y96" s="93">
        <f>ДЕКАБРЬ!Y96+ЯНВАРЬ!Y96+ФЕВРАЛЬ!Y96+МАРТ!Y96+АПРЕЛЬ!Y96</f>
        <v>998</v>
      </c>
      <c r="Z96" s="93">
        <f>ДЕКАБРЬ!Z96+ЯНВАРЬ!Z96+ФЕВРАЛЬ!Z96+МАРТ!Z96+АПРЕЛЬ!Z96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2.260356587481851E-5</v>
      </c>
      <c r="AD96" s="92">
        <f t="shared" si="42"/>
        <v>300.08</v>
      </c>
      <c r="AE96" s="93">
        <f>ДЕКАБРЬ!AE96+ЯНВАРЬ!AE96+ФЕВРАЛЬ!AE96+МАРТ!AE96+АПРЕЛЬ!AE96</f>
        <v>378.91999999999996</v>
      </c>
      <c r="AF96" s="234">
        <f t="shared" si="43"/>
        <v>0.37967935871743486</v>
      </c>
      <c r="AG96" s="93">
        <f>ДЕКАБРЬ!AG96+ЯНВАРЬ!AG96+ФЕВРАЛЬ!AG96+МАРТ!AG96+АПРЕЛЬ!AG96</f>
        <v>163.6</v>
      </c>
      <c r="AH96" s="93">
        <f>ДЕКАБРЬ!AH96+ЯНВАРЬ!AH96+ФЕВРАЛЬ!AH96+МАРТ!AH96+АПРЕЛЬ!AH96</f>
        <v>0</v>
      </c>
      <c r="AI96" s="93">
        <f>ДЕКАБРЬ!AI96+ЯНВАРЬ!AI96+ФЕВРАЛЬ!AI96+МАРТ!AI96+АПРЕЛЬ!AI96</f>
        <v>0</v>
      </c>
      <c r="AJ96" s="93">
        <f>АПРЕЛЬ!AJ96</f>
        <v>0</v>
      </c>
      <c r="AK96" s="93"/>
      <c r="AL96" s="93">
        <f>ДЕКАБРЬ!AL96+ЯНВАРЬ!AL96+ФЕВРАЛЬ!AL96+МАРТ!AL96+АПРЕЛЬ!AL96</f>
        <v>3.4974592185883662</v>
      </c>
      <c r="AM96" s="93">
        <f>ДЕКАБРЬ!AM96+ЯНВАРЬ!AM96+ФЕВРАЛЬ!AM96+МАРТ!AM96+АПРЕЛЬ!AM96</f>
        <v>0</v>
      </c>
      <c r="AN96" s="93">
        <f>ДЕКАБРЬ!AN96+ЯНВАРЬ!AN96+ФЕВРАЛЬ!AN96+МАРТ!AN96+АПРЕЛЬ!AN96</f>
        <v>41.520435379884496</v>
      </c>
      <c r="AO96" s="95">
        <f t="shared" si="45"/>
        <v>110.38210540152724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110.38210540152724</v>
      </c>
      <c r="AW96" s="234">
        <f t="shared" si="35"/>
        <v>0.1106033120255784</v>
      </c>
      <c r="AX96" s="234">
        <f t="shared" si="36"/>
        <v>0.36784226006907239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ДЕКАБРЬ!N97+ЯНВАРЬ!N97+ФЕВРАЛЬ!N97+МАРТ!N97+АПРЕЛЬ!N97</f>
        <v>13</v>
      </c>
      <c r="O97" s="89"/>
      <c r="P97" s="89"/>
      <c r="Q97" s="233"/>
      <c r="R97" s="92"/>
      <c r="S97" s="93">
        <f>ДЕКАБРЬ!S97+ЯНВАРЬ!S97+ФЕВРАЛЬ!S97+МАРТ!S97+АПРЕЛЬ!S97</f>
        <v>2</v>
      </c>
      <c r="T97" s="93">
        <f>ДЕКАБРЬ!T97+ЯНВАРЬ!T97+ФЕВРАЛЬ!T97+МАРТ!T97+АПРЕЛЬ!T97</f>
        <v>0</v>
      </c>
      <c r="U97" s="92">
        <f t="shared" si="38"/>
        <v>2</v>
      </c>
      <c r="V97" s="93">
        <f>ДЕКАБРЬ!V97+ЯНВАРЬ!V97+ФЕВРАЛЬ!V97+МАРТ!V97+АПРЕЛЬ!V97</f>
        <v>1880</v>
      </c>
      <c r="W97" s="93">
        <f>ДЕКАБРЬ!W97+ЯНВАРЬ!W97+ФЕВРАЛЬ!W97+МАРТ!W97+АПРЕЛЬ!W97</f>
        <v>0</v>
      </c>
      <c r="X97" s="92">
        <f t="shared" si="39"/>
        <v>1880</v>
      </c>
      <c r="Y97" s="93">
        <f>ДЕКАБРЬ!Y97+ЯНВАРЬ!Y97+ФЕВРАЛЬ!Y97+МАРТ!Y97+АПРЕЛЬ!Y97</f>
        <v>2988</v>
      </c>
      <c r="Z97" s="93">
        <f>ДЕКАБРЬ!Z97+ЯНВАРЬ!Z97+ФЕВРАЛЬ!Z97+МАРТ!Z97+АПРЕЛЬ!Z97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6.7674804442843396E-5</v>
      </c>
      <c r="AD97" s="92">
        <f t="shared" si="42"/>
        <v>800.16</v>
      </c>
      <c r="AE97" s="93">
        <f>ДЕКАБРЬ!AE97+ЯНВАРЬ!AE97+ФЕВРАЛЬ!AE97+МАРТ!AE97+АПРЕЛЬ!AE97</f>
        <v>1111.8899999999999</v>
      </c>
      <c r="AF97" s="234">
        <f t="shared" si="43"/>
        <v>0.37211847389558228</v>
      </c>
      <c r="AG97" s="93">
        <f>ДЕКАБРЬ!AG97+ЯНВАРЬ!AG97+ФЕВРАЛЬ!AG97+МАРТ!AG97+АПРЕЛЬ!AG97</f>
        <v>895.08</v>
      </c>
      <c r="AH97" s="93">
        <f>ДЕКАБРЬ!AH97+ЯНВАРЬ!AH97+ФЕВРАЛЬ!AH97+МАРТ!AH97+АПРЕЛЬ!AH97</f>
        <v>0</v>
      </c>
      <c r="AI97" s="93">
        <f>ДЕКАБРЬ!AI97+ЯНВАРЬ!AI97+ФЕВРАЛЬ!AI97+МАРТ!AI97+АПРЕЛЬ!AI97</f>
        <v>0</v>
      </c>
      <c r="AJ97" s="93">
        <f>АПРЕЛЬ!AJ97</f>
        <v>0</v>
      </c>
      <c r="AK97" s="93"/>
      <c r="AL97" s="93">
        <f>ДЕКАБРЬ!AL97+ЯНВАРЬ!AL97+ФЕВРАЛЬ!AL97+МАРТ!AL97+АПРЕЛЬ!AL97</f>
        <v>23.146253570825415</v>
      </c>
      <c r="AM97" s="93">
        <f>ДЕКАБРЬ!AM97+ЯНВАРЬ!AM97+ФЕВРАЛЬ!AM97+МАРТ!AM97+АПРЕЛЬ!AM97</f>
        <v>0</v>
      </c>
      <c r="AN97" s="93">
        <f>ДЕКАБРЬ!AN97+ЯНВАРЬ!AN97+ФЕВРАЛЬ!AN97+МАРТ!AN97+АПРЕЛЬ!AN97</f>
        <v>104.92748313260054</v>
      </c>
      <c r="AO97" s="95">
        <f t="shared" si="45"/>
        <v>52.796263296574267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447.54</v>
      </c>
      <c r="AU97" s="98">
        <f t="shared" si="46"/>
        <v>0</v>
      </c>
      <c r="AV97" s="98">
        <f t="array" ref="AV97">_xlfn.IFS(U97=0,AO97,U97&lt;0,AO97/-U97,U97&gt;0,AO97/U97)</f>
        <v>26.398131648287134</v>
      </c>
      <c r="AW97" s="234">
        <f t="shared" si="35"/>
        <v>1.7669432160834761E-2</v>
      </c>
      <c r="AX97" s="234">
        <f t="shared" si="36"/>
        <v>6.5982132694179005E-2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ДЕКАБРЬ!N98+ЯНВАРЬ!N98+ФЕВРАЛЬ!N98+МАРТ!N98+АПРЕЛЬ!N98</f>
        <v>17</v>
      </c>
      <c r="O98" s="89"/>
      <c r="P98" s="89"/>
      <c r="Q98" s="233"/>
      <c r="R98" s="92"/>
      <c r="S98" s="93">
        <f>ДЕКАБРЬ!S98+ЯНВАРЬ!S98+ФЕВРАЛЬ!S98+МАРТ!S98+АПРЕЛЬ!S98</f>
        <v>9</v>
      </c>
      <c r="T98" s="93">
        <f>ДЕКАБРЬ!T98+ЯНВАРЬ!T98+ФЕВРАЛЬ!T98+МАРТ!T98+АПРЕЛЬ!T98</f>
        <v>0</v>
      </c>
      <c r="U98" s="92">
        <f t="shared" si="38"/>
        <v>9</v>
      </c>
      <c r="V98" s="93">
        <f>ДЕКАБРЬ!V98+ЯНВАРЬ!V98+ФЕВРАЛЬ!V98+МАРТ!V98+АПРЕЛЬ!V98</f>
        <v>5562.43</v>
      </c>
      <c r="W98" s="93">
        <f>ДЕКАБРЬ!W98+ЯНВАРЬ!W98+ФЕВРАЛЬ!W98+МАРТ!W98+АПРЕЛЬ!W98</f>
        <v>0</v>
      </c>
      <c r="X98" s="92">
        <f t="shared" si="39"/>
        <v>5562.43</v>
      </c>
      <c r="Y98" s="93">
        <f>ДЕКАБРЬ!Y98+ЯНВАРЬ!Y98+ФЕВРАЛЬ!Y98+МАРТ!Y98+АПРЕЛЬ!Y98</f>
        <v>7901.57</v>
      </c>
      <c r="Z98" s="93">
        <f>ДЕКАБРЬ!Z98+ЯНВАРЬ!Z98+ФЕВРАЛЬ!Z98+МАРТ!Z98+АПРЕЛЬ!Z98</f>
        <v>0</v>
      </c>
      <c r="AA98" s="232">
        <f t="shared" si="40"/>
        <v>7901.57</v>
      </c>
      <c r="AB98" s="92">
        <f t="shared" si="44"/>
        <v>0</v>
      </c>
      <c r="AC98" s="234">
        <f t="shared" si="41"/>
        <v>1.7896158117183337E-4</v>
      </c>
      <c r="AD98" s="92">
        <f t="shared" si="42"/>
        <v>2700.72</v>
      </c>
      <c r="AE98" s="93">
        <f>ДЕКАБРЬ!AE98+ЯНВАРЬ!AE98+ФЕВРАЛЬ!AE98+МАРТ!AE98+АПРЕЛЬ!AE98</f>
        <v>3007.55</v>
      </c>
      <c r="AF98" s="234">
        <f t="shared" si="43"/>
        <v>0.38062688807414224</v>
      </c>
      <c r="AG98" s="93">
        <f>ДЕКАБРЬ!AG98+ЯНВАРЬ!AG98+ФЕВРАЛЬ!AG98+МАРТ!AG98+АПРЕЛЬ!AG98</f>
        <v>1138.3699999999999</v>
      </c>
      <c r="AH98" s="93">
        <f>ДЕКАБРЬ!AH98+ЯНВАРЬ!AH98+ФЕВРАЛЬ!AH98+МАРТ!AH98+АПРЕЛЬ!AH98</f>
        <v>0</v>
      </c>
      <c r="AI98" s="93">
        <f>ДЕКАБРЬ!AI98+ЯНВАРЬ!AI98+ФЕВРАЛЬ!AI98+МАРТ!AI98+АПРЕЛЬ!AI98</f>
        <v>0</v>
      </c>
      <c r="AJ98" s="93">
        <f>АПРЕЛЬ!AJ98</f>
        <v>0</v>
      </c>
      <c r="AK98" s="93"/>
      <c r="AL98" s="93">
        <f>ДЕКАБРЬ!AL98+ЯНВАРЬ!AL98+ФЕВРАЛЬ!AL98+МАРТ!AL98+АПРЕЛЬ!AL98</f>
        <v>136.82959492999905</v>
      </c>
      <c r="AM98" s="93">
        <f>ДЕКАБРЬ!AM98+ЯНВАРЬ!AM98+ФЕВРАЛЬ!AM98+МАРТ!AM98+АПРЕЛЬ!AM98</f>
        <v>0</v>
      </c>
      <c r="AN98" s="93">
        <f>ДЕКАБРЬ!AN98+ЯНВАРЬ!AN98+ФЕВРАЛЬ!AN98+МАРТ!AN98+АПРЕЛЬ!AN98</f>
        <v>315.7697183441386</v>
      </c>
      <c r="AO98" s="95">
        <f t="shared" si="45"/>
        <v>602.33068672586262</v>
      </c>
      <c r="AP98" s="96"/>
      <c r="AQ98" s="97">
        <f t="shared" ref="AQ98:AQ103" si="47">IF(U98=0,0,AA98/U98)</f>
        <v>877.95222222222219</v>
      </c>
      <c r="AR98" s="98">
        <f t="shared" si="26"/>
        <v>300.08</v>
      </c>
      <c r="AS98" s="98">
        <f t="shared" ref="AS98:AS103" si="48">IF(U98=0,0,AE98/U98)</f>
        <v>334.17222222222222</v>
      </c>
      <c r="AT98" s="98">
        <f t="shared" ref="AT98:AT103" si="49">IF(S98=0,AG98/1,AG98/S98)</f>
        <v>126.48555555555555</v>
      </c>
      <c r="AU98" s="98">
        <f t="shared" si="46"/>
        <v>0</v>
      </c>
      <c r="AV98" s="98">
        <f t="array" ref="AV98">_xlfn.IFS(U98=0,AO98,U98&lt;0,AO98/-U98,U98&gt;0,AO98/U98)</f>
        <v>66.925631858429185</v>
      </c>
      <c r="AW98" s="234">
        <f t="shared" si="35"/>
        <v>7.6229241369229497E-2</v>
      </c>
      <c r="AX98" s="234">
        <f t="shared" si="36"/>
        <v>0.22302596593718071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51">E99*K99</f>
        <v>0</v>
      </c>
      <c r="M99" s="89"/>
      <c r="N99" s="272">
        <f>ФЕВРАЛЬ!N99+МАРТ!N99+АПРЕЛЬ!N99</f>
        <v>1</v>
      </c>
      <c r="O99" s="89"/>
      <c r="P99" s="89"/>
      <c r="Q99" s="233"/>
      <c r="R99" s="92"/>
      <c r="S99" s="272">
        <f>ФЕВРАЛЬ!S99+МАРТ!S99+АПРЕЛЬ!S99</f>
        <v>0</v>
      </c>
      <c r="T99" s="272">
        <f>ФЕВРАЛЬ!T99+МАРТ!T99+АПРЕЛЬ!T99</f>
        <v>0</v>
      </c>
      <c r="U99" s="92">
        <f t="shared" si="38"/>
        <v>0</v>
      </c>
      <c r="V99" s="272">
        <f>ФЕВРАЛЬ!V99+МАРТ!V99+АПРЕЛЬ!V99</f>
        <v>0</v>
      </c>
      <c r="W99" s="272">
        <f>ФЕВРАЛЬ!W99+МАРТ!W99+АПРЕЛЬ!W99</f>
        <v>0</v>
      </c>
      <c r="X99" s="92">
        <f t="shared" si="39"/>
        <v>0</v>
      </c>
      <c r="Y99" s="272">
        <f>ФЕВРАЛЬ!Y99+МАРТ!Y99+АПРЕЛЬ!Y99</f>
        <v>0</v>
      </c>
      <c r="Z99" s="272">
        <f>ФЕВРАЛЬ!Z99+МАРТ!Z99+АПРЕЛЬ!Z99</f>
        <v>0</v>
      </c>
      <c r="AA99" s="232">
        <f t="shared" si="40"/>
        <v>0</v>
      </c>
      <c r="AB99" s="92">
        <f t="shared" si="44"/>
        <v>0</v>
      </c>
      <c r="AC99" s="234">
        <f t="shared" ref="AC99:AC104" si="52">AA99/$AA$127</f>
        <v>0</v>
      </c>
      <c r="AD99" s="92">
        <f t="shared" si="42"/>
        <v>0</v>
      </c>
      <c r="AE99" s="272">
        <f>ФЕВРАЛЬ!AE99+МАРТ!AE99+АПРЕЛЬ!AE99</f>
        <v>0</v>
      </c>
      <c r="AF99" s="234">
        <f t="shared" si="43"/>
        <v>0</v>
      </c>
      <c r="AG99" s="272">
        <f>ФЕВРАЛЬ!AG99+МАРТ!AG99+АПРЕЛЬ!AG99</f>
        <v>0</v>
      </c>
      <c r="AH99" s="272">
        <f>ФЕВРАЛЬ!AH99+МАРТ!AH99+АПРЕЛЬ!AH99</f>
        <v>0</v>
      </c>
      <c r="AI99" s="272">
        <f>ФЕВРАЛЬ!AI99+МАРТ!AI99+АПРЕЛЬ!AI99</f>
        <v>0</v>
      </c>
      <c r="AJ99" s="93">
        <f>АПРЕЛЬ!AJ99</f>
        <v>0</v>
      </c>
      <c r="AK99" s="93"/>
      <c r="AL99" s="272">
        <f>ФЕВРАЛЬ!AL99+МАРТ!AL99+АПРЕЛЬ!AL99</f>
        <v>0</v>
      </c>
      <c r="AM99" s="272">
        <f>ФЕВРАЛЬ!AM99+МАРТ!AM99+АПРЕЛЬ!AM99</f>
        <v>476</v>
      </c>
      <c r="AN99" s="272">
        <f>ФЕВРАЛЬ!AN99+МАРТ!AN99+АПРЕЛЬ!AN99</f>
        <v>0</v>
      </c>
      <c r="AO99" s="95">
        <f t="shared" si="45"/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ФЕВРАЛЬ!N100+МАРТ!N100+АПРЕЛЬ!N100</f>
        <v>43</v>
      </c>
      <c r="O100" s="89"/>
      <c r="P100" s="89"/>
      <c r="Q100" s="233"/>
      <c r="R100" s="92"/>
      <c r="S100" s="272">
        <f>ФЕВРАЛЬ!S100+МАРТ!S100+АПРЕЛЬ!S100</f>
        <v>19</v>
      </c>
      <c r="T100" s="272">
        <f>ФЕВРАЛЬ!T100+МАРТ!T100+АПРЕЛЬ!T100</f>
        <v>-1</v>
      </c>
      <c r="U100" s="92">
        <f t="shared" si="38"/>
        <v>18</v>
      </c>
      <c r="V100" s="272">
        <f>ФЕВРАЛЬ!V100+МАРТ!V100+АПРЕЛЬ!V100</f>
        <v>17196</v>
      </c>
      <c r="W100" s="272">
        <f>ФЕВРАЛЬ!W100+МАРТ!W100+АПРЕЛЬ!W100</f>
        <v>-834</v>
      </c>
      <c r="X100" s="92">
        <f t="shared" si="39"/>
        <v>16362</v>
      </c>
      <c r="Y100" s="272">
        <f>ФЕВРАЛЬ!Y100+МАРТ!Y100+АПРЕЛЬ!Y100</f>
        <v>26300</v>
      </c>
      <c r="Z100" s="272">
        <f>ФЕВРАЛЬ!Z100+МАРТ!Z100+АПРЕЛЬ!Z100</f>
        <v>-1300</v>
      </c>
      <c r="AA100" s="232">
        <f t="shared" si="40"/>
        <v>25000</v>
      </c>
      <c r="AB100" s="92">
        <f t="shared" si="44"/>
        <v>0</v>
      </c>
      <c r="AC100" s="234">
        <f t="shared" si="52"/>
        <v>5.6622159005056385E-4</v>
      </c>
      <c r="AD100" s="92">
        <f t="shared" si="42"/>
        <v>2573.64</v>
      </c>
      <c r="AE100" s="272">
        <f>ФЕВРАЛЬ!AE100+МАРТ!AE100+АПРЕЛЬ!AE100</f>
        <v>9470.3499999999985</v>
      </c>
      <c r="AF100" s="234">
        <f t="shared" si="43"/>
        <v>0.37881399999999993</v>
      </c>
      <c r="AG100" s="272">
        <f>ФЕВРАЛЬ!AG100+МАРТ!AG100+АПРЕЛЬ!AG100</f>
        <v>2835.1099999999997</v>
      </c>
      <c r="AH100" s="272">
        <f>ФЕВРАЛЬ!AH100+МАРТ!AH100+АПРЕЛЬ!AH100</f>
        <v>2000</v>
      </c>
      <c r="AI100" s="272">
        <f>ФЕВРАЛЬ!AI100+МАРТ!AI100+АПРЕЛЬ!AI100</f>
        <v>2500</v>
      </c>
      <c r="AJ100" s="93">
        <f>АПРЕЛЬ!AJ100</f>
        <v>0</v>
      </c>
      <c r="AK100" s="93"/>
      <c r="AL100" s="272">
        <f>ФЕВРАЛЬ!AL100+МАРТ!AL100+АПРЕЛЬ!AL100</f>
        <v>314.99223684408446</v>
      </c>
      <c r="AM100" s="272">
        <f>ФЕВРАЛЬ!AM100+МАРТ!AM100+АПРЕЛЬ!AM100</f>
        <v>0</v>
      </c>
      <c r="AN100" s="272">
        <f>ФЕВРАЛЬ!AN100+МАРТ!AN100+АПРЕЛЬ!AN100</f>
        <v>923.30062355838118</v>
      </c>
      <c r="AO100" s="95">
        <f t="shared" si="45"/>
        <v>4382.6071395975359</v>
      </c>
      <c r="AP100" s="96"/>
      <c r="AQ100" s="97">
        <f t="shared" si="47"/>
        <v>1388.8888888888889</v>
      </c>
      <c r="AR100" s="98">
        <f t="shared" si="53"/>
        <v>142.97999999999999</v>
      </c>
      <c r="AS100" s="98">
        <f t="shared" si="48"/>
        <v>526.13055555555547</v>
      </c>
      <c r="AT100" s="98">
        <f t="shared" si="49"/>
        <v>149.21631578947367</v>
      </c>
      <c r="AU100" s="98">
        <f t="shared" si="46"/>
        <v>236.84210526315789</v>
      </c>
      <c r="AV100" s="98">
        <f t="array" ref="AV100">_xlfn.IFS(U100=0,AO100,U100&lt;0,AO100/-U100,U100&gt;0,AO100/U100)</f>
        <v>243.47817442208532</v>
      </c>
      <c r="AW100" s="234">
        <f t="shared" si="54"/>
        <v>0.17530428558390143</v>
      </c>
      <c r="AX100" s="234">
        <f t="shared" si="55"/>
        <v>1.7028827417966521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ФЕВРАЛЬ!N101+МАРТ!N101+АПРЕЛЬ!N101</f>
        <v>2</v>
      </c>
      <c r="O101" s="89"/>
      <c r="P101" s="89"/>
      <c r="Q101" s="233"/>
      <c r="R101" s="92"/>
      <c r="S101" s="272">
        <f>ФЕВРАЛЬ!S101+МАРТ!S101+АПРЕЛЬ!S101</f>
        <v>2</v>
      </c>
      <c r="T101" s="272">
        <f>ФЕВРАЛЬ!T101+МАРТ!T101+АПРЕЛЬ!T101</f>
        <v>0</v>
      </c>
      <c r="U101" s="92">
        <f t="shared" si="38"/>
        <v>2</v>
      </c>
      <c r="V101" s="272">
        <f>ФЕВРАЛЬ!V101+МАРТ!V101+АПРЕЛЬ!V101</f>
        <v>1254.94</v>
      </c>
      <c r="W101" s="272">
        <f>ФЕВРАЛЬ!W101+МАРТ!W101+АПРЕЛЬ!W101</f>
        <v>0</v>
      </c>
      <c r="X101" s="92">
        <f t="shared" si="39"/>
        <v>1254.94</v>
      </c>
      <c r="Y101" s="272">
        <f>ФЕВРАЛЬ!Y101+МАРТ!Y101+АПРЕЛЬ!Y101</f>
        <v>1799.94</v>
      </c>
      <c r="Z101" s="272">
        <f>ФЕВРАЛЬ!Z101+МАРТ!Z101+АПРЕЛЬ!Z101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4.0766595551824479E-5</v>
      </c>
      <c r="AD101" s="92">
        <f t="shared" si="42"/>
        <v>246.18</v>
      </c>
      <c r="AE101" s="272">
        <f>ФЕВРАЛЬ!AE101+МАРТ!AE101+АПРЕЛЬ!AE101</f>
        <v>748.51</v>
      </c>
      <c r="AF101" s="234">
        <f t="shared" si="43"/>
        <v>0.41585275064724375</v>
      </c>
      <c r="AG101" s="272">
        <f>ФЕВРАЛЬ!AG101+МАРТ!AG101+АПРЕЛЬ!AG101</f>
        <v>116.58</v>
      </c>
      <c r="AH101" s="272">
        <f>ФЕВРАЛЬ!AH101+МАРТ!AH101+АПРЕЛЬ!AH101</f>
        <v>0</v>
      </c>
      <c r="AI101" s="272">
        <f>ФЕВРАЛЬ!AI101+МАРТ!AI101+АПРЕЛЬ!AI101</f>
        <v>0</v>
      </c>
      <c r="AJ101" s="93">
        <f>АПРЕЛЬ!AJ101</f>
        <v>0</v>
      </c>
      <c r="AK101" s="93"/>
      <c r="AL101" s="272">
        <f>ФЕВРАЛЬ!AL101+МАРТ!AL101+АПРЕЛЬ!AL101</f>
        <v>0</v>
      </c>
      <c r="AM101" s="272">
        <f>ФЕВРАЛЬ!AM101+МАРТ!AM101+АПРЕЛЬ!AM101</f>
        <v>0</v>
      </c>
      <c r="AN101" s="272">
        <f>ФЕВРАЛЬ!AN101+МАРТ!AN101+АПРЕЛЬ!AN101</f>
        <v>70.462257194073175</v>
      </c>
      <c r="AO101" s="95">
        <f t="shared" si="45"/>
        <v>618.20774280592673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309.10387140296336</v>
      </c>
      <c r="AW101" s="234">
        <f t="shared" si="54"/>
        <v>0.3434601946764485</v>
      </c>
      <c r="AX101" s="234">
        <f t="shared" si="55"/>
        <v>2.5112021399217106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ФЕВРАЛЬ!N102+МАРТ!N102+АПРЕЛЬ!N102</f>
        <v>258</v>
      </c>
      <c r="O102" s="89"/>
      <c r="P102" s="89"/>
      <c r="Q102" s="233"/>
      <c r="R102" s="92"/>
      <c r="S102" s="272">
        <f>ФЕВРАЛЬ!S102+МАРТ!S102+АПРЕЛЬ!S102</f>
        <v>83</v>
      </c>
      <c r="T102" s="272">
        <f>ФЕВРАЛЬ!T102+МАРТ!T102+АПРЕЛЬ!T102</f>
        <v>-6</v>
      </c>
      <c r="U102" s="92">
        <f t="shared" si="38"/>
        <v>77</v>
      </c>
      <c r="V102" s="272">
        <f>ФЕВРАЛЬ!V102+МАРТ!V102+АПРЕЛЬ!V102</f>
        <v>71386.66</v>
      </c>
      <c r="W102" s="272">
        <f>ФЕВРАЛЬ!W102+МАРТ!W102+АПРЕЛЬ!W102</f>
        <v>-4897</v>
      </c>
      <c r="X102" s="92">
        <f t="shared" si="39"/>
        <v>66489.66</v>
      </c>
      <c r="Y102" s="272">
        <f>ФЕВРАЛЬ!Y102+МАРТ!Y102+АПРЕЛЬ!Y102</f>
        <v>107901.19</v>
      </c>
      <c r="Z102" s="272">
        <f>ФЕВРАЛЬ!Z102+МАРТ!Z102+АПРЕЛЬ!Z102</f>
        <v>-7800</v>
      </c>
      <c r="AA102" s="232">
        <f t="shared" si="40"/>
        <v>100101.19</v>
      </c>
      <c r="AB102" s="92">
        <f t="shared" si="44"/>
        <v>0</v>
      </c>
      <c r="AC102" s="234">
        <f t="shared" si="52"/>
        <v>2.2671781987101442E-3</v>
      </c>
      <c r="AD102" s="92">
        <f t="shared" si="42"/>
        <v>9477.93</v>
      </c>
      <c r="AE102" s="272">
        <f>ФЕВРАЛЬ!AE102+МАРТ!AE102+АПРЕЛЬ!AE102</f>
        <v>37799.85</v>
      </c>
      <c r="AF102" s="234">
        <f t="shared" si="43"/>
        <v>0.37761638997498431</v>
      </c>
      <c r="AG102" s="272">
        <f>ФЕВРАЛЬ!AG102+МАРТ!AG102+АПРЕЛЬ!AG102</f>
        <v>18538.059999999998</v>
      </c>
      <c r="AH102" s="272">
        <f>ФЕВРАЛЬ!AH102+МАРТ!AH102+АПРЕЛЬ!AH102</f>
        <v>10621</v>
      </c>
      <c r="AI102" s="272">
        <f>ФЕВРАЛЬ!AI102+МАРТ!AI102+АПРЕЛЬ!AI102</f>
        <v>15000</v>
      </c>
      <c r="AJ102" s="93">
        <f>АПРЕЛЬ!AJ102</f>
        <v>0</v>
      </c>
      <c r="AK102" s="93"/>
      <c r="AL102" s="272">
        <f>ФЕВРАЛЬ!AL102+МАРТ!AL102+АПРЕЛЬ!AL102</f>
        <v>721.86249808487446</v>
      </c>
      <c r="AM102" s="272">
        <f>ФЕВРАЛЬ!AM102+МАРТ!AM102+АПРЕЛЬ!AM102</f>
        <v>0</v>
      </c>
      <c r="AN102" s="272">
        <f>ФЕВРАЛЬ!AN102+МАРТ!AN102+АПРЕЛЬ!AN102</f>
        <v>3747.4717871811126</v>
      </c>
      <c r="AO102" s="95">
        <f t="shared" si="45"/>
        <v>4195.015714734026</v>
      </c>
      <c r="AP102" s="96"/>
      <c r="AQ102" s="97">
        <f t="shared" si="47"/>
        <v>1300.0154545454545</v>
      </c>
      <c r="AR102" s="98">
        <f t="shared" si="53"/>
        <v>123.09</v>
      </c>
      <c r="AS102" s="98">
        <f t="shared" si="48"/>
        <v>490.90714285714284</v>
      </c>
      <c r="AT102" s="98">
        <f t="shared" si="49"/>
        <v>223.35012048192769</v>
      </c>
      <c r="AU102" s="98">
        <f t="shared" si="46"/>
        <v>308.68674698795184</v>
      </c>
      <c r="AV102" s="98">
        <f t="array" ref="AV102">_xlfn.IFS(U102=0,AO102,U102&lt;0,AO102/-U102,U102&gt;0,AO102/U102)</f>
        <v>54.480723567974366</v>
      </c>
      <c r="AW102" s="234">
        <f t="shared" si="54"/>
        <v>4.1907750694412584E-2</v>
      </c>
      <c r="AX102" s="234">
        <f t="shared" si="55"/>
        <v>0.44260885179928805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ФЕВРАЛЬ!N103+МАРТ!N103+АПРЕЛЬ!N103</f>
        <v>1</v>
      </c>
      <c r="O103" s="89"/>
      <c r="P103" s="89"/>
      <c r="Q103" s="233"/>
      <c r="R103" s="92"/>
      <c r="S103" s="272">
        <f>ФЕВРАЛЬ!S103+МАРТ!S103+АПРЕЛЬ!S103</f>
        <v>0</v>
      </c>
      <c r="T103" s="272">
        <f>ФЕВРАЛЬ!T103+МАРТ!T103+АПРЕЛЬ!T103</f>
        <v>0</v>
      </c>
      <c r="U103" s="92">
        <f t="shared" si="38"/>
        <v>0</v>
      </c>
      <c r="V103" s="272">
        <f>ФЕВРАЛЬ!V103+МАРТ!V103+АПРЕЛЬ!V103</f>
        <v>0</v>
      </c>
      <c r="W103" s="272">
        <f>ФЕВРАЛЬ!W103+МАРТ!W103+АПРЕЛЬ!W103</f>
        <v>0</v>
      </c>
      <c r="X103" s="92">
        <f t="shared" si="39"/>
        <v>0</v>
      </c>
      <c r="Y103" s="272">
        <f>ФЕВРАЛЬ!Y103+МАРТ!Y103+АПРЕЛЬ!Y103</f>
        <v>0</v>
      </c>
      <c r="Z103" s="272">
        <f>ФЕВРАЛЬ!Z103+МАРТ!Z103+АПРЕЛЬ!Z103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ФЕВРАЛЬ!AE103+МАРТ!AE103+АПРЕЛЬ!AE103</f>
        <v>0</v>
      </c>
      <c r="AF103" s="234">
        <f t="shared" si="43"/>
        <v>0</v>
      </c>
      <c r="AG103" s="272">
        <f>ФЕВРАЛЬ!AG103+МАРТ!AG103+АПРЕЛЬ!AG103</f>
        <v>0</v>
      </c>
      <c r="AH103" s="272">
        <f>ФЕВРАЛЬ!AH103+МАРТ!AH103+АПРЕЛЬ!AH103</f>
        <v>0</v>
      </c>
      <c r="AI103" s="272">
        <f>ФЕВРАЛЬ!AI103+МАРТ!AI103+АПРЕЛЬ!AI103</f>
        <v>0</v>
      </c>
      <c r="AJ103" s="93">
        <f>АПРЕЛЬ!AJ103</f>
        <v>0</v>
      </c>
      <c r="AK103" s="93"/>
      <c r="AL103" s="272">
        <f>ФЕВРАЛЬ!AL103+МАРТ!AL103+АПРЕЛЬ!AL103</f>
        <v>0</v>
      </c>
      <c r="AM103" s="272">
        <f>ФЕВРАЛЬ!AM103+МАРТ!AM103+АПРЕЛЬ!AM103</f>
        <v>336</v>
      </c>
      <c r="AN103" s="272">
        <f>ФЕВРАЛЬ!AN103+МАРТ!AN103+АПРЕЛЬ!AN103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37"/>
        <v>0</v>
      </c>
      <c r="F104" s="93"/>
      <c r="G104" s="93"/>
      <c r="H104" s="93"/>
      <c r="I104" s="93"/>
      <c r="J104" s="93"/>
      <c r="K104" s="93">
        <v>142.97999999999999</v>
      </c>
      <c r="L104" s="92">
        <f t="shared" si="51"/>
        <v>0</v>
      </c>
      <c r="M104" s="500"/>
      <c r="N104" s="505">
        <f>АПРЕЛЬ!N104</f>
        <v>64</v>
      </c>
      <c r="O104" s="500"/>
      <c r="P104" s="500"/>
      <c r="Q104" s="242"/>
      <c r="R104" s="93"/>
      <c r="S104" s="505">
        <f>АПРЕЛЬ!S104</f>
        <v>30</v>
      </c>
      <c r="T104" s="505">
        <f>АПРЕЛЬ!T104</f>
        <v>0</v>
      </c>
      <c r="U104" s="92">
        <f t="shared" si="38"/>
        <v>30</v>
      </c>
      <c r="V104" s="505">
        <f>АПРЕЛЬ!V104</f>
        <v>54365.89</v>
      </c>
      <c r="W104" s="505">
        <f>АПРЕЛЬ!W104</f>
        <v>0</v>
      </c>
      <c r="X104" s="92">
        <f t="shared" si="39"/>
        <v>54365.89</v>
      </c>
      <c r="Y104" s="505">
        <f>АПРЕЛЬ!Y104</f>
        <v>59649.759999999995</v>
      </c>
      <c r="Z104" s="505">
        <f>АПРЕЛЬ!Z104</f>
        <v>0</v>
      </c>
      <c r="AA104" s="232">
        <f t="shared" ref="AA104" si="56">Y104+Z104</f>
        <v>59649.759999999995</v>
      </c>
      <c r="AB104" s="92">
        <f t="shared" ref="AB104" si="57">N104*O104*P104/100</f>
        <v>0</v>
      </c>
      <c r="AC104" s="234">
        <f t="shared" si="52"/>
        <v>1.3509992781333808E-3</v>
      </c>
      <c r="AD104" s="92">
        <f t="shared" si="42"/>
        <v>4289.3999999999996</v>
      </c>
      <c r="AE104" s="505">
        <f>АПРЕЛЬ!AE104</f>
        <v>10992.630000000008</v>
      </c>
      <c r="AF104" s="234">
        <f t="shared" si="43"/>
        <v>0.18428624021286941</v>
      </c>
      <c r="AG104" s="505">
        <f>АПРЕЛЬ!AG104</f>
        <v>1198.8800000000001</v>
      </c>
      <c r="AH104" s="505">
        <f>АПРЕЛЬ!AH104</f>
        <v>0</v>
      </c>
      <c r="AI104" s="505">
        <f>АПРЕЛЬ!AI104</f>
        <v>294</v>
      </c>
      <c r="AJ104" s="93">
        <f>АПРЕЛЬ!AJ104</f>
        <v>6930</v>
      </c>
      <c r="AK104" s="93"/>
      <c r="AL104" s="505">
        <f>АПРЕЛЬ!AL104</f>
        <v>242.38386192940754</v>
      </c>
      <c r="AM104" s="505">
        <f>АПРЕЛЬ!AM104</f>
        <v>0</v>
      </c>
      <c r="AN104" s="505">
        <f>АПРЕЛЬ!AN104</f>
        <v>3104.2923189999997</v>
      </c>
      <c r="AO104" s="95">
        <f>AA104-AD104-AE104-AG104-AH104-AI104-AJ104-AK104-AL104-AN104-AM104</f>
        <v>32598.173819070573</v>
      </c>
      <c r="AP104" s="123"/>
      <c r="AQ104" s="97">
        <f t="shared" ref="AQ104" si="58">IF(U104=0,0,AA104/U104)</f>
        <v>1988.3253333333332</v>
      </c>
      <c r="AR104" s="98">
        <f t="shared" ref="AR104" si="59">K104</f>
        <v>142.97999999999999</v>
      </c>
      <c r="AS104" s="98">
        <f t="shared" ref="AS104" si="60">IF(U104=0,0,AE104/U104)</f>
        <v>366.42100000000028</v>
      </c>
      <c r="AT104" s="98">
        <f t="shared" ref="AT104" si="61">IF(S104=0,AG104/1,AG104/S104)</f>
        <v>39.962666666666671</v>
      </c>
      <c r="AU104" s="98">
        <f t="shared" ref="AU104" si="62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63">IF(AQ104=0,0,AV104/AQ104)</f>
        <v>0.54649295854787305</v>
      </c>
      <c r="AX104" s="234">
        <f t="shared" ref="AX104" si="64">IF(AR104=0,0,AV104/AR104)</f>
        <v>7.5997048116451191</v>
      </c>
      <c r="AY104" s="99"/>
      <c r="AZ104" s="94">
        <f t="shared" ref="AZ104" si="65">AV104*E104</f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3"/>
      <c r="T105" s="103"/>
      <c r="U105" s="105"/>
      <c r="V105" s="103"/>
      <c r="W105" s="103"/>
      <c r="X105" s="105"/>
      <c r="Y105" s="103"/>
      <c r="Z105" s="103"/>
      <c r="AA105" s="235"/>
      <c r="AB105" s="105"/>
      <c r="AC105" s="237"/>
      <c r="AD105" s="105"/>
      <c r="AE105" s="103"/>
      <c r="AF105" s="237"/>
      <c r="AG105" s="103"/>
      <c r="AH105" s="103"/>
      <c r="AI105" s="103"/>
      <c r="AJ105" s="103"/>
      <c r="AK105" s="106"/>
      <c r="AL105" s="107"/>
      <c r="AM105" s="103"/>
      <c r="AN105" s="103"/>
      <c r="AO105" s="109"/>
      <c r="AP105" s="110"/>
      <c r="AQ105" s="111">
        <f t="shared" ref="AQ105:AX105" si="66">AVERAGE(AQ7:AQ98)</f>
        <v>951.69707494782142</v>
      </c>
      <c r="AR105" s="111">
        <f t="shared" si="66"/>
        <v>141.22217391304349</v>
      </c>
      <c r="AS105" s="111">
        <f t="shared" si="66"/>
        <v>357.48544220677587</v>
      </c>
      <c r="AT105" s="111">
        <f t="shared" si="66"/>
        <v>209.15245123684568</v>
      </c>
      <c r="AU105" s="111">
        <f t="shared" si="66"/>
        <v>156.79204933520452</v>
      </c>
      <c r="AV105" s="111">
        <f t="shared" si="66"/>
        <v>12.414401257402323</v>
      </c>
      <c r="AW105" s="112">
        <f t="shared" si="66"/>
        <v>8.2020887427773463E-3</v>
      </c>
      <c r="AX105" s="112">
        <f t="shared" si="66"/>
        <v>2.1786197389068999E-2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7">SUM(E3:E104)</f>
        <v>0</v>
      </c>
      <c r="F106" s="116">
        <f t="shared" si="67"/>
        <v>0</v>
      </c>
      <c r="G106" s="116">
        <f t="shared" si="67"/>
        <v>0</v>
      </c>
      <c r="H106" s="116">
        <f t="shared" si="67"/>
        <v>0</v>
      </c>
      <c r="I106" s="116">
        <f t="shared" si="67"/>
        <v>0</v>
      </c>
      <c r="J106" s="116">
        <f t="shared" si="67"/>
        <v>0</v>
      </c>
      <c r="K106" s="116"/>
      <c r="L106" s="116">
        <f>SUM(L3:L104)</f>
        <v>0</v>
      </c>
      <c r="M106" s="116"/>
      <c r="N106" s="116">
        <f>SUM(N3:N104)</f>
        <v>63689</v>
      </c>
      <c r="O106" s="116"/>
      <c r="P106" s="116"/>
      <c r="Q106" s="212"/>
      <c r="R106" s="116"/>
      <c r="S106" s="116">
        <f t="shared" ref="S106:AE106" si="68">SUM(S3:S104)</f>
        <v>34178</v>
      </c>
      <c r="T106" s="116">
        <f t="shared" si="68"/>
        <v>-784</v>
      </c>
      <c r="U106" s="116">
        <f t="shared" si="68"/>
        <v>33394</v>
      </c>
      <c r="V106" s="116">
        <f t="shared" si="68"/>
        <v>30036919.490000002</v>
      </c>
      <c r="W106" s="116">
        <f t="shared" si="68"/>
        <v>-689771.02000000014</v>
      </c>
      <c r="X106" s="116">
        <f t="shared" si="68"/>
        <v>29347148.47000001</v>
      </c>
      <c r="Y106" s="116">
        <f t="shared" si="68"/>
        <v>45192267.859999992</v>
      </c>
      <c r="Z106" s="116">
        <f t="shared" si="68"/>
        <v>-1042021.27</v>
      </c>
      <c r="AA106" s="238">
        <f t="shared" si="68"/>
        <v>44150246.589999996</v>
      </c>
      <c r="AB106" s="116">
        <f t="shared" si="68"/>
        <v>0</v>
      </c>
      <c r="AC106" s="239">
        <f t="shared" si="68"/>
        <v>0.99995291301257139</v>
      </c>
      <c r="AD106" s="117">
        <f t="shared" si="68"/>
        <v>4157740.6700000004</v>
      </c>
      <c r="AE106" s="116">
        <f t="shared" si="68"/>
        <v>16582145.069999995</v>
      </c>
      <c r="AF106" s="239">
        <f>AE106/AA106</f>
        <v>0.37558442705857592</v>
      </c>
      <c r="AG106" s="116">
        <f t="shared" ref="AG106:AO106" si="69">SUM(AG3:AG104)</f>
        <v>4365555.6300000018</v>
      </c>
      <c r="AH106" s="116">
        <f t="shared" si="69"/>
        <v>1233814</v>
      </c>
      <c r="AI106" s="116">
        <f t="shared" si="69"/>
        <v>3666317</v>
      </c>
      <c r="AJ106" s="116">
        <f t="shared" si="69"/>
        <v>409686</v>
      </c>
      <c r="AK106" s="117">
        <f t="shared" si="69"/>
        <v>0</v>
      </c>
      <c r="AL106" s="117">
        <f t="shared" si="69"/>
        <v>128833.16254078141</v>
      </c>
      <c r="AM106" s="116">
        <f t="shared" si="69"/>
        <v>15472.09</v>
      </c>
      <c r="AN106" s="116">
        <f t="shared" si="69"/>
        <v>1654568.4736767304</v>
      </c>
      <c r="AO106" s="117">
        <f t="shared" si="69"/>
        <v>11936114.493782494</v>
      </c>
      <c r="AP106" s="118"/>
      <c r="AQ106" s="116"/>
      <c r="AR106" s="116"/>
      <c r="AS106" s="116"/>
      <c r="AT106" s="116"/>
      <c r="AU106" s="240">
        <f>(AH106+AI106+AJ106)/S106</f>
        <v>155.35774474808358</v>
      </c>
      <c r="AV106" s="116"/>
      <c r="AW106" s="116"/>
      <c r="AX106" s="116"/>
      <c r="AY106" s="119"/>
      <c r="AZ106" s="116">
        <f>SUM(AZ3:AZ104)</f>
        <v>0</v>
      </c>
    </row>
    <row r="107" spans="1:52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89"/>
      <c r="T107" s="89"/>
      <c r="U107" s="93"/>
      <c r="V107" s="89"/>
      <c r="W107" s="89"/>
      <c r="X107" s="93"/>
      <c r="Y107" s="89"/>
      <c r="Z107" s="89"/>
      <c r="AA107" s="241"/>
      <c r="AB107" s="93"/>
      <c r="AC107" s="243"/>
      <c r="AD107" s="93"/>
      <c r="AE107" s="89"/>
      <c r="AF107" s="243"/>
      <c r="AG107" s="89"/>
      <c r="AH107" s="89"/>
      <c r="AI107" s="89"/>
      <c r="AJ107" s="89"/>
      <c r="AK107" s="310"/>
      <c r="AL107" s="122"/>
      <c r="AM107" s="89"/>
      <c r="AN107" s="89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>
      <c r="A108" s="89" t="s">
        <v>219</v>
      </c>
      <c r="B108" s="90">
        <v>437023601</v>
      </c>
      <c r="C108" s="90" t="s">
        <v>220</v>
      </c>
      <c r="D108" s="121" t="s">
        <v>221</v>
      </c>
      <c r="E108" s="232">
        <f t="shared" ref="E108:E112" si="70">SUM(F108:J108)</f>
        <v>1</v>
      </c>
      <c r="F108" s="93"/>
      <c r="G108" s="93"/>
      <c r="H108" s="93">
        <v>0</v>
      </c>
      <c r="I108" s="93">
        <v>0</v>
      </c>
      <c r="J108" s="93">
        <v>1</v>
      </c>
      <c r="K108" s="93">
        <v>579.17999999999995</v>
      </c>
      <c r="L108" s="92">
        <f>E108*K108</f>
        <v>579.17999999999995</v>
      </c>
      <c r="M108" s="89"/>
      <c r="N108" s="93">
        <f>ДЕКАБРЬ!N102+ЯНВАРЬ!N102+ФЕВРАЛЬ!N107</f>
        <v>0</v>
      </c>
      <c r="O108" s="89"/>
      <c r="P108" s="89"/>
      <c r="Q108" s="233"/>
      <c r="R108" s="92"/>
      <c r="S108" s="93">
        <f>ДЕКАБРЬ!S102+ЯНВАРЬ!S102+ФЕВРАЛЬ!S107</f>
        <v>0</v>
      </c>
      <c r="T108" s="93">
        <f>ДЕКАБРЬ!T102+ЯНВАРЬ!T102+ФЕВРАЛЬ!T107</f>
        <v>0</v>
      </c>
      <c r="U108" s="92">
        <f t="shared" ref="U108:U112" si="71">S108+T108</f>
        <v>0</v>
      </c>
      <c r="V108" s="93">
        <f>ДЕКАБРЬ!V102+ЯНВАРЬ!V102+ФЕВРАЛЬ!V107</f>
        <v>0</v>
      </c>
      <c r="W108" s="93">
        <f>ДЕКАБРЬ!W102+ЯНВАРЬ!W102+ФЕВРАЛЬ!W107</f>
        <v>0</v>
      </c>
      <c r="X108" s="92">
        <f t="shared" ref="X108:X112" si="72">V108+W108</f>
        <v>0</v>
      </c>
      <c r="Y108" s="93">
        <f>ДЕКАБРЬ!Y102+ЯНВАРЬ!Y102+ФЕВРАЛЬ!Y107</f>
        <v>0</v>
      </c>
      <c r="Z108" s="93">
        <f>ДЕКАБРЬ!Z102+ЯНВАРЬ!Z102+ФЕВРАЛЬ!Z107</f>
        <v>0</v>
      </c>
      <c r="AA108" s="232">
        <f t="shared" ref="AA108:AA112" si="73">Y108+Z108</f>
        <v>0</v>
      </c>
      <c r="AB108" s="92">
        <f t="shared" ref="AB108:AB112" si="74">N108*O108*P108/100</f>
        <v>0</v>
      </c>
      <c r="AC108" s="234">
        <f t="shared" ref="AC108:AC112" si="75">AA108/$AA$127</f>
        <v>0</v>
      </c>
      <c r="AD108" s="92">
        <f t="shared" ref="AD108:AD112" si="76">U108*K108</f>
        <v>0</v>
      </c>
      <c r="AE108" s="93">
        <f>ДЕКАБРЬ!AE102+ЯНВАРЬ!AE102+ФЕВРАЛЬ!AE107</f>
        <v>0</v>
      </c>
      <c r="AF108" s="234">
        <f t="shared" ref="AF108:AF112" si="77">IF(AA108=0,0,AE108/AA108)</f>
        <v>0</v>
      </c>
      <c r="AG108" s="93">
        <f>ДЕКАБРЬ!AG102+ЯНВАРЬ!AG102+ФЕВРАЛЬ!AG107</f>
        <v>0</v>
      </c>
      <c r="AH108" s="93">
        <f>ДЕКАБРЬ!AH102+ЯНВАРЬ!AH102+ФЕВРАЛЬ!AH107</f>
        <v>0</v>
      </c>
      <c r="AI108" s="93">
        <f>ДЕКАБРЬ!AI102+ЯНВАРЬ!AI102+ФЕВРАЛЬ!AI107</f>
        <v>0</v>
      </c>
      <c r="AJ108" s="93">
        <f>ДЕКАБРЬ!AJ102+ЯНВАРЬ!AJ102+ФЕВРАЛЬ!AJ107</f>
        <v>0</v>
      </c>
      <c r="AK108" s="93"/>
      <c r="AL108" s="93">
        <f>ДЕКАБРЬ!AL102+ЯНВАРЬ!AL102+ФЕВРАЛЬ!AL107</f>
        <v>0</v>
      </c>
      <c r="AM108" s="93">
        <f>ДЕКАБРЬ!AM102+ЯНВАРЬ!AM102+ФЕВРАЛЬ!AM107</f>
        <v>0</v>
      </c>
      <c r="AN108" s="93">
        <f>ДЕКАБРЬ!AN102+ЯНВАРЬ!AN102+ФЕВРАЛЬ!AN107</f>
        <v>0</v>
      </c>
      <c r="AO108" s="95">
        <f>AA108-AD108-AE108-AG108-AH108-AI108-AK108-AL108-AN108-AM108</f>
        <v>0</v>
      </c>
      <c r="AP108" s="96"/>
      <c r="AQ108" s="97">
        <f t="shared" ref="AQ108:AQ112" si="78">IF(U108=0,0,AA108/U108)</f>
        <v>0</v>
      </c>
      <c r="AR108" s="98">
        <f t="shared" ref="AR108:AR112" si="79">K108</f>
        <v>579.17999999999995</v>
      </c>
      <c r="AS108" s="98">
        <f t="shared" ref="AS108:AS112" si="80">IF(U108=0,0,AE108/U108)</f>
        <v>0</v>
      </c>
      <c r="AT108" s="98">
        <f t="shared" ref="AT108:AT112" si="81">IF(S108=0,AG108/1,AG108/S108)</f>
        <v>0</v>
      </c>
      <c r="AU108" s="98">
        <f t="shared" ref="AU108:AU112" si="82"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ref="AW108:AW112" si="83">IF(AQ108=0,0,AV108/AQ108)</f>
        <v>0</v>
      </c>
      <c r="AX108" s="234">
        <f t="shared" ref="AX108:AX112" si="84">IF(AR108=0,0,AV108/AR108)</f>
        <v>0</v>
      </c>
      <c r="AY108" s="99"/>
      <c r="AZ108" s="94">
        <f t="shared" ref="AZ108:AZ112" si="85">AV108*E108</f>
        <v>0</v>
      </c>
    </row>
    <row r="109" spans="1:52">
      <c r="A109" s="89" t="s">
        <v>219</v>
      </c>
      <c r="B109" s="90">
        <v>437027509</v>
      </c>
      <c r="C109" s="90" t="s">
        <v>222</v>
      </c>
      <c r="D109" s="121" t="s">
        <v>221</v>
      </c>
      <c r="E109" s="232">
        <f t="shared" si="70"/>
        <v>2</v>
      </c>
      <c r="F109" s="93"/>
      <c r="G109" s="93"/>
      <c r="H109" s="93">
        <v>1</v>
      </c>
      <c r="I109" s="93">
        <v>0</v>
      </c>
      <c r="J109" s="93">
        <v>1</v>
      </c>
      <c r="K109" s="93">
        <v>579.17999999999995</v>
      </c>
      <c r="L109" s="92">
        <f t="shared" ref="L109:L112" si="86">E109*K109</f>
        <v>1158.3599999999999</v>
      </c>
      <c r="M109" s="89"/>
      <c r="N109" s="93">
        <f>ДЕКАБРЬ!N103+ЯНВАРЬ!N103+ФЕВРАЛЬ!N108</f>
        <v>2</v>
      </c>
      <c r="O109" s="89"/>
      <c r="P109" s="89"/>
      <c r="Q109" s="233"/>
      <c r="R109" s="92"/>
      <c r="S109" s="93">
        <f>ДЕКАБРЬ!S103+ЯНВАРЬ!S103+ФЕВРАЛЬ!S108</f>
        <v>1</v>
      </c>
      <c r="T109" s="93">
        <f>ДЕКАБРЬ!T103+ЯНВАРЬ!T103+ФЕВРАЛЬ!T108</f>
        <v>0</v>
      </c>
      <c r="U109" s="92">
        <f t="shared" si="71"/>
        <v>1</v>
      </c>
      <c r="V109" s="93">
        <f>ДЕКАБРЬ!V103+ЯНВАРЬ!V103+ФЕВРАЛЬ!V108</f>
        <v>1407</v>
      </c>
      <c r="W109" s="93">
        <f>ДЕКАБРЬ!W103+ЯНВАРЬ!W103+ФЕВРАЛЬ!W108</f>
        <v>0</v>
      </c>
      <c r="X109" s="92">
        <f t="shared" si="72"/>
        <v>1407</v>
      </c>
      <c r="Y109" s="93">
        <f>ДЕКАБРЬ!Y103+ЯНВАРЬ!Y103+ФЕВРАЛЬ!Y108</f>
        <v>2079</v>
      </c>
      <c r="Z109" s="93">
        <f>ДЕКАБРЬ!Z103+ЯНВАРЬ!Z103+ФЕВРАЛЬ!Z108</f>
        <v>0</v>
      </c>
      <c r="AA109" s="232">
        <f t="shared" si="73"/>
        <v>2079</v>
      </c>
      <c r="AB109" s="92">
        <f t="shared" si="74"/>
        <v>0</v>
      </c>
      <c r="AC109" s="234">
        <f t="shared" si="75"/>
        <v>4.7086987428604895E-5</v>
      </c>
      <c r="AD109" s="92">
        <f t="shared" si="76"/>
        <v>579.17999999999995</v>
      </c>
      <c r="AE109" s="93">
        <f>ДЕКАБРЬ!AE103+ЯНВАРЬ!AE103+ФЕВРАЛЬ!AE108</f>
        <v>763.08999999999992</v>
      </c>
      <c r="AF109" s="234">
        <f t="shared" si="77"/>
        <v>0.36704665704665701</v>
      </c>
      <c r="AG109" s="93">
        <f>ДЕКАБРЬ!AG103+ЯНВАРЬ!AG103+ФЕВРАЛЬ!AG108</f>
        <v>307.56</v>
      </c>
      <c r="AH109" s="93">
        <f>ДЕКАБРЬ!AH103+ЯНВАРЬ!AH103+ФЕВРАЛЬ!AH108</f>
        <v>0</v>
      </c>
      <c r="AI109" s="93">
        <f>ДЕКАБРЬ!AI103+ЯНВАРЬ!AI103+ФЕВРАЛЬ!AI108</f>
        <v>0</v>
      </c>
      <c r="AJ109" s="93">
        <f>ДЕКАБРЬ!AJ103+ЯНВАРЬ!AJ103+ФЕВРАЛЬ!AJ108</f>
        <v>0</v>
      </c>
      <c r="AK109" s="93"/>
      <c r="AL109" s="93">
        <f>ДЕКАБРЬ!AL103+ЯНВАРЬ!AL103+ФЕВРАЛЬ!AL108</f>
        <v>33392.707459218589</v>
      </c>
      <c r="AM109" s="93">
        <f>ДЕКАБРЬ!AM103+ЯНВАРЬ!AM103+ФЕВРАЛЬ!AM108</f>
        <v>0</v>
      </c>
      <c r="AN109" s="93">
        <f>ДЕКАБРЬ!AN103+ЯНВАРЬ!AN103+ФЕВРАЛЬ!AN108</f>
        <v>79.000108269766642</v>
      </c>
      <c r="AO109" s="95">
        <f t="shared" ref="AO109:AO111" si="87">AA109-AD109-AE109-AG109-AH109-AI109-AK109-AL109-AN109-AM109</f>
        <v>-33042.537567488354</v>
      </c>
      <c r="AP109" s="96"/>
      <c r="AQ109" s="97">
        <f t="shared" si="78"/>
        <v>2079</v>
      </c>
      <c r="AR109" s="98">
        <f t="shared" si="79"/>
        <v>579.17999999999995</v>
      </c>
      <c r="AS109" s="98">
        <f t="shared" si="80"/>
        <v>763.08999999999992</v>
      </c>
      <c r="AT109" s="98">
        <f t="shared" si="81"/>
        <v>307.56</v>
      </c>
      <c r="AU109" s="98">
        <f t="shared" si="82"/>
        <v>0</v>
      </c>
      <c r="AV109" s="98">
        <f t="array" ref="AV109">_xlfn.IFS(U109=0,AO109,U109&lt;0,AO109/-U109,U109&gt;0,AO109/U109)</f>
        <v>-33042.537567488354</v>
      </c>
      <c r="AW109" s="234">
        <f t="shared" si="83"/>
        <v>-15.893476463438361</v>
      </c>
      <c r="AX109" s="234">
        <f t="shared" si="84"/>
        <v>-57.05055003192161</v>
      </c>
      <c r="AY109" s="99"/>
      <c r="AZ109" s="94">
        <f t="shared" si="85"/>
        <v>-66085.075134976709</v>
      </c>
    </row>
    <row r="110" spans="1:52">
      <c r="A110" s="89" t="s">
        <v>219</v>
      </c>
      <c r="B110" s="90">
        <v>437097997</v>
      </c>
      <c r="C110" s="90" t="s">
        <v>223</v>
      </c>
      <c r="D110" s="121" t="s">
        <v>221</v>
      </c>
      <c r="E110" s="232">
        <f t="shared" si="70"/>
        <v>2</v>
      </c>
      <c r="F110" s="93"/>
      <c r="G110" s="93"/>
      <c r="H110" s="93">
        <v>0</v>
      </c>
      <c r="I110" s="93">
        <v>0</v>
      </c>
      <c r="J110" s="93">
        <v>2</v>
      </c>
      <c r="K110" s="93">
        <v>541.67999999999995</v>
      </c>
      <c r="L110" s="92">
        <f t="shared" si="86"/>
        <v>1083.3599999999999</v>
      </c>
      <c r="M110" s="89"/>
      <c r="N110" s="93">
        <f>ДЕКАБРЬ!N104+ЯНВАРЬ!N104+ФЕВРАЛЬ!N109</f>
        <v>0</v>
      </c>
      <c r="O110" s="89"/>
      <c r="P110" s="89"/>
      <c r="Q110" s="233"/>
      <c r="R110" s="92"/>
      <c r="S110" s="93">
        <f>ДЕКАБРЬ!S104+ЯНВАРЬ!S104+ФЕВРАЛЬ!S109</f>
        <v>0</v>
      </c>
      <c r="T110" s="93">
        <f>ДЕКАБРЬ!T104+ЯНВАРЬ!T104+ФЕВРАЛЬ!T109</f>
        <v>0</v>
      </c>
      <c r="U110" s="92">
        <f t="shared" si="71"/>
        <v>0</v>
      </c>
      <c r="V110" s="93">
        <f>ДЕКАБРЬ!V104+ЯНВАРЬ!V104+ФЕВРАЛЬ!V109</f>
        <v>0</v>
      </c>
      <c r="W110" s="93">
        <f>ДЕКАБРЬ!W104+ЯНВАРЬ!W104+ФЕВРАЛЬ!W109</f>
        <v>0</v>
      </c>
      <c r="X110" s="92">
        <f t="shared" si="72"/>
        <v>0</v>
      </c>
      <c r="Y110" s="93">
        <f>ДЕКАБРЬ!Y104+ЯНВАРЬ!Y104+ФЕВРАЛЬ!Y109</f>
        <v>0</v>
      </c>
      <c r="Z110" s="93">
        <f>ДЕКАБРЬ!Z104+ЯНВАРЬ!Z104+ФЕВРАЛЬ!Z109</f>
        <v>0</v>
      </c>
      <c r="AA110" s="232">
        <f t="shared" si="73"/>
        <v>0</v>
      </c>
      <c r="AB110" s="92">
        <f t="shared" si="74"/>
        <v>0</v>
      </c>
      <c r="AC110" s="234">
        <f t="shared" si="75"/>
        <v>0</v>
      </c>
      <c r="AD110" s="92">
        <f t="shared" si="76"/>
        <v>0</v>
      </c>
      <c r="AE110" s="93">
        <f>ДЕКАБРЬ!AE104+ЯНВАРЬ!AE104+ФЕВРАЛЬ!AE109</f>
        <v>0</v>
      </c>
      <c r="AF110" s="234">
        <f t="shared" si="77"/>
        <v>0</v>
      </c>
      <c r="AG110" s="93">
        <f>ДЕКАБРЬ!AG104+ЯНВАРЬ!AG104+ФЕВРАЛЬ!AG109</f>
        <v>0</v>
      </c>
      <c r="AH110" s="93">
        <f>ДЕКАБРЬ!AH104+ЯНВАРЬ!AH104+ФЕВРАЛЬ!AH109</f>
        <v>0</v>
      </c>
      <c r="AI110" s="93">
        <f>ДЕКАБРЬ!AI104+ЯНВАРЬ!AI104+ФЕВРАЛЬ!AI109</f>
        <v>0</v>
      </c>
      <c r="AJ110" s="93">
        <f>ДЕКАБРЬ!AJ104+ЯНВАРЬ!AJ104+ФЕВРАЛЬ!AJ109</f>
        <v>0</v>
      </c>
      <c r="AK110" s="93"/>
      <c r="AL110" s="93">
        <f>ДЕКАБРЬ!AL104+ЯНВАРЬ!AL104+ФЕВРАЛЬ!AL109</f>
        <v>0</v>
      </c>
      <c r="AM110" s="93">
        <f>ДЕКАБРЬ!AM104+ЯНВАРЬ!AM104+ФЕВРАЛЬ!AM109</f>
        <v>0</v>
      </c>
      <c r="AN110" s="93">
        <f>ДЕКАБРЬ!AN104+ЯНВАРЬ!AN104+ФЕВРАЛЬ!AN109</f>
        <v>0</v>
      </c>
      <c r="AO110" s="95">
        <f t="shared" si="87"/>
        <v>0</v>
      </c>
      <c r="AP110" s="96"/>
      <c r="AQ110" s="97">
        <f t="shared" si="78"/>
        <v>0</v>
      </c>
      <c r="AR110" s="98">
        <f t="shared" si="79"/>
        <v>541.67999999999995</v>
      </c>
      <c r="AS110" s="98">
        <f t="shared" si="80"/>
        <v>0</v>
      </c>
      <c r="AT110" s="98">
        <f t="shared" si="81"/>
        <v>0</v>
      </c>
      <c r="AU110" s="98">
        <f t="shared" si="82"/>
        <v>0</v>
      </c>
      <c r="AV110" s="98">
        <f t="array" ref="AV110">_xlfn.IFS(U110=0,AO110,U110&lt;0,AO110/-U110,U110&gt;0,AO110/U110)</f>
        <v>0</v>
      </c>
      <c r="AW110" s="234">
        <f t="shared" si="83"/>
        <v>0</v>
      </c>
      <c r="AX110" s="234">
        <f t="shared" si="84"/>
        <v>0</v>
      </c>
      <c r="AY110" s="99"/>
      <c r="AZ110" s="94">
        <f t="shared" si="85"/>
        <v>0</v>
      </c>
    </row>
    <row r="111" spans="1:52">
      <c r="A111" s="89" t="s">
        <v>219</v>
      </c>
      <c r="B111" s="90">
        <v>437061068</v>
      </c>
      <c r="C111" s="90" t="s">
        <v>224</v>
      </c>
      <c r="D111" s="121" t="s">
        <v>221</v>
      </c>
      <c r="E111" s="232">
        <f t="shared" si="7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86"/>
        <v>541.67999999999995</v>
      </c>
      <c r="M111" s="89"/>
      <c r="N111" s="93">
        <f>ДЕКАБРЬ!N105+ЯНВАРЬ!N105+ФЕВРАЛЬ!N110</f>
        <v>0</v>
      </c>
      <c r="O111" s="89"/>
      <c r="P111" s="89"/>
      <c r="Q111" s="233"/>
      <c r="R111" s="92"/>
      <c r="S111" s="93">
        <f>ДЕКАБРЬ!S105+ЯНВАРЬ!S105+ФЕВРАЛЬ!S110</f>
        <v>0</v>
      </c>
      <c r="T111" s="93">
        <f>ДЕКАБРЬ!T105+ЯНВАРЬ!T105+ФЕВРАЛЬ!T110</f>
        <v>0</v>
      </c>
      <c r="U111" s="92">
        <f t="shared" si="71"/>
        <v>0</v>
      </c>
      <c r="V111" s="93">
        <f>ДЕКАБРЬ!V105+ЯНВАРЬ!V105+ФЕВРАЛЬ!V110</f>
        <v>0</v>
      </c>
      <c r="W111" s="93">
        <f>ДЕКАБРЬ!W105+ЯНВАРЬ!W105+ФЕВРАЛЬ!W110</f>
        <v>0</v>
      </c>
      <c r="X111" s="92">
        <f t="shared" si="72"/>
        <v>0</v>
      </c>
      <c r="Y111" s="93">
        <f>ДЕКАБРЬ!Y105+ЯНВАРЬ!Y105+ФЕВРАЛЬ!Y110</f>
        <v>0</v>
      </c>
      <c r="Z111" s="93">
        <f>ДЕКАБРЬ!Z105+ЯНВАРЬ!Z105+ФЕВРАЛЬ!Z110</f>
        <v>0</v>
      </c>
      <c r="AA111" s="232">
        <f t="shared" si="73"/>
        <v>0</v>
      </c>
      <c r="AB111" s="92">
        <f t="shared" si="74"/>
        <v>0</v>
      </c>
      <c r="AC111" s="234">
        <f t="shared" si="75"/>
        <v>0</v>
      </c>
      <c r="AD111" s="92">
        <f t="shared" si="76"/>
        <v>0</v>
      </c>
      <c r="AE111" s="93">
        <f>ДЕКАБРЬ!AE105+ЯНВАРЬ!AE105+ФЕВРАЛЬ!AE110</f>
        <v>0</v>
      </c>
      <c r="AF111" s="234">
        <f t="shared" si="77"/>
        <v>0</v>
      </c>
      <c r="AG111" s="93">
        <f>ДЕКАБРЬ!AG105+ЯНВАРЬ!AG105+ФЕВРАЛЬ!AG110</f>
        <v>0</v>
      </c>
      <c r="AH111" s="93">
        <f>ДЕКАБРЬ!AH105+ЯНВАРЬ!AH105+ФЕВРАЛЬ!AH110</f>
        <v>0</v>
      </c>
      <c r="AI111" s="93">
        <f>ДЕКАБРЬ!AI105+ЯНВАРЬ!AI105+ФЕВРАЛЬ!AI110</f>
        <v>0</v>
      </c>
      <c r="AJ111" s="93">
        <f>ДЕКАБРЬ!AJ105+ЯНВАРЬ!AJ105+ФЕВРАЛЬ!AJ110</f>
        <v>0</v>
      </c>
      <c r="AK111" s="93"/>
      <c r="AL111" s="93">
        <f>ДЕКАБРЬ!AL105+ЯНВАРЬ!AL105+ФЕВРАЛЬ!AL110</f>
        <v>0</v>
      </c>
      <c r="AM111" s="93">
        <f>ДЕКАБРЬ!AM105+ЯНВАРЬ!AM105+ФЕВРАЛЬ!AM110</f>
        <v>0</v>
      </c>
      <c r="AN111" s="93">
        <f>ДЕКАБРЬ!AN105+ЯНВАРЬ!AN105+ФЕВРАЛЬ!AN110</f>
        <v>0</v>
      </c>
      <c r="AO111" s="95">
        <f t="shared" si="87"/>
        <v>0</v>
      </c>
      <c r="AP111" s="96"/>
      <c r="AQ111" s="97">
        <f t="shared" si="78"/>
        <v>0</v>
      </c>
      <c r="AR111" s="98">
        <f t="shared" si="79"/>
        <v>541.67999999999995</v>
      </c>
      <c r="AS111" s="98">
        <f t="shared" si="80"/>
        <v>0</v>
      </c>
      <c r="AT111" s="98">
        <f t="shared" si="81"/>
        <v>0</v>
      </c>
      <c r="AU111" s="98">
        <f t="shared" si="82"/>
        <v>0</v>
      </c>
      <c r="AV111" s="98">
        <f t="array" ref="AV111">_xlfn.IFS(U111=0,AO111,U111&lt;0,AO111/-U111,U111&gt;0,AO111/U111)</f>
        <v>0</v>
      </c>
      <c r="AW111" s="234">
        <f t="shared" si="83"/>
        <v>0</v>
      </c>
      <c r="AX111" s="234">
        <f t="shared" si="84"/>
        <v>0</v>
      </c>
      <c r="AY111" s="99"/>
      <c r="AZ111" s="94">
        <f t="shared" si="85"/>
        <v>0</v>
      </c>
    </row>
    <row r="112" spans="1:52">
      <c r="A112" s="89" t="s">
        <v>219</v>
      </c>
      <c r="B112" s="90">
        <v>437095304</v>
      </c>
      <c r="C112" s="90" t="s">
        <v>225</v>
      </c>
      <c r="D112" s="121" t="s">
        <v>221</v>
      </c>
      <c r="E112" s="232">
        <f t="shared" si="70"/>
        <v>1</v>
      </c>
      <c r="F112" s="93"/>
      <c r="G112" s="93"/>
      <c r="H112" s="93">
        <v>0</v>
      </c>
      <c r="I112" s="93">
        <v>0</v>
      </c>
      <c r="J112" s="93">
        <v>1</v>
      </c>
      <c r="K112" s="93">
        <v>541.67999999999995</v>
      </c>
      <c r="L112" s="92">
        <f t="shared" si="86"/>
        <v>541.67999999999995</v>
      </c>
      <c r="M112" s="89"/>
      <c r="N112" s="93">
        <f>ДЕКАБРЬ!N106+ЯНВАРЬ!N106+ФЕВРАЛЬ!N111</f>
        <v>0</v>
      </c>
      <c r="O112" s="89"/>
      <c r="P112" s="89"/>
      <c r="Q112" s="233"/>
      <c r="R112" s="92"/>
      <c r="S112" s="93">
        <f>ДЕКАБРЬ!S106+ЯНВАРЬ!S106+ФЕВРАЛЬ!S111</f>
        <v>0</v>
      </c>
      <c r="T112" s="93">
        <f>ДЕКАБРЬ!T106+ЯНВАРЬ!T106+ФЕВРАЛЬ!T111</f>
        <v>0</v>
      </c>
      <c r="U112" s="92">
        <f t="shared" si="71"/>
        <v>0</v>
      </c>
      <c r="V112" s="93">
        <f>ДЕКАБРЬ!V106+ЯНВАРЬ!V106+ФЕВРАЛЬ!V111</f>
        <v>0</v>
      </c>
      <c r="W112" s="93">
        <f>ДЕКАБРЬ!W106+ЯНВАРЬ!W106+ФЕВРАЛЬ!W111</f>
        <v>0</v>
      </c>
      <c r="X112" s="92">
        <f t="shared" si="72"/>
        <v>0</v>
      </c>
      <c r="Y112" s="93">
        <f>ДЕКАБРЬ!Y106+ЯНВАРЬ!Y106+ФЕВРАЛЬ!Y111</f>
        <v>0</v>
      </c>
      <c r="Z112" s="93">
        <f>ДЕКАБРЬ!Z106+ЯНВАРЬ!Z106+ФЕВРАЛЬ!Z111</f>
        <v>0</v>
      </c>
      <c r="AA112" s="232">
        <f t="shared" si="73"/>
        <v>0</v>
      </c>
      <c r="AB112" s="92">
        <f t="shared" si="74"/>
        <v>0</v>
      </c>
      <c r="AC112" s="234">
        <f t="shared" si="75"/>
        <v>0</v>
      </c>
      <c r="AD112" s="92">
        <f t="shared" si="76"/>
        <v>0</v>
      </c>
      <c r="AE112" s="93">
        <f>ДЕКАБРЬ!AE106+ЯНВАРЬ!AE106+ФЕВРАЛЬ!AE111</f>
        <v>0</v>
      </c>
      <c r="AF112" s="234">
        <f t="shared" si="77"/>
        <v>0</v>
      </c>
      <c r="AG112" s="93">
        <f>ДЕКАБРЬ!AG106+ЯНВАРЬ!AG106+ФЕВРАЛЬ!AG111</f>
        <v>0</v>
      </c>
      <c r="AH112" s="93">
        <f>ДЕКАБРЬ!AH106+ЯНВАРЬ!AH106+ФЕВРАЛЬ!AH111</f>
        <v>0</v>
      </c>
      <c r="AI112" s="93">
        <f>ДЕКАБРЬ!AI106+ЯНВАРЬ!AI106+ФЕВРАЛЬ!AI111</f>
        <v>0</v>
      </c>
      <c r="AJ112" s="93">
        <f>ДЕКАБРЬ!AJ106+ЯНВАРЬ!AJ106+ФЕВРАЛЬ!AJ111</f>
        <v>0</v>
      </c>
      <c r="AK112" s="93"/>
      <c r="AL112" s="93">
        <f>ДЕКАБРЬ!AL106+ЯНВАРЬ!AL106+ФЕВРАЛЬ!AL111</f>
        <v>0</v>
      </c>
      <c r="AM112" s="93">
        <f>ДЕКАБРЬ!AM106+ЯНВАРЬ!AM106+ФЕВРАЛЬ!AM111</f>
        <v>0</v>
      </c>
      <c r="AN112" s="93">
        <f>ДЕКАБРЬ!AN106+ЯНВАРЬ!AN106+ФЕВРАЛЬ!AN111</f>
        <v>0</v>
      </c>
      <c r="AO112" s="95">
        <f>AA112-AD112-AE112-AG112-AH112-AI112-AK112-AL112-AN112-AM112</f>
        <v>0</v>
      </c>
      <c r="AP112" s="96"/>
      <c r="AQ112" s="97">
        <f t="shared" si="78"/>
        <v>0</v>
      </c>
      <c r="AR112" s="98">
        <f t="shared" si="79"/>
        <v>541.67999999999995</v>
      </c>
      <c r="AS112" s="98">
        <f t="shared" si="80"/>
        <v>0</v>
      </c>
      <c r="AT112" s="98">
        <f t="shared" si="81"/>
        <v>0</v>
      </c>
      <c r="AU112" s="98">
        <f t="shared" si="82"/>
        <v>0</v>
      </c>
      <c r="AV112" s="98">
        <f t="array" ref="AV112">_xlfn.IFS(U112=0,AO112,U112&lt;0,AO112/-U112,U112&gt;0,AO112/U112)</f>
        <v>0</v>
      </c>
      <c r="AW112" s="234">
        <f t="shared" si="83"/>
        <v>0</v>
      </c>
      <c r="AX112" s="234">
        <f t="shared" si="84"/>
        <v>0</v>
      </c>
      <c r="AY112" s="99"/>
      <c r="AZ112" s="94">
        <f t="shared" si="85"/>
        <v>0</v>
      </c>
    </row>
    <row r="113" spans="1:52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89"/>
      <c r="T113" s="89"/>
      <c r="U113" s="93"/>
      <c r="V113" s="89"/>
      <c r="W113" s="89"/>
      <c r="X113" s="93"/>
      <c r="Y113" s="89"/>
      <c r="Z113" s="89"/>
      <c r="AA113" s="241"/>
      <c r="AB113" s="93"/>
      <c r="AC113" s="243"/>
      <c r="AD113" s="93"/>
      <c r="AE113" s="89"/>
      <c r="AF113" s="243"/>
      <c r="AG113" s="89"/>
      <c r="AH113" s="89"/>
      <c r="AI113" s="89"/>
      <c r="AJ113" s="89"/>
      <c r="AK113" s="310"/>
      <c r="AL113" s="122"/>
      <c r="AM113" s="89"/>
      <c r="AN113" s="89"/>
      <c r="AO113" s="124"/>
      <c r="AP113" s="96"/>
      <c r="AQ113" s="245">
        <f>AVERAGE(AQ108:AQ112)</f>
        <v>415.8</v>
      </c>
      <c r="AR113" s="245">
        <f>AVERAGE(AR108:AR112)</f>
        <v>556.67999999999995</v>
      </c>
      <c r="AS113" s="245">
        <f t="shared" ref="AS113:AX113" si="88">AVERAGE(AS108:AS112)</f>
        <v>152.61799999999999</v>
      </c>
      <c r="AT113" s="245">
        <f t="shared" si="88"/>
        <v>61.512</v>
      </c>
      <c r="AU113" s="245">
        <f t="shared" si="88"/>
        <v>0</v>
      </c>
      <c r="AV113" s="245">
        <f t="shared" si="88"/>
        <v>-6608.5075134976705</v>
      </c>
      <c r="AW113" s="246">
        <f t="shared" si="88"/>
        <v>-3.1786952926876721</v>
      </c>
      <c r="AX113" s="246">
        <f t="shared" si="88"/>
        <v>-11.410110006384322</v>
      </c>
      <c r="AY113" s="99"/>
      <c r="AZ113" s="123"/>
    </row>
    <row r="114" spans="1:52" s="120" customFormat="1">
      <c r="A114" s="247" t="s">
        <v>226</v>
      </c>
      <c r="B114" s="248"/>
      <c r="C114" s="249"/>
      <c r="D114" s="249"/>
      <c r="E114" s="250">
        <f t="shared" ref="E114:J114" si="89">SUM(E108:E112)</f>
        <v>7</v>
      </c>
      <c r="F114" s="249">
        <f t="shared" si="89"/>
        <v>0</v>
      </c>
      <c r="G114" s="249">
        <f t="shared" si="89"/>
        <v>0</v>
      </c>
      <c r="H114" s="249">
        <f t="shared" si="89"/>
        <v>1</v>
      </c>
      <c r="I114" s="249">
        <f t="shared" si="89"/>
        <v>0</v>
      </c>
      <c r="J114" s="249">
        <f t="shared" si="89"/>
        <v>6</v>
      </c>
      <c r="K114" s="249"/>
      <c r="L114" s="249">
        <f>SUM(L108:L112)</f>
        <v>3904.2599999999993</v>
      </c>
      <c r="M114" s="249"/>
      <c r="N114" s="249">
        <f>SUM(N108:N112)</f>
        <v>2</v>
      </c>
      <c r="O114" s="249"/>
      <c r="P114" s="249"/>
      <c r="Q114" s="251"/>
      <c r="R114" s="249"/>
      <c r="S114" s="249">
        <f>SUM(S108:S112)</f>
        <v>1</v>
      </c>
      <c r="T114" s="249">
        <f>SUM(T108:T112)</f>
        <v>0</v>
      </c>
      <c r="U114" s="249">
        <f t="shared" ref="U114:AD114" si="90">SUM(U108:U112)</f>
        <v>1</v>
      </c>
      <c r="V114" s="249">
        <f>SUM(V108:V112)</f>
        <v>1407</v>
      </c>
      <c r="W114" s="249">
        <f>SUM(W108:W112)</f>
        <v>0</v>
      </c>
      <c r="X114" s="249">
        <f t="shared" si="90"/>
        <v>1407</v>
      </c>
      <c r="Y114" s="249">
        <f>SUM(Y108:Y112)</f>
        <v>2079</v>
      </c>
      <c r="Z114" s="249">
        <f>SUM(Z108:Z112)</f>
        <v>0</v>
      </c>
      <c r="AA114" s="250">
        <f t="shared" si="90"/>
        <v>2079</v>
      </c>
      <c r="AB114" s="249">
        <f t="shared" si="90"/>
        <v>0</v>
      </c>
      <c r="AC114" s="252">
        <f t="shared" si="90"/>
        <v>4.7086987428604895E-5</v>
      </c>
      <c r="AD114" s="253">
        <f t="shared" si="90"/>
        <v>579.17999999999995</v>
      </c>
      <c r="AE114" s="249">
        <f>SUM(AE108:AE112)</f>
        <v>763.08999999999992</v>
      </c>
      <c r="AF114" s="252">
        <f>AE114/AA114</f>
        <v>0.36704665704665701</v>
      </c>
      <c r="AG114" s="249">
        <f>SUM(AG108:AG112)</f>
        <v>307.56</v>
      </c>
      <c r="AH114" s="249">
        <f>SUM(AH108:AH112)</f>
        <v>0</v>
      </c>
      <c r="AI114" s="249">
        <f>SUM(AI108:AI112)</f>
        <v>0</v>
      </c>
      <c r="AJ114" s="249">
        <f>SUM(AJ108:AJ112)</f>
        <v>0</v>
      </c>
      <c r="AK114" s="253">
        <f t="shared" ref="AK114:AO114" si="91">SUM(AK108:AK112)</f>
        <v>0</v>
      </c>
      <c r="AL114" s="253">
        <f>SUM(AL108:AL112)</f>
        <v>33392.707459218589</v>
      </c>
      <c r="AM114" s="249">
        <f>SUM(AM108:AM112)</f>
        <v>0</v>
      </c>
      <c r="AN114" s="249">
        <f>SUM(AN108:AN112)</f>
        <v>79.000108269766642</v>
      </c>
      <c r="AO114" s="253">
        <f t="shared" si="91"/>
        <v>-33042.537567488354</v>
      </c>
      <c r="AP114" s="254"/>
      <c r="AQ114" s="249"/>
      <c r="AR114" s="249"/>
      <c r="AS114" s="249"/>
      <c r="AT114" s="249"/>
      <c r="AU114" s="255">
        <f>(AH114+AI114+AJ114)/S114</f>
        <v>0</v>
      </c>
      <c r="AV114" s="249"/>
      <c r="AW114" s="249"/>
      <c r="AX114" s="249"/>
      <c r="AY114" s="256"/>
      <c r="AZ114" s="249">
        <f>SUM(AZ108:AZ112)</f>
        <v>-66085.075134976709</v>
      </c>
    </row>
    <row r="115" spans="1:52" s="120" customFormat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139"/>
      <c r="AI115" s="139"/>
      <c r="AJ115" s="139"/>
      <c r="AK115" s="262"/>
      <c r="AL115" s="262"/>
      <c r="AM115" s="139"/>
      <c r="AN115" s="139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outlineLevel="1">
      <c r="A116" s="89" t="s">
        <v>219</v>
      </c>
      <c r="B116" s="90">
        <v>260411674</v>
      </c>
      <c r="C116" s="90" t="s">
        <v>227</v>
      </c>
      <c r="D116" s="91"/>
      <c r="E116" s="232">
        <f>SUM(F116:J116)</f>
        <v>2</v>
      </c>
      <c r="F116" s="93"/>
      <c r="G116" s="93"/>
      <c r="H116" s="93">
        <v>0</v>
      </c>
      <c r="I116" s="93">
        <v>1</v>
      </c>
      <c r="J116" s="93">
        <v>1</v>
      </c>
      <c r="K116" s="92">
        <v>140</v>
      </c>
      <c r="L116" s="92">
        <f t="shared" ref="L116:L123" si="92">E116*K116</f>
        <v>280</v>
      </c>
      <c r="M116" s="89"/>
      <c r="N116" s="93">
        <f>ДЕКАБРЬ!N110+ЯНВАРЬ!N110+ФЕВРАЛЬ!N115</f>
        <v>0</v>
      </c>
      <c r="O116" s="89"/>
      <c r="P116" s="89"/>
      <c r="Q116" s="233"/>
      <c r="R116" s="92"/>
      <c r="S116" s="93">
        <f>ДЕКАБРЬ!S110+ЯНВАРЬ!S110+ФЕВРАЛЬ!S115</f>
        <v>0</v>
      </c>
      <c r="T116" s="93">
        <f>ДЕКАБРЬ!T110+ЯНВАРЬ!T110+ФЕВРАЛЬ!T115</f>
        <v>0</v>
      </c>
      <c r="U116" s="92">
        <f t="shared" ref="U116:U123" si="93">S116+T116</f>
        <v>0</v>
      </c>
      <c r="V116" s="93">
        <f>ДЕКАБРЬ!V110+ЯНВАРЬ!V110+ФЕВРАЛЬ!V115</f>
        <v>0</v>
      </c>
      <c r="W116" s="93">
        <f>ДЕКАБРЬ!W110+ЯНВАРЬ!W110+ФЕВРАЛЬ!W115</f>
        <v>0</v>
      </c>
      <c r="X116" s="92">
        <f t="shared" ref="X116:X123" si="94">V116+W116</f>
        <v>0</v>
      </c>
      <c r="Y116" s="93">
        <f>ДЕКАБРЬ!Y110+ЯНВАРЬ!Y110+ФЕВРАЛЬ!Y115</f>
        <v>0</v>
      </c>
      <c r="Z116" s="93">
        <f>ДЕКАБРЬ!Z110+ЯНВАРЬ!Z110+ФЕВРАЛЬ!Z115</f>
        <v>0</v>
      </c>
      <c r="AA116" s="232">
        <f t="shared" ref="AA116:AA123" si="95">Y116+Z116</f>
        <v>0</v>
      </c>
      <c r="AB116" s="92">
        <f t="shared" ref="AB116:AB123" si="96">N116*O116*P116/100</f>
        <v>0</v>
      </c>
      <c r="AC116" s="234">
        <f t="shared" ref="AC116:AC123" si="97">AA116/$AA$127</f>
        <v>0</v>
      </c>
      <c r="AD116" s="92">
        <f t="shared" ref="AD116:AD123" si="98">U116*K116</f>
        <v>0</v>
      </c>
      <c r="AE116" s="93">
        <f>ДЕКАБРЬ!AE110+ЯНВАРЬ!AE110+ФЕВРАЛЬ!AE115</f>
        <v>0</v>
      </c>
      <c r="AF116" s="234">
        <f t="shared" ref="AF116:AF123" si="99">IF(AA116=0,0,AE116/AA116)</f>
        <v>0</v>
      </c>
      <c r="AG116" s="93">
        <f>ДЕКАБРЬ!AG110+ЯНВАРЬ!AG110+ФЕВРАЛЬ!AG115</f>
        <v>0</v>
      </c>
      <c r="AH116" s="93">
        <f>ДЕКАБРЬ!AH110+ЯНВАРЬ!AH110+ФЕВРАЛЬ!AH115</f>
        <v>0</v>
      </c>
      <c r="AI116" s="93">
        <f>ДЕКАБРЬ!AI110+ЯНВАРЬ!AI110+ФЕВРАЛЬ!AI115</f>
        <v>0</v>
      </c>
      <c r="AJ116" s="93">
        <f>ДЕКАБРЬ!AJ110+ЯНВАРЬ!AJ110+ФЕВРАЛЬ!AJ115</f>
        <v>0</v>
      </c>
      <c r="AK116" s="93"/>
      <c r="AL116" s="93">
        <f>ДЕКАБРЬ!AL110+ЯНВАРЬ!AL110+ФЕВРАЛЬ!AL115</f>
        <v>0</v>
      </c>
      <c r="AM116" s="93">
        <f>ДЕКАБРЬ!AM110+ЯНВАРЬ!AM110+ФЕВРАЛЬ!AM115</f>
        <v>0</v>
      </c>
      <c r="AN116" s="93">
        <f>ДЕКАБРЬ!AN110+ЯНВАРЬ!AN110+ФЕВРАЛЬ!AN115</f>
        <v>0</v>
      </c>
      <c r="AO116" s="95">
        <f>AA116-AD116-AE116-AG116-AH116-AI116-AK116-AL116-AN116-AM116</f>
        <v>0</v>
      </c>
      <c r="AP116" s="96"/>
      <c r="AQ116" s="97">
        <f t="shared" ref="AQ116:AQ123" si="100">IF(U116=0,0,AA116/U116)</f>
        <v>0</v>
      </c>
      <c r="AR116" s="98">
        <f t="shared" ref="AR116:AR123" si="101">K116</f>
        <v>140</v>
      </c>
      <c r="AS116" s="98">
        <f t="shared" ref="AS116:AS123" si="102">IF(U116=0,0,AE116/U116)</f>
        <v>0</v>
      </c>
      <c r="AT116" s="98">
        <f t="shared" ref="AT116:AT123" si="103">IF(S116=0,AG116/1,AG116/S116)</f>
        <v>0</v>
      </c>
      <c r="AU116" s="98">
        <f t="shared" ref="AU116:AU123" si="104">IF(S116=0,0,(AH116+AI116+AJ116)/S116)</f>
        <v>0</v>
      </c>
      <c r="AV116" s="98">
        <f t="array" ref="AV116">_xlfn.IFS(U116=0,AO116,U116&lt;0,AO116/-U116,U116&gt;0,AO116/U116)</f>
        <v>0</v>
      </c>
      <c r="AW116" s="234">
        <f t="shared" ref="AW116:AW123" si="105">IF(AQ116=0,0,AV116/AQ116)</f>
        <v>0</v>
      </c>
      <c r="AX116" s="234">
        <f t="shared" ref="AX116:AX123" si="106">IF(AR116=0,0,AV116/AR116)</f>
        <v>0</v>
      </c>
      <c r="AY116" s="99"/>
      <c r="AZ116" s="94">
        <f t="shared" ref="AZ116:AZ123" si="107">AV116*E116</f>
        <v>0</v>
      </c>
    </row>
    <row r="117" spans="1:52" outlineLevel="1">
      <c r="A117" s="89" t="s">
        <v>219</v>
      </c>
      <c r="B117" s="90">
        <v>260945325</v>
      </c>
      <c r="C117" s="90" t="s">
        <v>228</v>
      </c>
      <c r="D117" s="91"/>
      <c r="E117" s="232">
        <f t="shared" ref="E117:E123" si="108">SUM(F117:J117)</f>
        <v>1</v>
      </c>
      <c r="F117" s="93"/>
      <c r="G117" s="93"/>
      <c r="H117" s="93">
        <v>0</v>
      </c>
      <c r="I117" s="93">
        <v>1</v>
      </c>
      <c r="J117" s="93"/>
      <c r="K117" s="92">
        <v>154</v>
      </c>
      <c r="L117" s="92">
        <f t="shared" si="92"/>
        <v>154</v>
      </c>
      <c r="M117" s="89"/>
      <c r="N117" s="93">
        <f>ДЕКАБРЬ!N111+ЯНВАРЬ!N111+ФЕВРАЛЬ!N116</f>
        <v>0</v>
      </c>
      <c r="O117" s="89"/>
      <c r="P117" s="89"/>
      <c r="Q117" s="233"/>
      <c r="R117" s="92"/>
      <c r="S117" s="93">
        <f>ДЕКАБРЬ!S111+ЯНВАРЬ!S111+ФЕВРАЛЬ!S116</f>
        <v>0</v>
      </c>
      <c r="T117" s="93">
        <f>ДЕКАБРЬ!T111+ЯНВАРЬ!T111+ФЕВРАЛЬ!T116</f>
        <v>0</v>
      </c>
      <c r="U117" s="92">
        <f t="shared" si="93"/>
        <v>0</v>
      </c>
      <c r="V117" s="93">
        <f>ДЕКАБРЬ!V111+ЯНВАРЬ!V111+ФЕВРАЛЬ!V116</f>
        <v>0</v>
      </c>
      <c r="W117" s="93">
        <f>ДЕКАБРЬ!W111+ЯНВАРЬ!W111+ФЕВРАЛЬ!W116</f>
        <v>0</v>
      </c>
      <c r="X117" s="92">
        <f t="shared" si="94"/>
        <v>0</v>
      </c>
      <c r="Y117" s="93">
        <f>ДЕКАБРЬ!Y111+ЯНВАРЬ!Y111+ФЕВРАЛЬ!Y116</f>
        <v>0</v>
      </c>
      <c r="Z117" s="93">
        <f>ДЕКАБРЬ!Z111+ЯНВАРЬ!Z111+ФЕВРАЛЬ!Z116</f>
        <v>0</v>
      </c>
      <c r="AA117" s="232">
        <f t="shared" si="95"/>
        <v>0</v>
      </c>
      <c r="AB117" s="92">
        <f t="shared" si="96"/>
        <v>0</v>
      </c>
      <c r="AC117" s="234">
        <f t="shared" si="97"/>
        <v>0</v>
      </c>
      <c r="AD117" s="92">
        <f t="shared" si="98"/>
        <v>0</v>
      </c>
      <c r="AE117" s="93">
        <f>ДЕКАБРЬ!AE111+ЯНВАРЬ!AE111+ФЕВРАЛЬ!AE116</f>
        <v>0</v>
      </c>
      <c r="AF117" s="234">
        <f t="shared" si="99"/>
        <v>0</v>
      </c>
      <c r="AG117" s="93">
        <f>ДЕКАБРЬ!AG111+ЯНВАРЬ!AG111+ФЕВРАЛЬ!AG116</f>
        <v>0</v>
      </c>
      <c r="AH117" s="93">
        <f>ДЕКАБРЬ!AH111+ЯНВАРЬ!AH111+ФЕВРАЛЬ!AH116</f>
        <v>0</v>
      </c>
      <c r="AI117" s="93">
        <f>ДЕКАБРЬ!AI111+ЯНВАРЬ!AI111+ФЕВРАЛЬ!AI116</f>
        <v>0</v>
      </c>
      <c r="AJ117" s="93">
        <f>ДЕКАБРЬ!AJ111+ЯНВАРЬ!AJ111+ФЕВРАЛЬ!AJ116</f>
        <v>0</v>
      </c>
      <c r="AK117" s="93"/>
      <c r="AL117" s="93">
        <f>ДЕКАБРЬ!AL111+ЯНВАРЬ!AL111+ФЕВРАЛЬ!AL116</f>
        <v>0</v>
      </c>
      <c r="AM117" s="93">
        <f>ДЕКАБРЬ!AM111+ЯНВАРЬ!AM111+ФЕВРАЛЬ!AM116</f>
        <v>0</v>
      </c>
      <c r="AN117" s="93">
        <f>ДЕКАБРЬ!AN111+ЯНВАРЬ!AN111+ФЕВРАЛЬ!AN116</f>
        <v>0</v>
      </c>
      <c r="AO117" s="95">
        <f t="shared" ref="AO117:AO124" si="109">AA117-AD117-AE117-AG117-AH117-AI117-AK117-AL117-AN117-AM117</f>
        <v>0</v>
      </c>
      <c r="AP117" s="96"/>
      <c r="AQ117" s="97">
        <f t="shared" si="100"/>
        <v>0</v>
      </c>
      <c r="AR117" s="98">
        <f t="shared" si="101"/>
        <v>154</v>
      </c>
      <c r="AS117" s="98">
        <f t="shared" si="102"/>
        <v>0</v>
      </c>
      <c r="AT117" s="98">
        <f t="shared" si="103"/>
        <v>0</v>
      </c>
      <c r="AU117" s="98">
        <f t="shared" si="104"/>
        <v>0</v>
      </c>
      <c r="AV117" s="98">
        <f t="array" ref="AV117">_xlfn.IFS(U117=0,AO117,U117&lt;0,AO117/-U117,U117&gt;0,AO117/U117)</f>
        <v>0</v>
      </c>
      <c r="AW117" s="234">
        <f t="shared" si="105"/>
        <v>0</v>
      </c>
      <c r="AX117" s="234">
        <f t="shared" si="106"/>
        <v>0</v>
      </c>
      <c r="AY117" s="99"/>
      <c r="AZ117" s="94">
        <f t="shared" si="107"/>
        <v>0</v>
      </c>
    </row>
    <row r="118" spans="1:52" outlineLevel="1">
      <c r="A118" s="89" t="s">
        <v>219</v>
      </c>
      <c r="B118" s="90">
        <v>261545954</v>
      </c>
      <c r="C118" s="90" t="s">
        <v>229</v>
      </c>
      <c r="D118" s="91"/>
      <c r="E118" s="232">
        <f t="shared" si="108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92"/>
        <v>220</v>
      </c>
      <c r="M118" s="89"/>
      <c r="N118" s="93">
        <f>ДЕКАБРЬ!N112+ЯНВАРЬ!N112+ФЕВРАЛЬ!N117</f>
        <v>0</v>
      </c>
      <c r="O118" s="89"/>
      <c r="P118" s="89"/>
      <c r="Q118" s="233"/>
      <c r="R118" s="92"/>
      <c r="S118" s="93">
        <f>ДЕКАБРЬ!S112+ЯНВАРЬ!S112+ФЕВРАЛЬ!S117</f>
        <v>0</v>
      </c>
      <c r="T118" s="93">
        <f>ДЕКАБРЬ!T112+ЯНВАРЬ!T112+ФЕВРАЛЬ!T117</f>
        <v>0</v>
      </c>
      <c r="U118" s="92">
        <f t="shared" si="93"/>
        <v>0</v>
      </c>
      <c r="V118" s="93">
        <f>ДЕКАБРЬ!V112+ЯНВАРЬ!V112+ФЕВРАЛЬ!V117</f>
        <v>0</v>
      </c>
      <c r="W118" s="93">
        <f>ДЕКАБРЬ!W112+ЯНВАРЬ!W112+ФЕВРАЛЬ!W117</f>
        <v>0</v>
      </c>
      <c r="X118" s="92">
        <f t="shared" si="94"/>
        <v>0</v>
      </c>
      <c r="Y118" s="93">
        <f>ДЕКАБРЬ!Y112+ЯНВАРЬ!Y112+ФЕВРАЛЬ!Y117</f>
        <v>0</v>
      </c>
      <c r="Z118" s="93">
        <f>ДЕКАБРЬ!Z112+ЯНВАРЬ!Z112+ФЕВРАЛЬ!Z117</f>
        <v>0</v>
      </c>
      <c r="AA118" s="232">
        <f t="shared" si="95"/>
        <v>0</v>
      </c>
      <c r="AB118" s="92">
        <f t="shared" si="96"/>
        <v>0</v>
      </c>
      <c r="AC118" s="234">
        <f t="shared" si="97"/>
        <v>0</v>
      </c>
      <c r="AD118" s="92">
        <f t="shared" si="98"/>
        <v>0</v>
      </c>
      <c r="AE118" s="93">
        <f>ДЕКАБРЬ!AE112+ЯНВАРЬ!AE112+ФЕВРАЛЬ!AE117</f>
        <v>0</v>
      </c>
      <c r="AF118" s="234">
        <f t="shared" si="99"/>
        <v>0</v>
      </c>
      <c r="AG118" s="93">
        <f>ДЕКАБРЬ!AG112+ЯНВАРЬ!AG112+ФЕВРАЛЬ!AG117</f>
        <v>0</v>
      </c>
      <c r="AH118" s="93">
        <f>ДЕКАБРЬ!AH112+ЯНВАРЬ!AH112+ФЕВРАЛЬ!AH117</f>
        <v>0</v>
      </c>
      <c r="AI118" s="93">
        <f>ДЕКАБРЬ!AI112+ЯНВАРЬ!AI112+ФЕВРАЛЬ!AI117</f>
        <v>0</v>
      </c>
      <c r="AJ118" s="93">
        <f>ДЕКАБРЬ!AJ112+ЯНВАРЬ!AJ112+ФЕВРАЛЬ!AJ117</f>
        <v>0</v>
      </c>
      <c r="AK118" s="93"/>
      <c r="AL118" s="93">
        <f>ДЕКАБРЬ!AL112+ЯНВАРЬ!AL112+ФЕВРАЛЬ!AL117</f>
        <v>0</v>
      </c>
      <c r="AM118" s="93">
        <f>ДЕКАБРЬ!AM112+ЯНВАРЬ!AM112+ФЕВРАЛЬ!AM117</f>
        <v>0</v>
      </c>
      <c r="AN118" s="93">
        <f>ДЕКАБРЬ!AN112+ЯНВАРЬ!AN112+ФЕВРАЛЬ!AN117</f>
        <v>0</v>
      </c>
      <c r="AO118" s="95">
        <f t="shared" si="109"/>
        <v>0</v>
      </c>
      <c r="AP118" s="96"/>
      <c r="AQ118" s="97">
        <f t="shared" si="100"/>
        <v>0</v>
      </c>
      <c r="AR118" s="98">
        <f t="shared" si="101"/>
        <v>220</v>
      </c>
      <c r="AS118" s="98">
        <f t="shared" si="102"/>
        <v>0</v>
      </c>
      <c r="AT118" s="98">
        <f t="shared" si="103"/>
        <v>0</v>
      </c>
      <c r="AU118" s="98">
        <f t="shared" si="104"/>
        <v>0</v>
      </c>
      <c r="AV118" s="98">
        <f t="array" ref="AV118">_xlfn.IFS(U118=0,AO118,U118&lt;0,AO118/-U118,U118&gt;0,AO118/U118)</f>
        <v>0</v>
      </c>
      <c r="AW118" s="234">
        <f t="shared" si="105"/>
        <v>0</v>
      </c>
      <c r="AX118" s="234">
        <f t="shared" si="106"/>
        <v>0</v>
      </c>
      <c r="AY118" s="99"/>
      <c r="AZ118" s="94">
        <f t="shared" si="107"/>
        <v>0</v>
      </c>
    </row>
    <row r="119" spans="1:52" outlineLevel="1">
      <c r="A119" s="89" t="s">
        <v>219</v>
      </c>
      <c r="B119" s="90">
        <v>261546082</v>
      </c>
      <c r="C119" s="90" t="s">
        <v>230</v>
      </c>
      <c r="D119" s="91"/>
      <c r="E119" s="232">
        <f t="shared" si="108"/>
        <v>1</v>
      </c>
      <c r="F119" s="93"/>
      <c r="G119" s="93"/>
      <c r="H119" s="93">
        <v>0</v>
      </c>
      <c r="I119" s="93">
        <v>1</v>
      </c>
      <c r="J119" s="93"/>
      <c r="K119" s="92">
        <v>220</v>
      </c>
      <c r="L119" s="92">
        <f t="shared" si="92"/>
        <v>220</v>
      </c>
      <c r="M119" s="89"/>
      <c r="N119" s="93">
        <f>ДЕКАБРЬ!N113+ЯНВАРЬ!N113+ФЕВРАЛЬ!N118</f>
        <v>0</v>
      </c>
      <c r="O119" s="89"/>
      <c r="P119" s="89"/>
      <c r="Q119" s="233"/>
      <c r="R119" s="92"/>
      <c r="S119" s="93">
        <f>ДЕКАБРЬ!S113+ЯНВАРЬ!S113+ФЕВРАЛЬ!S118</f>
        <v>0</v>
      </c>
      <c r="T119" s="93">
        <f>ДЕКАБРЬ!T113+ЯНВАРЬ!T113+ФЕВРАЛЬ!T118</f>
        <v>0</v>
      </c>
      <c r="U119" s="92">
        <f t="shared" si="93"/>
        <v>0</v>
      </c>
      <c r="V119" s="93">
        <f>ДЕКАБРЬ!V113+ЯНВАРЬ!V113+ФЕВРАЛЬ!V118</f>
        <v>0</v>
      </c>
      <c r="W119" s="93">
        <f>ДЕКАБРЬ!W113+ЯНВАРЬ!W113+ФЕВРАЛЬ!W118</f>
        <v>0</v>
      </c>
      <c r="X119" s="92">
        <f t="shared" si="94"/>
        <v>0</v>
      </c>
      <c r="Y119" s="93">
        <f>ДЕКАБРЬ!Y113+ЯНВАРЬ!Y113+ФЕВРАЛЬ!Y118</f>
        <v>0</v>
      </c>
      <c r="Z119" s="93">
        <f>ДЕКАБРЬ!Z113+ЯНВАРЬ!Z113+ФЕВРАЛЬ!Z118</f>
        <v>0</v>
      </c>
      <c r="AA119" s="232">
        <f t="shared" si="95"/>
        <v>0</v>
      </c>
      <c r="AB119" s="92">
        <f t="shared" si="96"/>
        <v>0</v>
      </c>
      <c r="AC119" s="234">
        <f t="shared" si="97"/>
        <v>0</v>
      </c>
      <c r="AD119" s="92">
        <f t="shared" si="98"/>
        <v>0</v>
      </c>
      <c r="AE119" s="93">
        <f>ДЕКАБРЬ!AE113+ЯНВАРЬ!AE113+ФЕВРАЛЬ!AE118</f>
        <v>0</v>
      </c>
      <c r="AF119" s="234">
        <f t="shared" si="99"/>
        <v>0</v>
      </c>
      <c r="AG119" s="93">
        <f>ДЕКАБРЬ!AG113+ЯНВАРЬ!AG113+ФЕВРАЛЬ!AG118</f>
        <v>0</v>
      </c>
      <c r="AH119" s="93">
        <f>ДЕКАБРЬ!AH113+ЯНВАРЬ!AH113+ФЕВРАЛЬ!AH118</f>
        <v>0</v>
      </c>
      <c r="AI119" s="93">
        <f>ДЕКАБРЬ!AI113+ЯНВАРЬ!AI113+ФЕВРАЛЬ!AI118</f>
        <v>0</v>
      </c>
      <c r="AJ119" s="93">
        <f>ДЕКАБРЬ!AJ113+ЯНВАРЬ!AJ113+ФЕВРАЛЬ!AJ118</f>
        <v>0</v>
      </c>
      <c r="AK119" s="93"/>
      <c r="AL119" s="93">
        <f>ДЕКАБРЬ!AL113+ЯНВАРЬ!AL113+ФЕВРАЛЬ!AL118</f>
        <v>0</v>
      </c>
      <c r="AM119" s="93">
        <f>ДЕКАБРЬ!AM113+ЯНВАРЬ!AM113+ФЕВРАЛЬ!AM118</f>
        <v>0</v>
      </c>
      <c r="AN119" s="93">
        <f>ДЕКАБРЬ!AN113+ЯНВАРЬ!AN113+ФЕВРАЛЬ!AN118</f>
        <v>0</v>
      </c>
      <c r="AO119" s="95">
        <f t="shared" si="109"/>
        <v>0</v>
      </c>
      <c r="AP119" s="96"/>
      <c r="AQ119" s="97">
        <f t="shared" si="100"/>
        <v>0</v>
      </c>
      <c r="AR119" s="98">
        <f t="shared" si="101"/>
        <v>220</v>
      </c>
      <c r="AS119" s="98">
        <f t="shared" si="102"/>
        <v>0</v>
      </c>
      <c r="AT119" s="98">
        <f t="shared" si="103"/>
        <v>0</v>
      </c>
      <c r="AU119" s="98">
        <f t="shared" si="104"/>
        <v>0</v>
      </c>
      <c r="AV119" s="98">
        <f t="array" ref="AV119">_xlfn.IFS(U119=0,AO119,U119&lt;0,AO119/-U119,U119&gt;0,AO119/U119)</f>
        <v>0</v>
      </c>
      <c r="AW119" s="234">
        <f t="shared" si="105"/>
        <v>0</v>
      </c>
      <c r="AX119" s="234">
        <f t="shared" si="106"/>
        <v>0</v>
      </c>
      <c r="AY119" s="99"/>
      <c r="AZ119" s="94">
        <f t="shared" si="107"/>
        <v>0</v>
      </c>
    </row>
    <row r="120" spans="1:52" outlineLevel="1">
      <c r="A120" s="89" t="s">
        <v>219</v>
      </c>
      <c r="B120" s="90">
        <v>261546175</v>
      </c>
      <c r="C120" s="90" t="s">
        <v>231</v>
      </c>
      <c r="D120" s="91"/>
      <c r="E120" s="232">
        <f t="shared" si="108"/>
        <v>6</v>
      </c>
      <c r="F120" s="93"/>
      <c r="G120" s="93"/>
      <c r="H120" s="93">
        <v>0</v>
      </c>
      <c r="I120" s="93">
        <v>1</v>
      </c>
      <c r="J120" s="93">
        <v>5</v>
      </c>
      <c r="K120" s="92">
        <v>220</v>
      </c>
      <c r="L120" s="92">
        <f t="shared" si="92"/>
        <v>1320</v>
      </c>
      <c r="M120" s="89"/>
      <c r="N120" s="93">
        <f>ДЕКАБРЬ!N114+ЯНВАРЬ!N114+ФЕВРАЛЬ!N119</f>
        <v>0</v>
      </c>
      <c r="O120" s="89"/>
      <c r="P120" s="89"/>
      <c r="Q120" s="233"/>
      <c r="R120" s="92"/>
      <c r="S120" s="93">
        <f>ДЕКАБРЬ!S114+ЯНВАРЬ!S114+ФЕВРАЛЬ!S119</f>
        <v>0</v>
      </c>
      <c r="T120" s="93">
        <f>ДЕКАБРЬ!T114+ЯНВАРЬ!T114+ФЕВРАЛЬ!T119</f>
        <v>0</v>
      </c>
      <c r="U120" s="92">
        <f t="shared" si="93"/>
        <v>0</v>
      </c>
      <c r="V120" s="93">
        <f>ДЕКАБРЬ!V114+ЯНВАРЬ!V114+ФЕВРАЛЬ!V119</f>
        <v>0</v>
      </c>
      <c r="W120" s="93">
        <f>ДЕКАБРЬ!W114+ЯНВАРЬ!W114+ФЕВРАЛЬ!W119</f>
        <v>0</v>
      </c>
      <c r="X120" s="92">
        <f t="shared" si="94"/>
        <v>0</v>
      </c>
      <c r="Y120" s="93">
        <f>ДЕКАБРЬ!Y114+ЯНВАРЬ!Y114+ФЕВРАЛЬ!Y119</f>
        <v>0</v>
      </c>
      <c r="Z120" s="93">
        <f>ДЕКАБРЬ!Z114+ЯНВАРЬ!Z114+ФЕВРАЛЬ!Z119</f>
        <v>0</v>
      </c>
      <c r="AA120" s="232">
        <f t="shared" si="95"/>
        <v>0</v>
      </c>
      <c r="AB120" s="92">
        <f t="shared" si="96"/>
        <v>0</v>
      </c>
      <c r="AC120" s="234">
        <f t="shared" si="97"/>
        <v>0</v>
      </c>
      <c r="AD120" s="92">
        <f t="shared" si="98"/>
        <v>0</v>
      </c>
      <c r="AE120" s="93">
        <f>ДЕКАБРЬ!AE114+ЯНВАРЬ!AE114+ФЕВРАЛЬ!AE119</f>
        <v>0</v>
      </c>
      <c r="AF120" s="234">
        <f t="shared" si="99"/>
        <v>0</v>
      </c>
      <c r="AG120" s="93">
        <f>ДЕКАБРЬ!AG114+ЯНВАРЬ!AG114+ФЕВРАЛЬ!AG119</f>
        <v>0</v>
      </c>
      <c r="AH120" s="93">
        <f>ДЕКАБРЬ!AH114+ЯНВАРЬ!AH114+ФЕВРАЛЬ!AH119</f>
        <v>0</v>
      </c>
      <c r="AI120" s="93">
        <f>ДЕКАБРЬ!AI114+ЯНВАРЬ!AI114+ФЕВРАЛЬ!AI119</f>
        <v>0</v>
      </c>
      <c r="AJ120" s="93">
        <f>ДЕКАБРЬ!AJ114+ЯНВАРЬ!AJ114+ФЕВРАЛЬ!AJ119</f>
        <v>0</v>
      </c>
      <c r="AK120" s="93"/>
      <c r="AL120" s="93">
        <f>ДЕКАБРЬ!AL114+ЯНВАРЬ!AL114+ФЕВРАЛЬ!AL119</f>
        <v>0</v>
      </c>
      <c r="AM120" s="93">
        <f>ДЕКАБРЬ!AM114+ЯНВАРЬ!AM114+ФЕВРАЛЬ!AM119</f>
        <v>0</v>
      </c>
      <c r="AN120" s="93">
        <f>ДЕКАБРЬ!AN114+ЯНВАРЬ!AN114+ФЕВРАЛЬ!AN119</f>
        <v>0</v>
      </c>
      <c r="AO120" s="95">
        <f t="shared" si="109"/>
        <v>0</v>
      </c>
      <c r="AP120" s="96"/>
      <c r="AQ120" s="97">
        <f t="shared" si="100"/>
        <v>0</v>
      </c>
      <c r="AR120" s="98">
        <f t="shared" si="101"/>
        <v>220</v>
      </c>
      <c r="AS120" s="98">
        <f t="shared" si="102"/>
        <v>0</v>
      </c>
      <c r="AT120" s="98">
        <f t="shared" si="103"/>
        <v>0</v>
      </c>
      <c r="AU120" s="98">
        <f t="shared" si="104"/>
        <v>0</v>
      </c>
      <c r="AV120" s="98">
        <f t="array" ref="AV120">_xlfn.IFS(U120=0,AO120,U120&lt;0,AO120/-U120,U120&gt;0,AO120/U120)</f>
        <v>0</v>
      </c>
      <c r="AW120" s="234">
        <f t="shared" si="105"/>
        <v>0</v>
      </c>
      <c r="AX120" s="234">
        <f t="shared" si="106"/>
        <v>0</v>
      </c>
      <c r="AY120" s="99"/>
      <c r="AZ120" s="94">
        <f t="shared" si="107"/>
        <v>0</v>
      </c>
    </row>
    <row r="121" spans="1:52" outlineLevel="1">
      <c r="A121" s="89" t="s">
        <v>219</v>
      </c>
      <c r="B121" s="90">
        <v>261548725</v>
      </c>
      <c r="C121" s="90" t="s">
        <v>232</v>
      </c>
      <c r="D121" s="91"/>
      <c r="E121" s="232">
        <f t="shared" si="108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92"/>
        <v>205</v>
      </c>
      <c r="M121" s="89"/>
      <c r="N121" s="93">
        <f>ДЕКАБРЬ!N115+ЯНВАРЬ!N115+ФЕВРАЛЬ!N120</f>
        <v>0</v>
      </c>
      <c r="O121" s="89"/>
      <c r="P121" s="89"/>
      <c r="Q121" s="233"/>
      <c r="R121" s="92"/>
      <c r="S121" s="93">
        <f>ДЕКАБРЬ!S115+ЯНВАРЬ!S115+ФЕВРАЛЬ!S120</f>
        <v>0</v>
      </c>
      <c r="T121" s="93">
        <f>ДЕКАБРЬ!T115+ЯНВАРЬ!T115+ФЕВРАЛЬ!T120</f>
        <v>0</v>
      </c>
      <c r="U121" s="92">
        <f t="shared" si="93"/>
        <v>0</v>
      </c>
      <c r="V121" s="93">
        <f>ДЕКАБРЬ!V115+ЯНВАРЬ!V115+ФЕВРАЛЬ!V120</f>
        <v>0</v>
      </c>
      <c r="W121" s="93">
        <f>ДЕКАБРЬ!W115+ЯНВАРЬ!W115+ФЕВРАЛЬ!W120</f>
        <v>0</v>
      </c>
      <c r="X121" s="92">
        <f t="shared" si="94"/>
        <v>0</v>
      </c>
      <c r="Y121" s="93">
        <f>ДЕКАБРЬ!Y115+ЯНВАРЬ!Y115+ФЕВРАЛЬ!Y120</f>
        <v>0</v>
      </c>
      <c r="Z121" s="93">
        <f>ДЕКАБРЬ!Z115+ЯНВАРЬ!Z115+ФЕВРАЛЬ!Z120</f>
        <v>0</v>
      </c>
      <c r="AA121" s="232">
        <f t="shared" si="95"/>
        <v>0</v>
      </c>
      <c r="AB121" s="92">
        <f t="shared" si="96"/>
        <v>0</v>
      </c>
      <c r="AC121" s="234">
        <f t="shared" si="97"/>
        <v>0</v>
      </c>
      <c r="AD121" s="92">
        <f t="shared" si="98"/>
        <v>0</v>
      </c>
      <c r="AE121" s="93">
        <f>ДЕКАБРЬ!AE115+ЯНВАРЬ!AE115+ФЕВРАЛЬ!AE120</f>
        <v>0</v>
      </c>
      <c r="AF121" s="234">
        <f t="shared" si="99"/>
        <v>0</v>
      </c>
      <c r="AG121" s="93">
        <f>ДЕКАБРЬ!AG115+ЯНВАРЬ!AG115+ФЕВРАЛЬ!AG120</f>
        <v>0</v>
      </c>
      <c r="AH121" s="93">
        <f>ДЕКАБРЬ!AH115+ЯНВАРЬ!AH115+ФЕВРАЛЬ!AH120</f>
        <v>0</v>
      </c>
      <c r="AI121" s="93">
        <f>ДЕКАБРЬ!AI115+ЯНВАРЬ!AI115+ФЕВРАЛЬ!AI120</f>
        <v>0</v>
      </c>
      <c r="AJ121" s="93">
        <f>ДЕКАБРЬ!AJ115+ЯНВАРЬ!AJ115+ФЕВРАЛЬ!AJ120</f>
        <v>0</v>
      </c>
      <c r="AK121" s="93"/>
      <c r="AL121" s="93">
        <f>ДЕКАБРЬ!AL115+ЯНВАРЬ!AL115+ФЕВРАЛЬ!AL120</f>
        <v>0</v>
      </c>
      <c r="AM121" s="93">
        <f>ДЕКАБРЬ!AM115+ЯНВАРЬ!AM115+ФЕВРАЛЬ!AM120</f>
        <v>0</v>
      </c>
      <c r="AN121" s="93">
        <f>ДЕКАБРЬ!AN115+ЯНВАРЬ!AN115+ФЕВРАЛЬ!AN120</f>
        <v>0</v>
      </c>
      <c r="AO121" s="95">
        <f t="shared" si="109"/>
        <v>0</v>
      </c>
      <c r="AP121" s="96"/>
      <c r="AQ121" s="97">
        <f t="shared" si="100"/>
        <v>0</v>
      </c>
      <c r="AR121" s="98">
        <f t="shared" si="101"/>
        <v>205</v>
      </c>
      <c r="AS121" s="98">
        <f t="shared" si="102"/>
        <v>0</v>
      </c>
      <c r="AT121" s="98">
        <f t="shared" si="103"/>
        <v>0</v>
      </c>
      <c r="AU121" s="98">
        <f t="shared" si="104"/>
        <v>0</v>
      </c>
      <c r="AV121" s="98">
        <f t="array" ref="AV121">_xlfn.IFS(U121=0,AO121,U121&lt;0,AO121/-U121,U121&gt;0,AO121/U121)</f>
        <v>0</v>
      </c>
      <c r="AW121" s="234">
        <f t="shared" si="105"/>
        <v>0</v>
      </c>
      <c r="AX121" s="234">
        <f t="shared" si="106"/>
        <v>0</v>
      </c>
      <c r="AY121" s="99"/>
      <c r="AZ121" s="94">
        <f t="shared" si="107"/>
        <v>0</v>
      </c>
    </row>
    <row r="122" spans="1:52" outlineLevel="1">
      <c r="A122" s="89" t="s">
        <v>219</v>
      </c>
      <c r="B122" s="90">
        <v>261549082</v>
      </c>
      <c r="C122" s="90" t="s">
        <v>233</v>
      </c>
      <c r="D122" s="91"/>
      <c r="E122" s="232">
        <f t="shared" si="108"/>
        <v>1</v>
      </c>
      <c r="F122" s="93"/>
      <c r="G122" s="93"/>
      <c r="H122" s="93">
        <v>0</v>
      </c>
      <c r="I122" s="93">
        <v>1</v>
      </c>
      <c r="J122" s="93"/>
      <c r="K122" s="92">
        <v>205</v>
      </c>
      <c r="L122" s="92">
        <f t="shared" si="92"/>
        <v>205</v>
      </c>
      <c r="M122" s="89"/>
      <c r="N122" s="93">
        <f>ДЕКАБРЬ!N116+ЯНВАРЬ!N116+ФЕВРАЛЬ!N121</f>
        <v>0</v>
      </c>
      <c r="O122" s="89"/>
      <c r="P122" s="89"/>
      <c r="Q122" s="233"/>
      <c r="R122" s="92"/>
      <c r="S122" s="93">
        <f>ДЕКАБРЬ!S116+ЯНВАРЬ!S116+ФЕВРАЛЬ!S121</f>
        <v>0</v>
      </c>
      <c r="T122" s="93">
        <f>ДЕКАБРЬ!T116+ЯНВАРЬ!T116+ФЕВРАЛЬ!T121</f>
        <v>0</v>
      </c>
      <c r="U122" s="92">
        <f t="shared" si="93"/>
        <v>0</v>
      </c>
      <c r="V122" s="93">
        <f>ДЕКАБРЬ!V116+ЯНВАРЬ!V116+ФЕВРАЛЬ!V121</f>
        <v>0</v>
      </c>
      <c r="W122" s="93">
        <f>ДЕКАБРЬ!W116+ЯНВАРЬ!W116+ФЕВРАЛЬ!W121</f>
        <v>0</v>
      </c>
      <c r="X122" s="92">
        <f t="shared" si="94"/>
        <v>0</v>
      </c>
      <c r="Y122" s="93">
        <f>ДЕКАБРЬ!Y116+ЯНВАРЬ!Y116+ФЕВРАЛЬ!Y121</f>
        <v>0</v>
      </c>
      <c r="Z122" s="93">
        <f>ДЕКАБРЬ!Z116+ЯНВАРЬ!Z116+ФЕВРАЛЬ!Z121</f>
        <v>0</v>
      </c>
      <c r="AA122" s="232">
        <f t="shared" si="95"/>
        <v>0</v>
      </c>
      <c r="AB122" s="92">
        <f t="shared" si="96"/>
        <v>0</v>
      </c>
      <c r="AC122" s="234">
        <f t="shared" si="97"/>
        <v>0</v>
      </c>
      <c r="AD122" s="92">
        <f t="shared" si="98"/>
        <v>0</v>
      </c>
      <c r="AE122" s="93">
        <f>ДЕКАБРЬ!AE116+ЯНВАРЬ!AE116+ФЕВРАЛЬ!AE121</f>
        <v>0</v>
      </c>
      <c r="AF122" s="234">
        <f t="shared" si="99"/>
        <v>0</v>
      </c>
      <c r="AG122" s="93">
        <f>ДЕКАБРЬ!AG116+ЯНВАРЬ!AG116+ФЕВРАЛЬ!AG121</f>
        <v>0</v>
      </c>
      <c r="AH122" s="93">
        <f>ДЕКАБРЬ!AH116+ЯНВАРЬ!AH116+ФЕВРАЛЬ!AH121</f>
        <v>0</v>
      </c>
      <c r="AI122" s="93">
        <f>ДЕКАБРЬ!AI116+ЯНВАРЬ!AI116+ФЕВРАЛЬ!AI121</f>
        <v>0</v>
      </c>
      <c r="AJ122" s="93">
        <f>ДЕКАБРЬ!AJ116+ЯНВАРЬ!AJ116+ФЕВРАЛЬ!AJ121</f>
        <v>0</v>
      </c>
      <c r="AK122" s="93"/>
      <c r="AL122" s="93">
        <f>ДЕКАБРЬ!AL116+ЯНВАРЬ!AL116+ФЕВРАЛЬ!AL121</f>
        <v>0</v>
      </c>
      <c r="AM122" s="93">
        <f>ДЕКАБРЬ!AM116+ЯНВАРЬ!AM116+ФЕВРАЛЬ!AM121</f>
        <v>0</v>
      </c>
      <c r="AN122" s="93">
        <f>ДЕКАБРЬ!AN116+ЯНВАРЬ!AN116+ФЕВРАЛЬ!AN121</f>
        <v>0</v>
      </c>
      <c r="AO122" s="95">
        <f t="shared" si="109"/>
        <v>0</v>
      </c>
      <c r="AP122" s="96"/>
      <c r="AQ122" s="97">
        <f t="shared" si="100"/>
        <v>0</v>
      </c>
      <c r="AR122" s="98">
        <f t="shared" si="101"/>
        <v>205</v>
      </c>
      <c r="AS122" s="98">
        <f t="shared" si="102"/>
        <v>0</v>
      </c>
      <c r="AT122" s="98">
        <f t="shared" si="103"/>
        <v>0</v>
      </c>
      <c r="AU122" s="98">
        <f t="shared" si="104"/>
        <v>0</v>
      </c>
      <c r="AV122" s="98">
        <f t="array" ref="AV122">_xlfn.IFS(U122=0,AO122,U122&lt;0,AO122/-U122,U122&gt;0,AO122/U122)</f>
        <v>0</v>
      </c>
      <c r="AW122" s="234">
        <f t="shared" si="105"/>
        <v>0</v>
      </c>
      <c r="AX122" s="234">
        <f t="shared" si="106"/>
        <v>0</v>
      </c>
      <c r="AY122" s="99"/>
      <c r="AZ122" s="94">
        <f t="shared" si="107"/>
        <v>0</v>
      </c>
    </row>
    <row r="123" spans="1:52" outlineLevel="1">
      <c r="A123" s="89" t="s">
        <v>219</v>
      </c>
      <c r="B123" s="90">
        <v>261561322</v>
      </c>
      <c r="C123" s="90" t="s">
        <v>234</v>
      </c>
      <c r="D123" s="121"/>
      <c r="E123" s="241">
        <f t="shared" si="108"/>
        <v>1</v>
      </c>
      <c r="F123" s="93"/>
      <c r="G123" s="93"/>
      <c r="H123" s="93">
        <v>0</v>
      </c>
      <c r="I123" s="93">
        <v>1</v>
      </c>
      <c r="J123" s="93"/>
      <c r="K123" s="92">
        <v>453</v>
      </c>
      <c r="L123" s="92">
        <f t="shared" si="92"/>
        <v>453</v>
      </c>
      <c r="M123" s="89"/>
      <c r="N123" s="93">
        <f>ДЕКАБРЬ!N117+ЯНВАРЬ!N117+ФЕВРАЛЬ!N122</f>
        <v>0</v>
      </c>
      <c r="O123" s="89"/>
      <c r="P123" s="89"/>
      <c r="Q123" s="233"/>
      <c r="R123" s="92"/>
      <c r="S123" s="93">
        <f>ДЕКАБРЬ!S117+ЯНВАРЬ!S117+ФЕВРАЛЬ!S122</f>
        <v>0</v>
      </c>
      <c r="T123" s="93">
        <f>ДЕКАБРЬ!T117+ЯНВАРЬ!T117+ФЕВРАЛЬ!T122</f>
        <v>0</v>
      </c>
      <c r="U123" s="92">
        <f t="shared" si="93"/>
        <v>0</v>
      </c>
      <c r="V123" s="93">
        <f>ДЕКАБРЬ!V117+ЯНВАРЬ!V117+ФЕВРАЛЬ!V122</f>
        <v>0</v>
      </c>
      <c r="W123" s="93">
        <f>ДЕКАБРЬ!W117+ЯНВАРЬ!W117+ФЕВРАЛЬ!W122</f>
        <v>0</v>
      </c>
      <c r="X123" s="92">
        <f t="shared" si="94"/>
        <v>0</v>
      </c>
      <c r="Y123" s="93">
        <f>ДЕКАБРЬ!Y117+ЯНВАРЬ!Y117+ФЕВРАЛЬ!Y122</f>
        <v>0</v>
      </c>
      <c r="Z123" s="93">
        <f>ДЕКАБРЬ!Z117+ЯНВАРЬ!Z117+ФЕВРАЛЬ!Z122</f>
        <v>0</v>
      </c>
      <c r="AA123" s="232">
        <f t="shared" si="95"/>
        <v>0</v>
      </c>
      <c r="AB123" s="92">
        <f t="shared" si="96"/>
        <v>0</v>
      </c>
      <c r="AC123" s="234">
        <f t="shared" si="97"/>
        <v>0</v>
      </c>
      <c r="AD123" s="92">
        <f t="shared" si="98"/>
        <v>0</v>
      </c>
      <c r="AE123" s="93">
        <f>ДЕКАБРЬ!AE117+ЯНВАРЬ!AE117+ФЕВРАЛЬ!AE122</f>
        <v>0</v>
      </c>
      <c r="AF123" s="234">
        <f t="shared" si="99"/>
        <v>0</v>
      </c>
      <c r="AG123" s="93">
        <f>ДЕКАБРЬ!AG117+ЯНВАРЬ!AG117+ФЕВРАЛЬ!AG122</f>
        <v>0</v>
      </c>
      <c r="AH123" s="93">
        <f>ДЕКАБРЬ!AH117+ЯНВАРЬ!AH117+ФЕВРАЛЬ!AH122</f>
        <v>0</v>
      </c>
      <c r="AI123" s="93">
        <f>ДЕКАБРЬ!AI117+ЯНВАРЬ!AI117+ФЕВРАЛЬ!AI122</f>
        <v>0</v>
      </c>
      <c r="AJ123" s="93">
        <f>ДЕКАБРЬ!AJ117+ЯНВАРЬ!AJ117+ФЕВРАЛЬ!AJ122</f>
        <v>0</v>
      </c>
      <c r="AK123" s="93"/>
      <c r="AL123" s="93">
        <f>ДЕКАБРЬ!AL117+ЯНВАРЬ!AL117+ФЕВРАЛЬ!AL122</f>
        <v>0</v>
      </c>
      <c r="AM123" s="93">
        <f>ДЕКАБРЬ!AM117+ЯНВАРЬ!AM117+ФЕВРАЛЬ!AM122</f>
        <v>0</v>
      </c>
      <c r="AN123" s="93">
        <f>ДЕКАБРЬ!AN117+ЯНВАРЬ!AN117+ФЕВРАЛЬ!AN122</f>
        <v>0</v>
      </c>
      <c r="AO123" s="95">
        <f>AA123-AD123-AE123-AG123-AH123-AI123-AK123-AL123-AN123-AM123</f>
        <v>0</v>
      </c>
      <c r="AP123" s="96"/>
      <c r="AQ123" s="97">
        <f t="shared" si="100"/>
        <v>0</v>
      </c>
      <c r="AR123" s="98">
        <f t="shared" si="101"/>
        <v>453</v>
      </c>
      <c r="AS123" s="98">
        <f t="shared" si="102"/>
        <v>0</v>
      </c>
      <c r="AT123" s="98">
        <f t="shared" si="103"/>
        <v>0</v>
      </c>
      <c r="AU123" s="98">
        <f t="shared" si="104"/>
        <v>0</v>
      </c>
      <c r="AV123" s="98">
        <f t="array" ref="AV123">_xlfn.IFS(U123=0,AO123,U123&lt;0,AO123/-U123,U123&gt;0,AO123/U123)</f>
        <v>0</v>
      </c>
      <c r="AW123" s="234">
        <f t="shared" si="105"/>
        <v>0</v>
      </c>
      <c r="AX123" s="234">
        <f t="shared" si="106"/>
        <v>0</v>
      </c>
      <c r="AY123" s="99"/>
      <c r="AZ123" s="94">
        <f t="shared" si="107"/>
        <v>0</v>
      </c>
    </row>
    <row r="124" spans="1:52">
      <c r="A124" s="127"/>
      <c r="B124" s="100"/>
      <c r="C124" s="103" t="s">
        <v>218</v>
      </c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129"/>
      <c r="T124" s="129"/>
      <c r="U124" s="92"/>
      <c r="V124" s="129"/>
      <c r="W124" s="129"/>
      <c r="X124" s="92"/>
      <c r="Y124" s="129"/>
      <c r="Z124" s="129"/>
      <c r="AA124" s="232"/>
      <c r="AB124" s="92"/>
      <c r="AC124" s="234"/>
      <c r="AD124" s="92"/>
      <c r="AE124" s="129"/>
      <c r="AF124" s="234"/>
      <c r="AG124" s="106">
        <f>ДЕКАБРЬ!AG118+ЯНВАРЬ!AG118+ФЕВРАЛЬ!AG123</f>
        <v>172.96</v>
      </c>
      <c r="AH124" s="129"/>
      <c r="AI124" s="129"/>
      <c r="AJ124" s="129"/>
      <c r="AK124" s="93"/>
      <c r="AL124" s="122"/>
      <c r="AM124" s="129"/>
      <c r="AN124" s="129"/>
      <c r="AO124" s="95">
        <f t="shared" si="109"/>
        <v>-172.96</v>
      </c>
      <c r="AP124" s="96"/>
      <c r="AQ124" s="130">
        <f t="shared" ref="AQ124:AX124" si="110">AVERAGE(AQ116:AQ123)</f>
        <v>0</v>
      </c>
      <c r="AR124" s="130">
        <f t="shared" si="110"/>
        <v>227.125</v>
      </c>
      <c r="AS124" s="130">
        <f t="shared" si="110"/>
        <v>0</v>
      </c>
      <c r="AT124" s="130">
        <f t="shared" si="110"/>
        <v>0</v>
      </c>
      <c r="AU124" s="130">
        <f t="shared" si="110"/>
        <v>0</v>
      </c>
      <c r="AV124" s="130">
        <f t="shared" si="110"/>
        <v>0</v>
      </c>
      <c r="AW124" s="131">
        <f t="shared" si="110"/>
        <v>0</v>
      </c>
      <c r="AX124" s="131">
        <f t="shared" si="110"/>
        <v>0</v>
      </c>
      <c r="AY124" s="99"/>
      <c r="AZ124" s="94"/>
    </row>
    <row r="125" spans="1:52" s="139" customFormat="1" ht="15" customHeight="1">
      <c r="A125" s="132" t="s">
        <v>235</v>
      </c>
      <c r="B125" s="133"/>
      <c r="C125" s="134"/>
      <c r="D125" s="134"/>
      <c r="E125" s="264">
        <f t="shared" ref="E125:J125" si="111">SUM(E116:E123)</f>
        <v>14</v>
      </c>
      <c r="F125" s="134">
        <f t="shared" si="111"/>
        <v>0</v>
      </c>
      <c r="G125" s="134">
        <f t="shared" si="111"/>
        <v>0</v>
      </c>
      <c r="H125" s="134">
        <f t="shared" si="111"/>
        <v>0</v>
      </c>
      <c r="I125" s="134">
        <f t="shared" si="111"/>
        <v>8</v>
      </c>
      <c r="J125" s="134">
        <f t="shared" si="111"/>
        <v>6</v>
      </c>
      <c r="K125" s="134"/>
      <c r="L125" s="134">
        <f>SUM(L116:L123)</f>
        <v>3057</v>
      </c>
      <c r="M125" s="134"/>
      <c r="N125" s="134">
        <f>SUM(N116:N123)</f>
        <v>0</v>
      </c>
      <c r="O125" s="134"/>
      <c r="P125" s="134"/>
      <c r="Q125" s="213"/>
      <c r="R125" s="134"/>
      <c r="S125" s="134">
        <f>SUM(S116:S123)</f>
        <v>0</v>
      </c>
      <c r="T125" s="134">
        <f>SUM(T116:T123)</f>
        <v>0</v>
      </c>
      <c r="U125" s="134">
        <f t="shared" ref="U125:AD125" si="112">SUM(U116:U123)</f>
        <v>0</v>
      </c>
      <c r="V125" s="134">
        <f>SUM(V116:V123)</f>
        <v>0</v>
      </c>
      <c r="W125" s="134">
        <f>SUM(W116:W123)</f>
        <v>0</v>
      </c>
      <c r="X125" s="134">
        <f t="shared" si="112"/>
        <v>0</v>
      </c>
      <c r="Y125" s="134">
        <f>SUM(Y116:Y123)</f>
        <v>0</v>
      </c>
      <c r="Z125" s="134">
        <f>SUM(Z116:Z123)</f>
        <v>0</v>
      </c>
      <c r="AA125" s="264">
        <f t="shared" si="112"/>
        <v>0</v>
      </c>
      <c r="AB125" s="134">
        <f t="shared" si="112"/>
        <v>0</v>
      </c>
      <c r="AC125" s="265">
        <f t="shared" si="112"/>
        <v>0</v>
      </c>
      <c r="AD125" s="135">
        <f t="shared" si="112"/>
        <v>0</v>
      </c>
      <c r="AE125" s="134">
        <f>SUM(AE116:AE123)</f>
        <v>0</v>
      </c>
      <c r="AF125" s="265" t="e">
        <f>AE125/AA125</f>
        <v>#DIV/0!</v>
      </c>
      <c r="AG125" s="134">
        <f>SUM(AG116:AG124)</f>
        <v>172.96</v>
      </c>
      <c r="AH125" s="134">
        <f>SUM(AH116:AH123)</f>
        <v>0</v>
      </c>
      <c r="AI125" s="134">
        <f>SUM(AI116:AI123)</f>
        <v>0</v>
      </c>
      <c r="AJ125" s="134">
        <f>SUM(AJ116:AJ123)</f>
        <v>0</v>
      </c>
      <c r="AK125" s="134">
        <f t="shared" ref="AK125" si="113">SUM(AK116:AK123)</f>
        <v>0</v>
      </c>
      <c r="AL125" s="136">
        <f>SUM(AL116:AL123)</f>
        <v>0</v>
      </c>
      <c r="AM125" s="134">
        <f>SUM(AM116:AM123)</f>
        <v>0</v>
      </c>
      <c r="AN125" s="134">
        <f>SUM(AN116:AN123)</f>
        <v>0</v>
      </c>
      <c r="AO125" s="134">
        <f>SUM(AO116:AO124)</f>
        <v>-172.96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>
      <c r="A126" s="140"/>
      <c r="B126" s="141"/>
      <c r="C126" s="140" t="s">
        <v>282</v>
      </c>
      <c r="D126" s="142"/>
      <c r="E126" s="266"/>
      <c r="H126" s="144"/>
      <c r="N126" s="144"/>
      <c r="O126" s="144"/>
      <c r="P126" s="144"/>
      <c r="Q126" s="214"/>
      <c r="R126" s="145"/>
      <c r="S126" s="144"/>
      <c r="T126" s="144"/>
      <c r="U126" s="147"/>
      <c r="V126" s="144"/>
      <c r="W126" s="144"/>
      <c r="X126" s="147"/>
      <c r="Y126" s="144"/>
      <c r="Z126" s="144"/>
      <c r="AA126" s="303"/>
      <c r="AB126" s="147"/>
      <c r="AE126" s="144"/>
      <c r="AG126" s="106">
        <f>ДЕКАБРЬ!AG120+ЯНВАРЬ!AG120+ФЕВРАЛЬ!AG125</f>
        <v>170</v>
      </c>
      <c r="AH126" s="144"/>
      <c r="AI126" s="144"/>
      <c r="AJ126" s="144"/>
      <c r="AK126" s="306"/>
      <c r="AL126" s="149"/>
      <c r="AM126" s="144"/>
      <c r="AN126" s="144"/>
      <c r="AO126" s="95">
        <f t="shared" ref="AO126" si="114">AA126-AD126-AE126-AG126-AH126-AI126-AK126-AL126-AN126-AM126</f>
        <v>-170</v>
      </c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D127" si="115">E106+E114+E125</f>
        <v>21</v>
      </c>
      <c r="F127" s="267">
        <f t="shared" si="115"/>
        <v>0</v>
      </c>
      <c r="G127" s="267">
        <f t="shared" si="115"/>
        <v>0</v>
      </c>
      <c r="H127" s="267">
        <f t="shared" si="115"/>
        <v>1</v>
      </c>
      <c r="I127" s="267">
        <f t="shared" si="115"/>
        <v>8</v>
      </c>
      <c r="J127" s="267">
        <f t="shared" si="115"/>
        <v>12</v>
      </c>
      <c r="K127" s="267">
        <f t="shared" si="115"/>
        <v>0</v>
      </c>
      <c r="L127" s="267">
        <f t="shared" si="115"/>
        <v>6961.2599999999993</v>
      </c>
      <c r="M127" s="267">
        <f t="shared" si="115"/>
        <v>0</v>
      </c>
      <c r="N127" s="267">
        <f t="shared" si="115"/>
        <v>63691</v>
      </c>
      <c r="O127" s="267">
        <f t="shared" si="115"/>
        <v>0</v>
      </c>
      <c r="P127" s="267">
        <f t="shared" si="115"/>
        <v>0</v>
      </c>
      <c r="Q127" s="215">
        <f t="shared" si="115"/>
        <v>0</v>
      </c>
      <c r="R127" s="267">
        <f t="shared" si="115"/>
        <v>0</v>
      </c>
      <c r="S127" s="267">
        <f>S106+S114+S125</f>
        <v>34179</v>
      </c>
      <c r="T127" s="267">
        <f t="shared" ref="T127" si="116">T106+T114+T125</f>
        <v>-784</v>
      </c>
      <c r="U127" s="267">
        <f t="shared" si="115"/>
        <v>33395</v>
      </c>
      <c r="V127" s="267">
        <f t="shared" ref="V127:W127" si="117">V106+V114+V125</f>
        <v>30038326.490000002</v>
      </c>
      <c r="W127" s="267">
        <f t="shared" si="117"/>
        <v>-689771.02000000014</v>
      </c>
      <c r="X127" s="267">
        <f t="shared" si="115"/>
        <v>29348555.47000001</v>
      </c>
      <c r="Y127" s="267">
        <f t="shared" ref="Y127:Z127" si="118">Y106+Y114+Y125</f>
        <v>45194346.859999992</v>
      </c>
      <c r="Z127" s="267">
        <f t="shared" si="118"/>
        <v>-1042021.27</v>
      </c>
      <c r="AA127" s="267">
        <f t="shared" si="115"/>
        <v>44152325.589999996</v>
      </c>
      <c r="AB127" s="267">
        <f t="shared" si="115"/>
        <v>0</v>
      </c>
      <c r="AC127" s="267">
        <f t="shared" si="115"/>
        <v>1</v>
      </c>
      <c r="AD127" s="267">
        <f t="shared" si="115"/>
        <v>4158319.8500000006</v>
      </c>
      <c r="AE127" s="267">
        <f t="shared" ref="AE127" si="119">AE106+AE114+AE125</f>
        <v>16582908.159999995</v>
      </c>
      <c r="AF127" s="268">
        <f>AE127/AA127</f>
        <v>0.3755840250407067</v>
      </c>
      <c r="AG127" s="267">
        <f>AG106+AG114+AG125+AG126</f>
        <v>4366206.1500000013</v>
      </c>
      <c r="AH127" s="267">
        <f t="shared" ref="AH127" si="120">AH106+AH114+AH125</f>
        <v>1233814</v>
      </c>
      <c r="AI127" s="267">
        <f t="shared" ref="AI127:AJ127" si="121">AI106+AI114+AI125</f>
        <v>3666317</v>
      </c>
      <c r="AJ127" s="267">
        <f t="shared" si="121"/>
        <v>409686</v>
      </c>
      <c r="AK127" s="267">
        <f>AK106+AK114+AK125</f>
        <v>0</v>
      </c>
      <c r="AL127" s="267">
        <f>AL106+AL114+AL125</f>
        <v>162225.87</v>
      </c>
      <c r="AM127" s="267">
        <f t="shared" ref="AM127" si="122">AM106+AM114+AM125</f>
        <v>15472.09</v>
      </c>
      <c r="AN127" s="267">
        <f>AN106+AN114+AN125</f>
        <v>1654647.4737850002</v>
      </c>
      <c r="AO127" s="267">
        <f>AO106+AO114+AO125+AO126</f>
        <v>11902728.996215004</v>
      </c>
      <c r="AP127" s="155"/>
      <c r="AQ127" s="155"/>
      <c r="AR127" s="155"/>
      <c r="AS127" s="155"/>
      <c r="AT127" s="155"/>
      <c r="AU127" s="155">
        <f>(AH127+AI127)/S127</f>
        <v>143.36671640480998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306"/>
      <c r="AK128" s="306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1">
      <c r="C129" s="162"/>
      <c r="D129" s="162"/>
      <c r="N129" s="100">
        <f>Сводная!G28</f>
        <v>67548</v>
      </c>
      <c r="S129" s="100">
        <f>Сводная!H28</f>
        <v>35960</v>
      </c>
      <c r="T129" s="100">
        <f>Сводная!I28</f>
        <v>-827</v>
      </c>
      <c r="Y129" s="163">
        <f>Сводная!M28</f>
        <v>47721887.089999989</v>
      </c>
      <c r="Z129" s="163">
        <f>Сводная!N28</f>
        <v>-1101394.27</v>
      </c>
      <c r="AD129" s="100">
        <f>Сводная!P28</f>
        <v>4374499.0100000016</v>
      </c>
      <c r="AE129" s="100">
        <f>Сводная!R28</f>
        <v>17520568.080000002</v>
      </c>
      <c r="AG129" s="100">
        <f>Сводная!Q28</f>
        <v>4596952.2400000012</v>
      </c>
      <c r="AH129" s="92">
        <f>Сводная!W28</f>
        <v>1234134</v>
      </c>
      <c r="AI129" s="92">
        <f>Сводная!X28</f>
        <v>3683759</v>
      </c>
      <c r="AJ129" s="92">
        <f>Сводная!Y28</f>
        <v>739079</v>
      </c>
      <c r="AK129" s="92">
        <f>Сводная!Z28</f>
        <v>0</v>
      </c>
      <c r="AL129" s="165">
        <f>Сводная!S28</f>
        <v>169712.88999999998</v>
      </c>
      <c r="AM129" s="92">
        <f>Сводная!U28</f>
        <v>15492.09</v>
      </c>
      <c r="AN129" s="339">
        <f>Сводная!AC28</f>
        <v>1757118.5850539999</v>
      </c>
      <c r="AO129" s="339">
        <f>Сводная!AF28+Сводная!V28+Сводная!T28+Сводная!AA28+Сводная!AB28</f>
        <v>12529177.924945997</v>
      </c>
    </row>
    <row r="130" spans="3:41">
      <c r="C130" s="162"/>
      <c r="D130" s="162"/>
      <c r="AO130" s="381"/>
    </row>
    <row r="131" spans="3:41">
      <c r="AD131" s="339"/>
      <c r="AO131" s="339"/>
    </row>
    <row r="133" spans="3:41">
      <c r="AO133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9:AC1048576">
    <cfRule type="cellIs" dxfId="148" priority="29" operator="greaterThan">
      <formula>0.23</formula>
    </cfRule>
  </conditionalFormatting>
  <conditionalFormatting sqref="M124:O124 M107:M113 M3:M105">
    <cfRule type="cellIs" dxfId="147" priority="41" operator="greaterThan">
      <formula>120</formula>
    </cfRule>
  </conditionalFormatting>
  <conditionalFormatting sqref="AC126 AC128">
    <cfRule type="cellIs" dxfId="146" priority="42" operator="greaterThan">
      <formula>0.23</formula>
    </cfRule>
  </conditionalFormatting>
  <conditionalFormatting sqref="AA124:AC124 AA107:AC107 AA113:AC113 AA3:AC10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07 AC113 AC3:AC10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45" priority="40" operator="greaterThan">
      <formula>0.23</formula>
    </cfRule>
  </conditionalFormatting>
  <conditionalFormatting sqref="AV108:AV11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8:AX11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8:AZ11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8:AZ11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4">
    <cfRule type="cellIs" dxfId="144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7 AZ124 AZ113 AZ26:AZ43 AZ94:AZ105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6:AZ1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7 AV26:AV43 AV94:AV10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7:AX107 AW3:AX16 AW26:AX43 AW94:AX10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7 AZ113 AZ26:AZ43 AZ94:AZ10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6:AZ12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6:AV12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6:AX1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6:M123">
    <cfRule type="cellIs" dxfId="143" priority="30" operator="greaterThan">
      <formula>120</formula>
    </cfRule>
  </conditionalFormatting>
  <conditionalFormatting sqref="AA108:AC11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6:AC1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6:AC12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13 AO107 AO3:AO10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4">
    <cfRule type="cellIs" dxfId="142" priority="19" operator="greaterThan">
      <formula>120</formula>
    </cfRule>
  </conditionalFormatting>
  <conditionalFormatting sqref="T124">
    <cfRule type="cellIs" dxfId="141" priority="18" operator="greaterThan">
      <formula>120</formula>
    </cfRule>
  </conditionalFormatting>
  <conditionalFormatting sqref="V124">
    <cfRule type="cellIs" dxfId="140" priority="17" operator="greaterThan">
      <formula>120</formula>
    </cfRule>
  </conditionalFormatting>
  <conditionalFormatting sqref="W124">
    <cfRule type="cellIs" dxfId="139" priority="16" operator="greaterThan">
      <formula>120</formula>
    </cfRule>
  </conditionalFormatting>
  <conditionalFormatting sqref="Y124">
    <cfRule type="cellIs" dxfId="138" priority="15" operator="greaterThan">
      <formula>120</formula>
    </cfRule>
  </conditionalFormatting>
  <conditionalFormatting sqref="Z124">
    <cfRule type="cellIs" dxfId="137" priority="14" operator="greaterThan">
      <formula>120</formula>
    </cfRule>
  </conditionalFormatting>
  <conditionalFormatting sqref="AE124">
    <cfRule type="cellIs" dxfId="136" priority="13" operator="greaterThan">
      <formula>120</formula>
    </cfRule>
  </conditionalFormatting>
  <conditionalFormatting sqref="AH124">
    <cfRule type="cellIs" dxfId="135" priority="11" operator="greaterThan">
      <formula>120</formula>
    </cfRule>
  </conditionalFormatting>
  <conditionalFormatting sqref="AI124">
    <cfRule type="cellIs" dxfId="134" priority="10" operator="greaterThan">
      <formula>120</formula>
    </cfRule>
  </conditionalFormatting>
  <conditionalFormatting sqref="AJ124">
    <cfRule type="cellIs" dxfId="133" priority="9" operator="greaterThan">
      <formula>120</formula>
    </cfRule>
  </conditionalFormatting>
  <conditionalFormatting sqref="AM124">
    <cfRule type="cellIs" dxfId="132" priority="8" operator="greaterThan">
      <formula>120</formula>
    </cfRule>
  </conditionalFormatting>
  <conditionalFormatting sqref="AN124">
    <cfRule type="cellIs" dxfId="131" priority="7" operator="greaterThan">
      <formula>120</formula>
    </cfRule>
  </conditionalFormatting>
  <conditionalFormatting sqref="AO1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8:AO1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8:AO1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6:AO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6:AO1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AA3:AC105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 AC113 AC3:AC105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AA108:AC112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AA116:AC123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AO113 AO107 AO3:AO105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sheetPr codeName="Лист21"/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BA3B-09BB-47FD-ADA2-3DE236733DE5}">
  <sheetPr codeName="Лист42"/>
  <dimension ref="A1:AZ134"/>
  <sheetViews>
    <sheetView zoomScale="70" zoomScaleNormal="70" workbookViewId="0">
      <pane xSplit="3" ySplit="2" topLeftCell="K88" activePane="bottomRight" state="frozen"/>
      <selection pane="topRight" activeCell="D1" sqref="D1"/>
      <selection pane="bottomLeft" activeCell="A3" sqref="A3"/>
      <selection pane="bottomRight" activeCell="C105" sqref="C105:C10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373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513" t="s">
        <v>43</v>
      </c>
      <c r="N1" s="585" t="s">
        <v>351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/>
      <c r="AK1" s="512"/>
      <c r="AL1" s="514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374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>
        <v>52</v>
      </c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34" si="3">AA3/$AA$131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34" si="6">IFERROR($AL$131*H3/$H$131,0)</f>
        <v>0</v>
      </c>
      <c r="AM3" s="93"/>
      <c r="AN3" s="94">
        <f>X3*5.71%</f>
        <v>0</v>
      </c>
      <c r="AO3" s="95">
        <f>AA3-AD3-AE3-AG3-AH3-AI3-AJ3-AK3-AL3-AN3-AM3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>
        <v>13</v>
      </c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 t="shared" ref="AO4:AO67" si="19">AA4-AD4-AE4-AG4-AH4-AI4-AJ4-AK4-AL4-AN4-AM4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20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>
        <v>34</v>
      </c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si="19"/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20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>
        <v>65</v>
      </c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19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20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>
        <v>41</v>
      </c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19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20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>
        <v>28</v>
      </c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19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20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>
        <v>23</v>
      </c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19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20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>
        <v>46</v>
      </c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19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20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>
        <v>34</v>
      </c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19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20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>
        <v>64</v>
      </c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19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20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>
        <v>23</v>
      </c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19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20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>
        <v>130</v>
      </c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19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20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>
        <v>55</v>
      </c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19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20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>
        <v>29</v>
      </c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19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20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>
        <v>35</v>
      </c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19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20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>
        <v>154</v>
      </c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19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20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>
        <v>0</v>
      </c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0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>
        <v>126</v>
      </c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19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0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>
        <v>125</v>
      </c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19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20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>
        <v>97</v>
      </c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19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20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>
        <v>999</v>
      </c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20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>
        <v>124</v>
      </c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19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20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>
        <v>1</v>
      </c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20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>
        <v>999</v>
      </c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19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20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>
        <v>8</v>
      </c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19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20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>
        <v>199</v>
      </c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19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20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>
        <v>1</v>
      </c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20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>
        <v>999</v>
      </c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19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20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>
        <v>999</v>
      </c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19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20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>
        <v>1</v>
      </c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20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>
        <v>217</v>
      </c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19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20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>
        <v>999</v>
      </c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19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20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>
        <v>0</v>
      </c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ref="AC35:AC66" si="38">AA35/$AA$131</f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ref="AL35:AL66" si="39">IFERROR($AL$131*H35/$H$131,0)</f>
        <v>0</v>
      </c>
      <c r="AM35" s="93"/>
      <c r="AN35" s="94">
        <f t="shared" si="18"/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20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>
        <v>0</v>
      </c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8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39"/>
        <v>0</v>
      </c>
      <c r="AM36" s="93"/>
      <c r="AN36" s="94">
        <f t="shared" si="18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20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>
        <v>999</v>
      </c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8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39"/>
        <v>0</v>
      </c>
      <c r="AM37" s="93"/>
      <c r="AN37" s="94">
        <f t="shared" si="18"/>
        <v>0</v>
      </c>
      <c r="AO37" s="95">
        <f t="shared" si="19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20"/>
        <v>0</v>
      </c>
      <c r="AV37" s="98">
        <f t="array" ref="AV37">_xlfn.IFS(U37=0,AO37,U37&lt;0,AO37/-U37,U37&gt;0,AO37/U37)</f>
        <v>0</v>
      </c>
      <c r="AW37" s="234">
        <f t="shared" si="40"/>
        <v>0</v>
      </c>
      <c r="AX37" s="234">
        <f t="shared" si="41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>
        <v>999</v>
      </c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8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39"/>
        <v>0</v>
      </c>
      <c r="AM38" s="93"/>
      <c r="AN38" s="94">
        <f t="shared" si="18"/>
        <v>0</v>
      </c>
      <c r="AO38" s="95">
        <f t="shared" si="19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20"/>
        <v>0</v>
      </c>
      <c r="AV38" s="98">
        <f t="array" ref="AV38">_xlfn.IFS(U38=0,AO38,U38&lt;0,AO38/-U38,U38&gt;0,AO38/U38)</f>
        <v>0</v>
      </c>
      <c r="AW38" s="234">
        <f t="shared" si="40"/>
        <v>0</v>
      </c>
      <c r="AX38" s="234">
        <f t="shared" si="41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>
        <v>999</v>
      </c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8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39"/>
        <v>0</v>
      </c>
      <c r="AM39" s="93"/>
      <c r="AN39" s="94">
        <f t="shared" si="18"/>
        <v>0</v>
      </c>
      <c r="AO39" s="95">
        <f t="shared" si="19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20"/>
        <v>0</v>
      </c>
      <c r="AV39" s="98">
        <f t="array" ref="AV39">_xlfn.IFS(U39=0,AO39,U39&lt;0,AO39/-U39,U39&gt;0,AO39/U39)</f>
        <v>0</v>
      </c>
      <c r="AW39" s="234">
        <f t="shared" si="40"/>
        <v>0</v>
      </c>
      <c r="AX39" s="234">
        <f t="shared" si="41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>
        <v>999</v>
      </c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8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39"/>
        <v>0</v>
      </c>
      <c r="AM40" s="93"/>
      <c r="AN40" s="94">
        <f t="shared" si="18"/>
        <v>0</v>
      </c>
      <c r="AO40" s="95">
        <f t="shared" si="19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20"/>
        <v>0</v>
      </c>
      <c r="AV40" s="98">
        <f t="array" ref="AV40">_xlfn.IFS(U40=0,AO40,U40&lt;0,AO40/-U40,U40&gt;0,AO40/U40)</f>
        <v>0</v>
      </c>
      <c r="AW40" s="234">
        <f t="shared" si="40"/>
        <v>0</v>
      </c>
      <c r="AX40" s="234">
        <f t="shared" si="41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>
        <v>999</v>
      </c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8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39"/>
        <v>0</v>
      </c>
      <c r="AM41" s="93"/>
      <c r="AN41" s="94">
        <f t="shared" si="18"/>
        <v>0</v>
      </c>
      <c r="AO41" s="95">
        <f t="shared" si="19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20"/>
        <v>0</v>
      </c>
      <c r="AV41" s="98">
        <f t="array" ref="AV41">_xlfn.IFS(U41=0,AO41,U41&lt;0,AO41/-U41,U41&gt;0,AO41/U41)</f>
        <v>0</v>
      </c>
      <c r="AW41" s="234">
        <f t="shared" si="40"/>
        <v>0</v>
      </c>
      <c r="AX41" s="234">
        <f t="shared" si="41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>
        <v>999</v>
      </c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8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39"/>
        <v>0</v>
      </c>
      <c r="AM42" s="93"/>
      <c r="AN42" s="94">
        <f t="shared" si="18"/>
        <v>0</v>
      </c>
      <c r="AO42" s="95">
        <f t="shared" si="19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20"/>
        <v>0</v>
      </c>
      <c r="AV42" s="98">
        <f t="array" ref="AV42">_xlfn.IFS(U42=0,AO42,U42&lt;0,AO42/-U42,U42&gt;0,AO42/U42)</f>
        <v>0</v>
      </c>
      <c r="AW42" s="234">
        <f t="shared" si="40"/>
        <v>0</v>
      </c>
      <c r="AX42" s="234">
        <f t="shared" si="41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>
        <v>20</v>
      </c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8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39"/>
        <v>0</v>
      </c>
      <c r="AM43" s="93"/>
      <c r="AN43" s="94">
        <f t="shared" si="18"/>
        <v>0</v>
      </c>
      <c r="AO43" s="95">
        <f t="shared" si="19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20"/>
        <v>0</v>
      </c>
      <c r="AV43" s="98">
        <f t="array" ref="AV43">_xlfn.IFS(U43=0,AO43,U43&lt;0,AO43/-U43,U43&gt;0,AO43/U43)</f>
        <v>0</v>
      </c>
      <c r="AW43" s="234">
        <f t="shared" si="40"/>
        <v>0</v>
      </c>
      <c r="AX43" s="234">
        <f t="shared" si="41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>
        <v>48</v>
      </c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8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39"/>
        <v>0</v>
      </c>
      <c r="AM44" s="93"/>
      <c r="AN44" s="94">
        <f t="shared" si="18"/>
        <v>0</v>
      </c>
      <c r="AO44" s="95">
        <f t="shared" si="19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20"/>
        <v>0</v>
      </c>
      <c r="AV44" s="98">
        <f t="array" ref="AV44">_xlfn.IFS(U44=0,AO44,U44&lt;0,AO44/-U44,U44&gt;0,AO44/U44)</f>
        <v>0</v>
      </c>
      <c r="AW44" s="234">
        <f t="shared" si="40"/>
        <v>0</v>
      </c>
      <c r="AX44" s="234">
        <f t="shared" si="41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>
        <v>21</v>
      </c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8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39"/>
        <v>0</v>
      </c>
      <c r="AM45" s="93"/>
      <c r="AN45" s="94">
        <f t="shared" si="18"/>
        <v>0</v>
      </c>
      <c r="AO45" s="95">
        <f t="shared" si="19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20"/>
        <v>0</v>
      </c>
      <c r="AV45" s="98">
        <f t="array" ref="AV45">_xlfn.IFS(U45=0,AO45,U45&lt;0,AO45/-U45,U45&gt;0,AO45/U45)</f>
        <v>0</v>
      </c>
      <c r="AW45" s="234">
        <f t="shared" si="40"/>
        <v>0</v>
      </c>
      <c r="AX45" s="234">
        <f t="shared" si="41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>
        <v>0</v>
      </c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8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39"/>
        <v>0</v>
      </c>
      <c r="AM46" s="93"/>
      <c r="AN46" s="94">
        <f t="shared" si="18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20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>
        <v>29</v>
      </c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8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39"/>
        <v>0</v>
      </c>
      <c r="AM47" s="93"/>
      <c r="AN47" s="94">
        <f t="shared" si="18"/>
        <v>0</v>
      </c>
      <c r="AO47" s="95">
        <f t="shared" si="19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20"/>
        <v>0</v>
      </c>
      <c r="AV47" s="98">
        <f t="array" ref="AV47">_xlfn.IFS(U47=0,AO47,U47&lt;0,AO47/-U47,U47&gt;0,AO47/U47)</f>
        <v>0</v>
      </c>
      <c r="AW47" s="234">
        <f t="shared" si="40"/>
        <v>0</v>
      </c>
      <c r="AX47" s="234">
        <f t="shared" si="41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>
        <v>44</v>
      </c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8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39"/>
        <v>0</v>
      </c>
      <c r="AM48" s="93"/>
      <c r="AN48" s="94">
        <f t="shared" si="18"/>
        <v>0</v>
      </c>
      <c r="AO48" s="95">
        <f t="shared" si="19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20"/>
        <v>0</v>
      </c>
      <c r="AV48" s="98">
        <f t="array" ref="AV48">_xlfn.IFS(U48=0,AO48,U48&lt;0,AO48/-U48,U48&gt;0,AO48/U48)</f>
        <v>0</v>
      </c>
      <c r="AW48" s="234">
        <f t="shared" si="40"/>
        <v>0</v>
      </c>
      <c r="AX48" s="234">
        <f t="shared" si="41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>
        <v>24</v>
      </c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8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39"/>
        <v>0</v>
      </c>
      <c r="AM49" s="93"/>
      <c r="AN49" s="94">
        <f t="shared" si="18"/>
        <v>0</v>
      </c>
      <c r="AO49" s="95">
        <f t="shared" si="19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20"/>
        <v>0</v>
      </c>
      <c r="AV49" s="98">
        <f t="array" ref="AV49">_xlfn.IFS(U49=0,AO49,U49&lt;0,AO49/-U49,U49&gt;0,AO49/U49)</f>
        <v>0</v>
      </c>
      <c r="AW49" s="234">
        <f t="shared" si="40"/>
        <v>0</v>
      </c>
      <c r="AX49" s="234">
        <f t="shared" si="41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>
        <v>23</v>
      </c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8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39"/>
        <v>0</v>
      </c>
      <c r="AM50" s="93"/>
      <c r="AN50" s="94">
        <f t="shared" si="18"/>
        <v>0</v>
      </c>
      <c r="AO50" s="95">
        <f t="shared" si="19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20"/>
        <v>0</v>
      </c>
      <c r="AV50" s="98">
        <f t="array" ref="AV50">_xlfn.IFS(U50=0,AO50,U50&lt;0,AO50/-U50,U50&gt;0,AO50/U50)</f>
        <v>0</v>
      </c>
      <c r="AW50" s="234">
        <f t="shared" si="40"/>
        <v>0</v>
      </c>
      <c r="AX50" s="234">
        <f t="shared" si="41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>
        <v>999</v>
      </c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8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39"/>
        <v>0</v>
      </c>
      <c r="AM51" s="93"/>
      <c r="AN51" s="94">
        <f t="shared" si="18"/>
        <v>0</v>
      </c>
      <c r="AO51" s="95">
        <f t="shared" si="19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20"/>
        <v>0</v>
      </c>
      <c r="AV51" s="98">
        <f t="array" ref="AV51">_xlfn.IFS(U51=0,AO51,U51&lt;0,AO51/-U51,U51&gt;0,AO51/U51)</f>
        <v>0</v>
      </c>
      <c r="AW51" s="234">
        <f t="shared" si="40"/>
        <v>0</v>
      </c>
      <c r="AX51" s="234">
        <f t="shared" si="41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>
        <v>24</v>
      </c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8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39"/>
        <v>0</v>
      </c>
      <c r="AM52" s="93"/>
      <c r="AN52" s="94">
        <f t="shared" si="18"/>
        <v>0</v>
      </c>
      <c r="AO52" s="95">
        <f t="shared" si="19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20"/>
        <v>0</v>
      </c>
      <c r="AV52" s="98">
        <f t="array" ref="AV52">_xlfn.IFS(U52=0,AO52,U52&lt;0,AO52/-U52,U52&gt;0,AO52/U52)</f>
        <v>0</v>
      </c>
      <c r="AW52" s="234">
        <f t="shared" si="40"/>
        <v>0</v>
      </c>
      <c r="AX52" s="234">
        <f t="shared" si="41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>
        <v>999</v>
      </c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8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39"/>
        <v>0</v>
      </c>
      <c r="AM53" s="93"/>
      <c r="AN53" s="94">
        <f t="shared" si="18"/>
        <v>0</v>
      </c>
      <c r="AO53" s="95">
        <f t="shared" si="19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20"/>
        <v>0</v>
      </c>
      <c r="AV53" s="98">
        <f t="array" ref="AV53">_xlfn.IFS(U53=0,AO53,U53&lt;0,AO53/-U53,U53&gt;0,AO53/U53)</f>
        <v>0</v>
      </c>
      <c r="AW53" s="234">
        <f t="shared" si="40"/>
        <v>0</v>
      </c>
      <c r="AX53" s="234">
        <f t="shared" si="41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8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>
        <v>150</v>
      </c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8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39"/>
        <v>0</v>
      </c>
      <c r="AM54" s="93"/>
      <c r="AN54" s="94">
        <f t="shared" si="18"/>
        <v>0</v>
      </c>
      <c r="AO54" s="95">
        <f t="shared" si="19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20"/>
        <v>0</v>
      </c>
      <c r="AV54" s="98">
        <f t="array" ref="AV54">_xlfn.IFS(U54=0,AO54,U54&lt;0,AO54/-U54,U54&gt;0,AO54/U54)</f>
        <v>0</v>
      </c>
      <c r="AW54" s="234">
        <f t="shared" si="40"/>
        <v>0</v>
      </c>
      <c r="AX54" s="234">
        <f t="shared" si="41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>
        <v>21</v>
      </c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8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39"/>
        <v>0</v>
      </c>
      <c r="AM55" s="93"/>
      <c r="AN55" s="94">
        <f t="shared" si="18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20"/>
        <v>0</v>
      </c>
      <c r="AV55" s="98">
        <f t="array" ref="AV55">_xlfn.IFS(U55=0,AO55,U55&lt;0,AO55/-U55,U55&gt;0,AO55/U55)</f>
        <v>0</v>
      </c>
      <c r="AW55" s="234">
        <f t="shared" si="40"/>
        <v>0</v>
      </c>
      <c r="AX55" s="234">
        <f t="shared" si="41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>
        <v>1</v>
      </c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8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39"/>
        <v>0</v>
      </c>
      <c r="AM56" s="93"/>
      <c r="AN56" s="94">
        <f t="shared" si="18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20"/>
        <v>0</v>
      </c>
      <c r="AV56" s="98">
        <f t="array" ref="AV56">_xlfn.IFS(U56=0,AO56,U56&lt;0,AO56/-U56,U56&gt;0,AO56/U56)</f>
        <v>0</v>
      </c>
      <c r="AW56" s="234">
        <f t="shared" si="40"/>
        <v>0</v>
      </c>
      <c r="AX56" s="234">
        <f t="shared" si="41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>
        <v>0</v>
      </c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8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39"/>
        <v>0</v>
      </c>
      <c r="AM57" s="93"/>
      <c r="AN57" s="94">
        <f t="shared" si="18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20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>
        <v>84</v>
      </c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8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39"/>
        <v>0</v>
      </c>
      <c r="AM58" s="93"/>
      <c r="AN58" s="94">
        <f t="shared" si="18"/>
        <v>0</v>
      </c>
      <c r="AO58" s="95">
        <f t="shared" si="19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20"/>
        <v>0</v>
      </c>
      <c r="AV58" s="98">
        <f t="array" ref="AV58">_xlfn.IFS(U58=0,AO58,U58&lt;0,AO58/-U58,U58&gt;0,AO58/U58)</f>
        <v>0</v>
      </c>
      <c r="AW58" s="234">
        <f t="shared" si="40"/>
        <v>0</v>
      </c>
      <c r="AX58" s="234">
        <f t="shared" si="41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>
        <v>0</v>
      </c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8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39"/>
        <v>0</v>
      </c>
      <c r="AM59" s="93"/>
      <c r="AN59" s="94">
        <f t="shared" si="18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20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>
        <v>999</v>
      </c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8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39"/>
        <v>0</v>
      </c>
      <c r="AM60" s="93"/>
      <c r="AN60" s="94">
        <f t="shared" si="18"/>
        <v>0</v>
      </c>
      <c r="AO60" s="95">
        <f t="shared" si="19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20"/>
        <v>0</v>
      </c>
      <c r="AV60" s="98">
        <f t="array" ref="AV60">_xlfn.IFS(U60=0,AO60,U60&lt;0,AO60/-U60,U60&gt;0,AO60/U60)</f>
        <v>0</v>
      </c>
      <c r="AW60" s="234">
        <f t="shared" si="40"/>
        <v>0</v>
      </c>
      <c r="AX60" s="234">
        <f t="shared" si="41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>
        <v>999</v>
      </c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8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39"/>
        <v>0</v>
      </c>
      <c r="AM61" s="93"/>
      <c r="AN61" s="94">
        <f t="shared" si="18"/>
        <v>0</v>
      </c>
      <c r="AO61" s="95">
        <f t="shared" si="19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20"/>
        <v>0</v>
      </c>
      <c r="AV61" s="98">
        <f t="array" ref="AV61">_xlfn.IFS(U61=0,AO61,U61&lt;0,AO61/-U61,U61&gt;0,AO61/U61)</f>
        <v>0</v>
      </c>
      <c r="AW61" s="234">
        <f t="shared" si="40"/>
        <v>0</v>
      </c>
      <c r="AX61" s="234">
        <f t="shared" si="41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>
        <v>0</v>
      </c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8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39"/>
        <v>0</v>
      </c>
      <c r="AM62" s="93"/>
      <c r="AN62" s="94">
        <f t="shared" si="18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20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>
        <v>0</v>
      </c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8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39"/>
        <v>0</v>
      </c>
      <c r="AM63" s="93"/>
      <c r="AN63" s="94">
        <f t="shared" si="18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20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>
        <v>0</v>
      </c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8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39"/>
        <v>0</v>
      </c>
      <c r="AM64" s="93"/>
      <c r="AN64" s="94">
        <f t="shared" si="18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20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>
        <v>22</v>
      </c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8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39"/>
        <v>0</v>
      </c>
      <c r="AM65" s="93"/>
      <c r="AN65" s="94">
        <f t="shared" si="18"/>
        <v>0</v>
      </c>
      <c r="AO65" s="95">
        <f t="shared" si="19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20"/>
        <v>0</v>
      </c>
      <c r="AV65" s="98">
        <f t="array" ref="AV65">_xlfn.IFS(U65=0,AO65,U65&lt;0,AO65/-U65,U65&gt;0,AO65/U65)</f>
        <v>0</v>
      </c>
      <c r="AW65" s="234">
        <f t="shared" si="40"/>
        <v>0</v>
      </c>
      <c r="AX65" s="234">
        <f t="shared" si="41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>
        <v>999</v>
      </c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8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39"/>
        <v>0</v>
      </c>
      <c r="AM66" s="93"/>
      <c r="AN66" s="94">
        <f t="shared" si="18"/>
        <v>0</v>
      </c>
      <c r="AO66" s="95">
        <f t="shared" si="19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20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>
        <v>999</v>
      </c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8" si="43">S67+T67</f>
        <v>0</v>
      </c>
      <c r="V67" s="93"/>
      <c r="W67" s="93"/>
      <c r="X67" s="92">
        <f t="shared" ref="X67:X108" si="44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98" si="45">AA67/$AA$131</f>
        <v>#DIV/0!</v>
      </c>
      <c r="AD67" s="92">
        <f t="shared" ref="AD67:AD108" si="46">U67*K67</f>
        <v>0</v>
      </c>
      <c r="AE67" s="93"/>
      <c r="AF67" s="234">
        <f t="shared" ref="AF67:AF108" si="47">IF(AA67=0,0,AE67/AA67)</f>
        <v>0</v>
      </c>
      <c r="AG67" s="93"/>
      <c r="AH67" s="93"/>
      <c r="AI67" s="93"/>
      <c r="AJ67" s="93"/>
      <c r="AK67" s="93"/>
      <c r="AL67" s="122">
        <f t="shared" ref="AL67:AL98" si="48">IFERROR($AL$131*H67/$H$131,0)</f>
        <v>0</v>
      </c>
      <c r="AM67" s="93"/>
      <c r="AN67" s="94">
        <f t="shared" si="18"/>
        <v>0</v>
      </c>
      <c r="AO67" s="95">
        <f t="shared" si="19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20"/>
        <v>0</v>
      </c>
      <c r="AV67" s="98">
        <f t="array" ref="AV67">_xlfn.IFS(U67=0,AO67,U67&lt;0,AO67/-U67,U67&gt;0,AO67/U67)</f>
        <v>0</v>
      </c>
      <c r="AW67" s="234">
        <f t="shared" si="40"/>
        <v>0</v>
      </c>
      <c r="AX67" s="234">
        <f t="shared" si="41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>
        <v>0</v>
      </c>
      <c r="N68" s="89"/>
      <c r="O68" s="89"/>
      <c r="P68" s="89"/>
      <c r="Q68" s="233">
        <f t="shared" ref="Q68:Q108" si="49">N68/7</f>
        <v>0</v>
      </c>
      <c r="R68" s="92">
        <f t="shared" ref="R68:R108" si="50">U68/7</f>
        <v>0</v>
      </c>
      <c r="S68" s="93"/>
      <c r="T68" s="93"/>
      <c r="U68" s="92">
        <f t="shared" si="43"/>
        <v>0</v>
      </c>
      <c r="V68" s="93"/>
      <c r="W68" s="93"/>
      <c r="X68" s="92">
        <f t="shared" si="44"/>
        <v>0</v>
      </c>
      <c r="Y68" s="93"/>
      <c r="Z68" s="93"/>
      <c r="AA68" s="92">
        <f t="shared" ref="AA68:AA108" si="51">Y68+Z68</f>
        <v>0</v>
      </c>
      <c r="AB68" s="92">
        <f t="shared" ref="AB68:AB108" si="52">N68*O68*P68/100</f>
        <v>0</v>
      </c>
      <c r="AC68" s="234" t="e">
        <f t="shared" si="45"/>
        <v>#DIV/0!</v>
      </c>
      <c r="AD68" s="92">
        <f t="shared" si="46"/>
        <v>0</v>
      </c>
      <c r="AE68" s="93"/>
      <c r="AF68" s="234">
        <f t="shared" si="47"/>
        <v>0</v>
      </c>
      <c r="AG68" s="93"/>
      <c r="AH68" s="93"/>
      <c r="AI68" s="93"/>
      <c r="AJ68" s="93"/>
      <c r="AK68" s="93"/>
      <c r="AL68" s="122">
        <f t="shared" si="48"/>
        <v>0</v>
      </c>
      <c r="AM68" s="93"/>
      <c r="AN68" s="94">
        <f t="shared" ref="AN68:AN108" si="53">X68*5.71%</f>
        <v>0</v>
      </c>
      <c r="AO68" s="95">
        <f t="shared" ref="AO68:AO108" si="54">AA68-AD68-AE68-AG68-AH68-AI68-AJ68-AK68-AL68-AN68-AM68</f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20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>
        <v>999</v>
      </c>
      <c r="N69" s="89"/>
      <c r="O69" s="89"/>
      <c r="P69" s="89"/>
      <c r="Q69" s="233">
        <f t="shared" si="49"/>
        <v>0</v>
      </c>
      <c r="R69" s="92">
        <f t="shared" si="50"/>
        <v>0</v>
      </c>
      <c r="S69" s="93"/>
      <c r="T69" s="93"/>
      <c r="U69" s="92">
        <f t="shared" si="43"/>
        <v>0</v>
      </c>
      <c r="V69" s="93"/>
      <c r="W69" s="93"/>
      <c r="X69" s="92">
        <f t="shared" si="44"/>
        <v>0</v>
      </c>
      <c r="Y69" s="93"/>
      <c r="Z69" s="93"/>
      <c r="AA69" s="92">
        <f t="shared" si="51"/>
        <v>0</v>
      </c>
      <c r="AB69" s="92">
        <f t="shared" si="52"/>
        <v>0</v>
      </c>
      <c r="AC69" s="234" t="e">
        <f t="shared" si="45"/>
        <v>#DIV/0!</v>
      </c>
      <c r="AD69" s="92">
        <f t="shared" si="46"/>
        <v>0</v>
      </c>
      <c r="AE69" s="93"/>
      <c r="AF69" s="234">
        <f t="shared" si="47"/>
        <v>0</v>
      </c>
      <c r="AG69" s="93"/>
      <c r="AH69" s="93"/>
      <c r="AI69" s="93"/>
      <c r="AJ69" s="93"/>
      <c r="AK69" s="93"/>
      <c r="AL69" s="122">
        <f t="shared" si="48"/>
        <v>0</v>
      </c>
      <c r="AM69" s="93"/>
      <c r="AN69" s="94">
        <f t="shared" si="53"/>
        <v>0</v>
      </c>
      <c r="AO69" s="95">
        <f t="shared" si="54"/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20"/>
        <v>0</v>
      </c>
      <c r="AV69" s="98">
        <f t="array" ref="AV69">_xlfn.IFS(U69=0,AO69,U69&lt;0,AO69/-U69,U69&gt;0,AO69/U69)</f>
        <v>0</v>
      </c>
      <c r="AW69" s="234">
        <f t="shared" si="40"/>
        <v>0</v>
      </c>
      <c r="AX69" s="234">
        <f t="shared" si="41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>
        <v>1</v>
      </c>
      <c r="N70" s="89"/>
      <c r="O70" s="89"/>
      <c r="P70" s="89"/>
      <c r="Q70" s="233">
        <f t="shared" si="49"/>
        <v>0</v>
      </c>
      <c r="R70" s="92">
        <f t="shared" si="50"/>
        <v>0</v>
      </c>
      <c r="S70" s="93"/>
      <c r="T70" s="93"/>
      <c r="U70" s="92">
        <f t="shared" si="43"/>
        <v>0</v>
      </c>
      <c r="V70" s="93"/>
      <c r="W70" s="93"/>
      <c r="X70" s="92">
        <f t="shared" si="44"/>
        <v>0</v>
      </c>
      <c r="Y70" s="93"/>
      <c r="Z70" s="93"/>
      <c r="AA70" s="92">
        <f t="shared" si="51"/>
        <v>0</v>
      </c>
      <c r="AB70" s="92">
        <f t="shared" si="52"/>
        <v>0</v>
      </c>
      <c r="AC70" s="234" t="e">
        <f t="shared" si="45"/>
        <v>#DIV/0!</v>
      </c>
      <c r="AD70" s="92">
        <f t="shared" si="46"/>
        <v>0</v>
      </c>
      <c r="AE70" s="93"/>
      <c r="AF70" s="234">
        <f t="shared" si="47"/>
        <v>0</v>
      </c>
      <c r="AG70" s="93"/>
      <c r="AH70" s="93"/>
      <c r="AI70" s="93"/>
      <c r="AJ70" s="93"/>
      <c r="AK70" s="93"/>
      <c r="AL70" s="122">
        <f t="shared" si="48"/>
        <v>0</v>
      </c>
      <c r="AM70" s="93"/>
      <c r="AN70" s="94">
        <f t="shared" si="53"/>
        <v>0</v>
      </c>
      <c r="AO70" s="95">
        <f t="shared" si="54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20"/>
        <v>0</v>
      </c>
      <c r="AV70" s="98">
        <f t="array" ref="AV70">_xlfn.IFS(U70=0,AO70,U70&lt;0,AO70/-U70,U70&gt;0,AO70/U70)</f>
        <v>0</v>
      </c>
      <c r="AW70" s="234">
        <f t="shared" si="40"/>
        <v>0</v>
      </c>
      <c r="AX70" s="234">
        <f t="shared" si="41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>
        <v>25</v>
      </c>
      <c r="N71" s="89"/>
      <c r="O71" s="89"/>
      <c r="P71" s="89"/>
      <c r="Q71" s="233">
        <f t="shared" si="49"/>
        <v>0</v>
      </c>
      <c r="R71" s="92">
        <f t="shared" si="50"/>
        <v>0</v>
      </c>
      <c r="S71" s="93"/>
      <c r="T71" s="93"/>
      <c r="U71" s="92">
        <f t="shared" si="43"/>
        <v>0</v>
      </c>
      <c r="V71" s="93"/>
      <c r="W71" s="93"/>
      <c r="X71" s="92">
        <f t="shared" si="44"/>
        <v>0</v>
      </c>
      <c r="Y71" s="93"/>
      <c r="Z71" s="93"/>
      <c r="AA71" s="92">
        <f t="shared" si="51"/>
        <v>0</v>
      </c>
      <c r="AB71" s="92">
        <f t="shared" si="52"/>
        <v>0</v>
      </c>
      <c r="AC71" s="234" t="e">
        <f t="shared" si="45"/>
        <v>#DIV/0!</v>
      </c>
      <c r="AD71" s="92">
        <f t="shared" si="46"/>
        <v>0</v>
      </c>
      <c r="AE71" s="93"/>
      <c r="AF71" s="234">
        <f t="shared" si="47"/>
        <v>0</v>
      </c>
      <c r="AG71" s="93"/>
      <c r="AH71" s="93"/>
      <c r="AI71" s="93"/>
      <c r="AJ71" s="93"/>
      <c r="AK71" s="93"/>
      <c r="AL71" s="122">
        <f t="shared" si="48"/>
        <v>0</v>
      </c>
      <c r="AM71" s="93"/>
      <c r="AN71" s="94">
        <f t="shared" si="53"/>
        <v>0</v>
      </c>
      <c r="AO71" s="95">
        <f t="shared" si="54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8" si="55">IF(S71=0,0,(AH71+AI71+AJ71)/S71)</f>
        <v>0</v>
      </c>
      <c r="AV71" s="98">
        <f t="array" ref="AV71">_xlfn.IFS(U71=0,AO71,U71&lt;0,AO71/-U71,U71&gt;0,AO71/U71)</f>
        <v>0</v>
      </c>
      <c r="AW71" s="234">
        <f t="shared" si="40"/>
        <v>0</v>
      </c>
      <c r="AX71" s="234">
        <f t="shared" si="41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>
        <v>999</v>
      </c>
      <c r="N72" s="89"/>
      <c r="O72" s="89"/>
      <c r="P72" s="89"/>
      <c r="Q72" s="233">
        <f t="shared" si="49"/>
        <v>0</v>
      </c>
      <c r="R72" s="92">
        <f t="shared" si="50"/>
        <v>0</v>
      </c>
      <c r="S72" s="93"/>
      <c r="T72" s="93"/>
      <c r="U72" s="92">
        <f t="shared" si="43"/>
        <v>0</v>
      </c>
      <c r="V72" s="93"/>
      <c r="W72" s="93"/>
      <c r="X72" s="92">
        <f t="shared" si="44"/>
        <v>0</v>
      </c>
      <c r="Y72" s="93"/>
      <c r="Z72" s="93"/>
      <c r="AA72" s="92">
        <f t="shared" si="51"/>
        <v>0</v>
      </c>
      <c r="AB72" s="92">
        <f t="shared" si="52"/>
        <v>0</v>
      </c>
      <c r="AC72" s="234" t="e">
        <f t="shared" si="45"/>
        <v>#DIV/0!</v>
      </c>
      <c r="AD72" s="92">
        <f t="shared" si="46"/>
        <v>0</v>
      </c>
      <c r="AE72" s="93"/>
      <c r="AF72" s="234">
        <f t="shared" si="47"/>
        <v>0</v>
      </c>
      <c r="AG72" s="93"/>
      <c r="AH72" s="93"/>
      <c r="AI72" s="93"/>
      <c r="AJ72" s="93"/>
      <c r="AK72" s="93"/>
      <c r="AL72" s="122">
        <f t="shared" si="48"/>
        <v>0</v>
      </c>
      <c r="AM72" s="93"/>
      <c r="AN72" s="94">
        <f t="shared" si="53"/>
        <v>0</v>
      </c>
      <c r="AO72" s="95">
        <f t="shared" si="54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5"/>
        <v>0</v>
      </c>
      <c r="AV72" s="98">
        <f t="array" ref="AV72">_xlfn.IFS(U72=0,AO72,U72&lt;0,AO72/-U72,U72&gt;0,AO72/U72)</f>
        <v>0</v>
      </c>
      <c r="AW72" s="234">
        <f t="shared" si="40"/>
        <v>0</v>
      </c>
      <c r="AX72" s="234">
        <f t="shared" si="41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>
        <v>999</v>
      </c>
      <c r="N73" s="89"/>
      <c r="O73" s="89"/>
      <c r="P73" s="89"/>
      <c r="Q73" s="233">
        <f t="shared" si="49"/>
        <v>0</v>
      </c>
      <c r="R73" s="92">
        <f t="shared" si="50"/>
        <v>0</v>
      </c>
      <c r="S73" s="93"/>
      <c r="T73" s="93"/>
      <c r="U73" s="92">
        <f t="shared" si="43"/>
        <v>0</v>
      </c>
      <c r="V73" s="93"/>
      <c r="W73" s="93"/>
      <c r="X73" s="92">
        <f t="shared" si="44"/>
        <v>0</v>
      </c>
      <c r="Y73" s="93"/>
      <c r="Z73" s="93"/>
      <c r="AA73" s="92">
        <f t="shared" si="51"/>
        <v>0</v>
      </c>
      <c r="AB73" s="92">
        <f t="shared" si="52"/>
        <v>0</v>
      </c>
      <c r="AC73" s="234" t="e">
        <f t="shared" si="45"/>
        <v>#DIV/0!</v>
      </c>
      <c r="AD73" s="92">
        <f t="shared" si="46"/>
        <v>0</v>
      </c>
      <c r="AE73" s="93"/>
      <c r="AF73" s="234">
        <f t="shared" si="47"/>
        <v>0</v>
      </c>
      <c r="AG73" s="93"/>
      <c r="AH73" s="93"/>
      <c r="AI73" s="93"/>
      <c r="AJ73" s="93"/>
      <c r="AK73" s="93"/>
      <c r="AL73" s="122">
        <f t="shared" si="48"/>
        <v>0</v>
      </c>
      <c r="AM73" s="93"/>
      <c r="AN73" s="94">
        <f t="shared" si="53"/>
        <v>0</v>
      </c>
      <c r="AO73" s="95">
        <f t="shared" si="54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5"/>
        <v>0</v>
      </c>
      <c r="AV73" s="98">
        <f t="array" ref="AV73">_xlfn.IFS(U73=0,AO73,U73&lt;0,AO73/-U73,U73&gt;0,AO73/U73)</f>
        <v>0</v>
      </c>
      <c r="AW73" s="234">
        <f t="shared" si="40"/>
        <v>0</v>
      </c>
      <c r="AX73" s="234">
        <f t="shared" si="41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>
        <v>999</v>
      </c>
      <c r="N74" s="89"/>
      <c r="O74" s="89"/>
      <c r="P74" s="89"/>
      <c r="Q74" s="233">
        <f t="shared" si="49"/>
        <v>0</v>
      </c>
      <c r="R74" s="92">
        <f t="shared" si="50"/>
        <v>0</v>
      </c>
      <c r="S74" s="93"/>
      <c r="T74" s="93"/>
      <c r="U74" s="92">
        <f t="shared" si="43"/>
        <v>0</v>
      </c>
      <c r="V74" s="93"/>
      <c r="W74" s="93"/>
      <c r="X74" s="92">
        <f t="shared" si="44"/>
        <v>0</v>
      </c>
      <c r="Y74" s="93"/>
      <c r="Z74" s="93"/>
      <c r="AA74" s="92">
        <f t="shared" si="51"/>
        <v>0</v>
      </c>
      <c r="AB74" s="92">
        <f t="shared" si="52"/>
        <v>0</v>
      </c>
      <c r="AC74" s="234" t="e">
        <f t="shared" si="45"/>
        <v>#DIV/0!</v>
      </c>
      <c r="AD74" s="92">
        <f t="shared" si="46"/>
        <v>0</v>
      </c>
      <c r="AE74" s="93"/>
      <c r="AF74" s="234">
        <f t="shared" si="47"/>
        <v>0</v>
      </c>
      <c r="AG74" s="93"/>
      <c r="AH74" s="93"/>
      <c r="AI74" s="93"/>
      <c r="AJ74" s="93"/>
      <c r="AK74" s="93"/>
      <c r="AL74" s="122">
        <f t="shared" si="48"/>
        <v>0</v>
      </c>
      <c r="AM74" s="93"/>
      <c r="AN74" s="94">
        <f t="shared" si="53"/>
        <v>0</v>
      </c>
      <c r="AO74" s="95">
        <f t="shared" si="54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5"/>
        <v>0</v>
      </c>
      <c r="AV74" s="98">
        <f t="array" ref="AV74">_xlfn.IFS(U74=0,AO74,U74&lt;0,AO74/-U74,U74&gt;0,AO74/U74)</f>
        <v>0</v>
      </c>
      <c r="AW74" s="234">
        <f t="shared" si="40"/>
        <v>0</v>
      </c>
      <c r="AX74" s="234">
        <f t="shared" si="41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>
        <v>20</v>
      </c>
      <c r="N75" s="89"/>
      <c r="O75" s="89"/>
      <c r="P75" s="89"/>
      <c r="Q75" s="233">
        <f t="shared" si="49"/>
        <v>0</v>
      </c>
      <c r="R75" s="92">
        <f t="shared" si="50"/>
        <v>0</v>
      </c>
      <c r="S75" s="93"/>
      <c r="T75" s="93"/>
      <c r="U75" s="92">
        <f t="shared" si="43"/>
        <v>0</v>
      </c>
      <c r="V75" s="93"/>
      <c r="W75" s="93"/>
      <c r="X75" s="92">
        <f t="shared" si="44"/>
        <v>0</v>
      </c>
      <c r="Y75" s="93"/>
      <c r="Z75" s="93"/>
      <c r="AA75" s="92">
        <f t="shared" si="51"/>
        <v>0</v>
      </c>
      <c r="AB75" s="92">
        <f t="shared" si="52"/>
        <v>0</v>
      </c>
      <c r="AC75" s="234" t="e">
        <f t="shared" si="45"/>
        <v>#DIV/0!</v>
      </c>
      <c r="AD75" s="92">
        <f t="shared" si="46"/>
        <v>0</v>
      </c>
      <c r="AE75" s="93"/>
      <c r="AF75" s="234">
        <f t="shared" si="47"/>
        <v>0</v>
      </c>
      <c r="AG75" s="93"/>
      <c r="AH75" s="93"/>
      <c r="AI75" s="93"/>
      <c r="AJ75" s="93"/>
      <c r="AK75" s="93"/>
      <c r="AL75" s="122">
        <f t="shared" si="48"/>
        <v>0</v>
      </c>
      <c r="AM75" s="93"/>
      <c r="AN75" s="94">
        <f t="shared" si="53"/>
        <v>0</v>
      </c>
      <c r="AO75" s="95">
        <f t="shared" si="54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5"/>
        <v>0</v>
      </c>
      <c r="AV75" s="98">
        <f t="array" ref="AV75">_xlfn.IFS(U75=0,AO75,U75&lt;0,AO75/-U75,U75&gt;0,AO75/U75)</f>
        <v>0</v>
      </c>
      <c r="AW75" s="234">
        <f t="shared" si="40"/>
        <v>0</v>
      </c>
      <c r="AX75" s="234">
        <f t="shared" si="41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>
        <v>316</v>
      </c>
      <c r="N76" s="89"/>
      <c r="O76" s="89"/>
      <c r="P76" s="89"/>
      <c r="Q76" s="233">
        <f t="shared" si="49"/>
        <v>0</v>
      </c>
      <c r="R76" s="92">
        <f t="shared" si="50"/>
        <v>0</v>
      </c>
      <c r="S76" s="93"/>
      <c r="T76" s="93"/>
      <c r="U76" s="92">
        <f t="shared" si="43"/>
        <v>0</v>
      </c>
      <c r="V76" s="93"/>
      <c r="W76" s="93"/>
      <c r="X76" s="92">
        <f t="shared" si="44"/>
        <v>0</v>
      </c>
      <c r="Y76" s="93"/>
      <c r="Z76" s="93"/>
      <c r="AA76" s="92">
        <f t="shared" si="51"/>
        <v>0</v>
      </c>
      <c r="AB76" s="92">
        <f t="shared" si="52"/>
        <v>0</v>
      </c>
      <c r="AC76" s="234" t="e">
        <f t="shared" si="45"/>
        <v>#DIV/0!</v>
      </c>
      <c r="AD76" s="92">
        <f t="shared" si="46"/>
        <v>0</v>
      </c>
      <c r="AE76" s="93"/>
      <c r="AF76" s="234">
        <f t="shared" si="47"/>
        <v>0</v>
      </c>
      <c r="AG76" s="93"/>
      <c r="AH76" s="93"/>
      <c r="AI76" s="93"/>
      <c r="AJ76" s="93"/>
      <c r="AK76" s="93"/>
      <c r="AL76" s="122">
        <f t="shared" si="48"/>
        <v>0</v>
      </c>
      <c r="AM76" s="93"/>
      <c r="AN76" s="94">
        <f t="shared" si="53"/>
        <v>0</v>
      </c>
      <c r="AO76" s="95">
        <f t="shared" si="54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5"/>
        <v>0</v>
      </c>
      <c r="AV76" s="98">
        <f t="array" ref="AV76">_xlfn.IFS(U76=0,AO76,U76&lt;0,AO76/-U76,U76&gt;0,AO76/U76)</f>
        <v>0</v>
      </c>
      <c r="AW76" s="234">
        <f t="shared" si="40"/>
        <v>0</v>
      </c>
      <c r="AX76" s="234">
        <f t="shared" si="41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>
        <v>611</v>
      </c>
      <c r="N77" s="89"/>
      <c r="O77" s="89"/>
      <c r="P77" s="89"/>
      <c r="Q77" s="233">
        <f t="shared" si="49"/>
        <v>0</v>
      </c>
      <c r="R77" s="92">
        <f t="shared" si="50"/>
        <v>0</v>
      </c>
      <c r="S77" s="93"/>
      <c r="T77" s="93"/>
      <c r="U77" s="92">
        <f t="shared" si="43"/>
        <v>0</v>
      </c>
      <c r="V77" s="93"/>
      <c r="W77" s="93"/>
      <c r="X77" s="92">
        <f t="shared" si="44"/>
        <v>0</v>
      </c>
      <c r="Y77" s="93"/>
      <c r="Z77" s="93"/>
      <c r="AA77" s="92">
        <f t="shared" si="51"/>
        <v>0</v>
      </c>
      <c r="AB77" s="92">
        <f t="shared" si="52"/>
        <v>0</v>
      </c>
      <c r="AC77" s="234" t="e">
        <f t="shared" si="45"/>
        <v>#DIV/0!</v>
      </c>
      <c r="AD77" s="92">
        <f t="shared" si="46"/>
        <v>0</v>
      </c>
      <c r="AE77" s="93"/>
      <c r="AF77" s="234">
        <f t="shared" si="47"/>
        <v>0</v>
      </c>
      <c r="AG77" s="93"/>
      <c r="AH77" s="93"/>
      <c r="AI77" s="93"/>
      <c r="AJ77" s="93"/>
      <c r="AK77" s="93"/>
      <c r="AL77" s="122">
        <f t="shared" si="48"/>
        <v>0</v>
      </c>
      <c r="AM77" s="93"/>
      <c r="AN77" s="94">
        <f t="shared" si="53"/>
        <v>0</v>
      </c>
      <c r="AO77" s="95">
        <f t="shared" si="54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5"/>
        <v>0</v>
      </c>
      <c r="AV77" s="98">
        <f t="array" ref="AV77">_xlfn.IFS(U77=0,AO77,U77&lt;0,AO77/-U77,U77&gt;0,AO77/U77)</f>
        <v>0</v>
      </c>
      <c r="AW77" s="234">
        <f t="shared" si="40"/>
        <v>0</v>
      </c>
      <c r="AX77" s="234">
        <f t="shared" si="41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>
        <v>55</v>
      </c>
      <c r="N78" s="89"/>
      <c r="O78" s="89"/>
      <c r="P78" s="89"/>
      <c r="Q78" s="233">
        <f t="shared" si="49"/>
        <v>0</v>
      </c>
      <c r="R78" s="92">
        <f t="shared" si="50"/>
        <v>0</v>
      </c>
      <c r="S78" s="93"/>
      <c r="T78" s="93"/>
      <c r="U78" s="92">
        <f t="shared" si="43"/>
        <v>0</v>
      </c>
      <c r="V78" s="93"/>
      <c r="W78" s="93"/>
      <c r="X78" s="92">
        <f t="shared" si="44"/>
        <v>0</v>
      </c>
      <c r="Y78" s="93"/>
      <c r="Z78" s="93"/>
      <c r="AA78" s="92">
        <f t="shared" si="51"/>
        <v>0</v>
      </c>
      <c r="AB78" s="92">
        <f t="shared" si="52"/>
        <v>0</v>
      </c>
      <c r="AC78" s="234" t="e">
        <f t="shared" si="45"/>
        <v>#DIV/0!</v>
      </c>
      <c r="AD78" s="92">
        <f t="shared" si="46"/>
        <v>0</v>
      </c>
      <c r="AE78" s="93"/>
      <c r="AF78" s="234">
        <f t="shared" si="47"/>
        <v>0</v>
      </c>
      <c r="AG78" s="93"/>
      <c r="AH78" s="93"/>
      <c r="AI78" s="93"/>
      <c r="AJ78" s="93"/>
      <c r="AK78" s="93"/>
      <c r="AL78" s="122">
        <f t="shared" si="48"/>
        <v>0</v>
      </c>
      <c r="AM78" s="93"/>
      <c r="AN78" s="94">
        <f t="shared" si="53"/>
        <v>0</v>
      </c>
      <c r="AO78" s="95">
        <f t="shared" si="54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5"/>
        <v>0</v>
      </c>
      <c r="AV78" s="98">
        <f t="array" ref="AV78">_xlfn.IFS(U78=0,AO78,U78&lt;0,AO78/-U78,U78&gt;0,AO78/U78)</f>
        <v>0</v>
      </c>
      <c r="AW78" s="234">
        <f t="shared" si="40"/>
        <v>0</v>
      </c>
      <c r="AX78" s="234">
        <f t="shared" si="41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>
        <v>16</v>
      </c>
      <c r="N79" s="89"/>
      <c r="O79" s="89"/>
      <c r="P79" s="89"/>
      <c r="Q79" s="233">
        <f t="shared" si="49"/>
        <v>0</v>
      </c>
      <c r="R79" s="92">
        <f t="shared" si="50"/>
        <v>0</v>
      </c>
      <c r="S79" s="93"/>
      <c r="T79" s="93"/>
      <c r="U79" s="92">
        <f t="shared" si="43"/>
        <v>0</v>
      </c>
      <c r="V79" s="93"/>
      <c r="W79" s="93"/>
      <c r="X79" s="92">
        <f t="shared" si="44"/>
        <v>0</v>
      </c>
      <c r="Y79" s="93"/>
      <c r="Z79" s="93"/>
      <c r="AA79" s="92">
        <f t="shared" si="51"/>
        <v>0</v>
      </c>
      <c r="AB79" s="92">
        <f t="shared" si="52"/>
        <v>0</v>
      </c>
      <c r="AC79" s="234" t="e">
        <f t="shared" si="45"/>
        <v>#DIV/0!</v>
      </c>
      <c r="AD79" s="92">
        <f t="shared" si="46"/>
        <v>0</v>
      </c>
      <c r="AE79" s="93"/>
      <c r="AF79" s="234">
        <f t="shared" si="47"/>
        <v>0</v>
      </c>
      <c r="AG79" s="93"/>
      <c r="AH79" s="93"/>
      <c r="AI79" s="93"/>
      <c r="AJ79" s="93"/>
      <c r="AK79" s="93"/>
      <c r="AL79" s="122">
        <f t="shared" si="48"/>
        <v>0</v>
      </c>
      <c r="AM79" s="93"/>
      <c r="AN79" s="94">
        <f t="shared" si="53"/>
        <v>0</v>
      </c>
      <c r="AO79" s="95">
        <f t="shared" si="54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5"/>
        <v>0</v>
      </c>
      <c r="AV79" s="98">
        <f t="array" ref="AV79">_xlfn.IFS(U79=0,AO79,U79&lt;0,AO79/-U79,U79&gt;0,AO79/U79)</f>
        <v>0</v>
      </c>
      <c r="AW79" s="234">
        <f t="shared" si="40"/>
        <v>0</v>
      </c>
      <c r="AX79" s="234">
        <f t="shared" si="41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>
        <v>254</v>
      </c>
      <c r="N80" s="89"/>
      <c r="O80" s="89"/>
      <c r="P80" s="89"/>
      <c r="Q80" s="233">
        <f t="shared" si="49"/>
        <v>0</v>
      </c>
      <c r="R80" s="92">
        <f t="shared" si="50"/>
        <v>0</v>
      </c>
      <c r="S80" s="93"/>
      <c r="T80" s="93"/>
      <c r="U80" s="92">
        <f t="shared" si="43"/>
        <v>0</v>
      </c>
      <c r="V80" s="93"/>
      <c r="W80" s="93"/>
      <c r="X80" s="92">
        <f t="shared" si="44"/>
        <v>0</v>
      </c>
      <c r="Y80" s="93"/>
      <c r="Z80" s="93"/>
      <c r="AA80" s="92">
        <f t="shared" si="51"/>
        <v>0</v>
      </c>
      <c r="AB80" s="92">
        <f t="shared" si="52"/>
        <v>0</v>
      </c>
      <c r="AC80" s="234" t="e">
        <f t="shared" si="45"/>
        <v>#DIV/0!</v>
      </c>
      <c r="AD80" s="92">
        <f t="shared" si="46"/>
        <v>0</v>
      </c>
      <c r="AE80" s="93"/>
      <c r="AF80" s="234">
        <f t="shared" si="47"/>
        <v>0</v>
      </c>
      <c r="AG80" s="93"/>
      <c r="AH80" s="93"/>
      <c r="AI80" s="93"/>
      <c r="AJ80" s="93"/>
      <c r="AK80" s="93"/>
      <c r="AL80" s="122">
        <f t="shared" si="48"/>
        <v>0</v>
      </c>
      <c r="AM80" s="93"/>
      <c r="AN80" s="94">
        <f t="shared" si="53"/>
        <v>0</v>
      </c>
      <c r="AO80" s="95">
        <f t="shared" si="54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5"/>
        <v>0</v>
      </c>
      <c r="AV80" s="98">
        <f t="array" ref="AV80">_xlfn.IFS(U80=0,AO80,U80&lt;0,AO80/-U80,U80&gt;0,AO80/U80)</f>
        <v>0</v>
      </c>
      <c r="AW80" s="234">
        <f t="shared" si="40"/>
        <v>0</v>
      </c>
      <c r="AX80" s="234">
        <f t="shared" si="41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>
        <v>999</v>
      </c>
      <c r="N81" s="89"/>
      <c r="O81" s="89"/>
      <c r="P81" s="89"/>
      <c r="Q81" s="233">
        <f t="shared" si="49"/>
        <v>0</v>
      </c>
      <c r="R81" s="92">
        <f t="shared" si="50"/>
        <v>0</v>
      </c>
      <c r="S81" s="93"/>
      <c r="T81" s="93"/>
      <c r="U81" s="92">
        <f t="shared" si="43"/>
        <v>0</v>
      </c>
      <c r="V81" s="93"/>
      <c r="W81" s="93"/>
      <c r="X81" s="92">
        <f t="shared" si="44"/>
        <v>0</v>
      </c>
      <c r="Y81" s="93"/>
      <c r="Z81" s="93"/>
      <c r="AA81" s="92">
        <f t="shared" si="51"/>
        <v>0</v>
      </c>
      <c r="AB81" s="92">
        <f t="shared" si="52"/>
        <v>0</v>
      </c>
      <c r="AC81" s="234" t="e">
        <f t="shared" si="45"/>
        <v>#DIV/0!</v>
      </c>
      <c r="AD81" s="92">
        <f t="shared" si="46"/>
        <v>0</v>
      </c>
      <c r="AE81" s="93"/>
      <c r="AF81" s="234">
        <f t="shared" si="47"/>
        <v>0</v>
      </c>
      <c r="AG81" s="93"/>
      <c r="AH81" s="93"/>
      <c r="AI81" s="93"/>
      <c r="AJ81" s="93"/>
      <c r="AK81" s="93"/>
      <c r="AL81" s="122">
        <f t="shared" si="48"/>
        <v>0</v>
      </c>
      <c r="AM81" s="93"/>
      <c r="AN81" s="94">
        <f t="shared" si="53"/>
        <v>0</v>
      </c>
      <c r="AO81" s="95">
        <f t="shared" si="54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5"/>
        <v>0</v>
      </c>
      <c r="AV81" s="98">
        <f t="array" ref="AV81">_xlfn.IFS(U81=0,AO81,U81&lt;0,AO81/-U81,U81&gt;0,AO81/U81)</f>
        <v>0</v>
      </c>
      <c r="AW81" s="234">
        <f t="shared" si="40"/>
        <v>0</v>
      </c>
      <c r="AX81" s="234">
        <f t="shared" si="41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>
        <v>999</v>
      </c>
      <c r="N82" s="89"/>
      <c r="O82" s="89"/>
      <c r="P82" s="89"/>
      <c r="Q82" s="233">
        <f t="shared" si="49"/>
        <v>0</v>
      </c>
      <c r="R82" s="92">
        <f t="shared" si="50"/>
        <v>0</v>
      </c>
      <c r="S82" s="93"/>
      <c r="T82" s="93"/>
      <c r="U82" s="92">
        <f t="shared" si="43"/>
        <v>0</v>
      </c>
      <c r="V82" s="93"/>
      <c r="W82" s="93"/>
      <c r="X82" s="92">
        <f t="shared" si="44"/>
        <v>0</v>
      </c>
      <c r="Y82" s="93"/>
      <c r="Z82" s="93"/>
      <c r="AA82" s="92">
        <f t="shared" si="51"/>
        <v>0</v>
      </c>
      <c r="AB82" s="92">
        <f t="shared" si="52"/>
        <v>0</v>
      </c>
      <c r="AC82" s="234" t="e">
        <f t="shared" si="45"/>
        <v>#DIV/0!</v>
      </c>
      <c r="AD82" s="92">
        <f t="shared" si="46"/>
        <v>0</v>
      </c>
      <c r="AE82" s="93"/>
      <c r="AF82" s="234">
        <f t="shared" si="47"/>
        <v>0</v>
      </c>
      <c r="AG82" s="93"/>
      <c r="AH82" s="93"/>
      <c r="AI82" s="93"/>
      <c r="AJ82" s="93"/>
      <c r="AK82" s="93"/>
      <c r="AL82" s="122">
        <f t="shared" si="48"/>
        <v>0</v>
      </c>
      <c r="AM82" s="93"/>
      <c r="AN82" s="94">
        <f t="shared" si="53"/>
        <v>0</v>
      </c>
      <c r="AO82" s="95">
        <f t="shared" si="54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5"/>
        <v>0</v>
      </c>
      <c r="AV82" s="98">
        <f t="array" ref="AV82">_xlfn.IFS(U82=0,AO82,U82&lt;0,AO82/-U82,U82&gt;0,AO82/U82)</f>
        <v>0</v>
      </c>
      <c r="AW82" s="234">
        <f t="shared" si="40"/>
        <v>0</v>
      </c>
      <c r="AX82" s="234">
        <f t="shared" si="41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>
        <v>999</v>
      </c>
      <c r="N83" s="89"/>
      <c r="O83" s="89"/>
      <c r="P83" s="89"/>
      <c r="Q83" s="233">
        <f t="shared" si="49"/>
        <v>0</v>
      </c>
      <c r="R83" s="92">
        <f t="shared" si="50"/>
        <v>0</v>
      </c>
      <c r="S83" s="93"/>
      <c r="T83" s="93"/>
      <c r="U83" s="92">
        <f t="shared" si="43"/>
        <v>0</v>
      </c>
      <c r="V83" s="93"/>
      <c r="W83" s="93"/>
      <c r="X83" s="92">
        <f t="shared" si="44"/>
        <v>0</v>
      </c>
      <c r="Y83" s="93"/>
      <c r="Z83" s="93"/>
      <c r="AA83" s="92">
        <f t="shared" si="51"/>
        <v>0</v>
      </c>
      <c r="AB83" s="92">
        <f t="shared" si="52"/>
        <v>0</v>
      </c>
      <c r="AC83" s="234" t="e">
        <f t="shared" si="45"/>
        <v>#DIV/0!</v>
      </c>
      <c r="AD83" s="92">
        <f t="shared" si="46"/>
        <v>0</v>
      </c>
      <c r="AE83" s="93"/>
      <c r="AF83" s="234">
        <f t="shared" si="47"/>
        <v>0</v>
      </c>
      <c r="AG83" s="93"/>
      <c r="AH83" s="93"/>
      <c r="AI83" s="93"/>
      <c r="AJ83" s="93"/>
      <c r="AK83" s="93"/>
      <c r="AL83" s="122">
        <f t="shared" si="48"/>
        <v>0</v>
      </c>
      <c r="AM83" s="93"/>
      <c r="AN83" s="94">
        <f t="shared" si="53"/>
        <v>0</v>
      </c>
      <c r="AO83" s="95">
        <f t="shared" si="54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5"/>
        <v>0</v>
      </c>
      <c r="AV83" s="98">
        <f t="array" ref="AV83">_xlfn.IFS(U83=0,AO83,U83&lt;0,AO83/-U83,U83&gt;0,AO83/U83)</f>
        <v>0</v>
      </c>
      <c r="AW83" s="234">
        <f t="shared" si="40"/>
        <v>0</v>
      </c>
      <c r="AX83" s="234">
        <f t="shared" si="41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>
        <v>999</v>
      </c>
      <c r="N84" s="89"/>
      <c r="O84" s="89"/>
      <c r="P84" s="89"/>
      <c r="Q84" s="233">
        <f t="shared" si="49"/>
        <v>0</v>
      </c>
      <c r="R84" s="92">
        <f t="shared" si="50"/>
        <v>0</v>
      </c>
      <c r="S84" s="93"/>
      <c r="T84" s="93"/>
      <c r="U84" s="92">
        <f t="shared" si="43"/>
        <v>0</v>
      </c>
      <c r="V84" s="93"/>
      <c r="W84" s="93"/>
      <c r="X84" s="92">
        <f t="shared" si="44"/>
        <v>0</v>
      </c>
      <c r="Y84" s="93"/>
      <c r="Z84" s="93"/>
      <c r="AA84" s="92">
        <f t="shared" si="51"/>
        <v>0</v>
      </c>
      <c r="AB84" s="92">
        <f t="shared" si="52"/>
        <v>0</v>
      </c>
      <c r="AC84" s="234" t="e">
        <f t="shared" si="45"/>
        <v>#DIV/0!</v>
      </c>
      <c r="AD84" s="92">
        <f t="shared" si="46"/>
        <v>0</v>
      </c>
      <c r="AE84" s="93"/>
      <c r="AF84" s="234">
        <f t="shared" si="47"/>
        <v>0</v>
      </c>
      <c r="AG84" s="93"/>
      <c r="AH84" s="93"/>
      <c r="AI84" s="93"/>
      <c r="AJ84" s="93"/>
      <c r="AK84" s="93"/>
      <c r="AL84" s="122">
        <f t="shared" si="48"/>
        <v>0</v>
      </c>
      <c r="AM84" s="93"/>
      <c r="AN84" s="94">
        <f t="shared" si="53"/>
        <v>0</v>
      </c>
      <c r="AO84" s="95">
        <f t="shared" si="54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5"/>
        <v>0</v>
      </c>
      <c r="AV84" s="98">
        <f t="array" ref="AV84">_xlfn.IFS(U84=0,AO84,U84&lt;0,AO84/-U84,U84&gt;0,AO84/U84)</f>
        <v>0</v>
      </c>
      <c r="AW84" s="234">
        <f t="shared" si="40"/>
        <v>0</v>
      </c>
      <c r="AX84" s="234">
        <f t="shared" si="41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>
        <v>966</v>
      </c>
      <c r="N85" s="89"/>
      <c r="O85" s="89"/>
      <c r="P85" s="89"/>
      <c r="Q85" s="233">
        <f t="shared" si="49"/>
        <v>0</v>
      </c>
      <c r="R85" s="92">
        <f t="shared" si="50"/>
        <v>0</v>
      </c>
      <c r="S85" s="93"/>
      <c r="T85" s="93"/>
      <c r="U85" s="92">
        <f t="shared" si="43"/>
        <v>0</v>
      </c>
      <c r="V85" s="93"/>
      <c r="W85" s="93"/>
      <c r="X85" s="92">
        <f t="shared" si="44"/>
        <v>0</v>
      </c>
      <c r="Y85" s="93"/>
      <c r="Z85" s="93"/>
      <c r="AA85" s="92">
        <f t="shared" si="51"/>
        <v>0</v>
      </c>
      <c r="AB85" s="92">
        <f t="shared" si="52"/>
        <v>0</v>
      </c>
      <c r="AC85" s="234" t="e">
        <f t="shared" si="45"/>
        <v>#DIV/0!</v>
      </c>
      <c r="AD85" s="92">
        <f t="shared" si="46"/>
        <v>0</v>
      </c>
      <c r="AE85" s="93"/>
      <c r="AF85" s="234">
        <f t="shared" si="47"/>
        <v>0</v>
      </c>
      <c r="AG85" s="93"/>
      <c r="AH85" s="93"/>
      <c r="AI85" s="93"/>
      <c r="AJ85" s="93"/>
      <c r="AK85" s="93"/>
      <c r="AL85" s="122">
        <f t="shared" si="48"/>
        <v>0</v>
      </c>
      <c r="AM85" s="93"/>
      <c r="AN85" s="94">
        <f t="shared" si="53"/>
        <v>0</v>
      </c>
      <c r="AO85" s="95">
        <f t="shared" si="54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5"/>
        <v>0</v>
      </c>
      <c r="AV85" s="98">
        <f t="array" ref="AV85">_xlfn.IFS(U85=0,AO85,U85&lt;0,AO85/-U85,U85&gt;0,AO85/U85)</f>
        <v>0</v>
      </c>
      <c r="AW85" s="234">
        <f t="shared" si="40"/>
        <v>0</v>
      </c>
      <c r="AX85" s="234">
        <f t="shared" si="41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>
        <v>25</v>
      </c>
      <c r="N86" s="89"/>
      <c r="O86" s="89"/>
      <c r="P86" s="89"/>
      <c r="Q86" s="233">
        <f t="shared" si="49"/>
        <v>0</v>
      </c>
      <c r="R86" s="92">
        <f t="shared" si="50"/>
        <v>0</v>
      </c>
      <c r="S86" s="93"/>
      <c r="T86" s="93"/>
      <c r="U86" s="92">
        <f t="shared" si="43"/>
        <v>0</v>
      </c>
      <c r="V86" s="93"/>
      <c r="W86" s="93"/>
      <c r="X86" s="92">
        <f t="shared" si="44"/>
        <v>0</v>
      </c>
      <c r="Y86" s="93"/>
      <c r="Z86" s="93"/>
      <c r="AA86" s="92">
        <f t="shared" si="51"/>
        <v>0</v>
      </c>
      <c r="AB86" s="92">
        <f t="shared" si="52"/>
        <v>0</v>
      </c>
      <c r="AC86" s="234" t="e">
        <f t="shared" si="45"/>
        <v>#DIV/0!</v>
      </c>
      <c r="AD86" s="92">
        <f t="shared" si="46"/>
        <v>0</v>
      </c>
      <c r="AE86" s="93"/>
      <c r="AF86" s="234">
        <f t="shared" si="47"/>
        <v>0</v>
      </c>
      <c r="AG86" s="93"/>
      <c r="AH86" s="93"/>
      <c r="AI86" s="93"/>
      <c r="AJ86" s="93"/>
      <c r="AK86" s="93"/>
      <c r="AL86" s="122">
        <f t="shared" si="48"/>
        <v>0</v>
      </c>
      <c r="AM86" s="93"/>
      <c r="AN86" s="94">
        <f t="shared" si="53"/>
        <v>0</v>
      </c>
      <c r="AO86" s="95">
        <f t="shared" si="54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5"/>
        <v>0</v>
      </c>
      <c r="AV86" s="98">
        <f t="array" ref="AV86">_xlfn.IFS(U86=0,AO86,U86&lt;0,AO86/-U86,U86&gt;0,AO86/U86)</f>
        <v>0</v>
      </c>
      <c r="AW86" s="234">
        <f t="shared" si="40"/>
        <v>0</v>
      </c>
      <c r="AX86" s="234">
        <f t="shared" si="41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>
        <v>41</v>
      </c>
      <c r="N87" s="89"/>
      <c r="O87" s="89"/>
      <c r="P87" s="89"/>
      <c r="Q87" s="233">
        <f t="shared" si="49"/>
        <v>0</v>
      </c>
      <c r="R87" s="92">
        <f t="shared" si="50"/>
        <v>0</v>
      </c>
      <c r="S87" s="93"/>
      <c r="T87" s="93"/>
      <c r="U87" s="92">
        <f t="shared" si="43"/>
        <v>0</v>
      </c>
      <c r="V87" s="93"/>
      <c r="W87" s="93"/>
      <c r="X87" s="92">
        <f t="shared" si="44"/>
        <v>0</v>
      </c>
      <c r="Y87" s="93"/>
      <c r="Z87" s="93"/>
      <c r="AA87" s="92">
        <f t="shared" si="51"/>
        <v>0</v>
      </c>
      <c r="AB87" s="92">
        <f t="shared" si="52"/>
        <v>0</v>
      </c>
      <c r="AC87" s="234" t="e">
        <f t="shared" si="45"/>
        <v>#DIV/0!</v>
      </c>
      <c r="AD87" s="92">
        <f t="shared" si="46"/>
        <v>0</v>
      </c>
      <c r="AE87" s="93"/>
      <c r="AF87" s="234">
        <f t="shared" si="47"/>
        <v>0</v>
      </c>
      <c r="AG87" s="93"/>
      <c r="AH87" s="93"/>
      <c r="AI87" s="93"/>
      <c r="AJ87" s="93"/>
      <c r="AK87" s="93"/>
      <c r="AL87" s="122">
        <f t="shared" si="48"/>
        <v>0</v>
      </c>
      <c r="AM87" s="93"/>
      <c r="AN87" s="94">
        <f t="shared" si="53"/>
        <v>0</v>
      </c>
      <c r="AO87" s="95">
        <f t="shared" si="54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5"/>
        <v>0</v>
      </c>
      <c r="AV87" s="98">
        <f t="array" ref="AV87">_xlfn.IFS(U87=0,AO87,U87&lt;0,AO87/-U87,U87&gt;0,AO87/U87)</f>
        <v>0</v>
      </c>
      <c r="AW87" s="234">
        <f t="shared" si="40"/>
        <v>0</v>
      </c>
      <c r="AX87" s="234">
        <f t="shared" si="41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>
        <v>15</v>
      </c>
      <c r="N88" s="89"/>
      <c r="O88" s="89"/>
      <c r="P88" s="89"/>
      <c r="Q88" s="233">
        <f t="shared" si="49"/>
        <v>0</v>
      </c>
      <c r="R88" s="92">
        <f t="shared" si="50"/>
        <v>0</v>
      </c>
      <c r="S88" s="93"/>
      <c r="T88" s="93"/>
      <c r="U88" s="92">
        <f t="shared" si="43"/>
        <v>0</v>
      </c>
      <c r="V88" s="93"/>
      <c r="W88" s="93"/>
      <c r="X88" s="92">
        <f t="shared" si="44"/>
        <v>0</v>
      </c>
      <c r="Y88" s="93"/>
      <c r="Z88" s="93"/>
      <c r="AA88" s="92">
        <f t="shared" si="51"/>
        <v>0</v>
      </c>
      <c r="AB88" s="92">
        <f t="shared" si="52"/>
        <v>0</v>
      </c>
      <c r="AC88" s="234" t="e">
        <f t="shared" si="45"/>
        <v>#DIV/0!</v>
      </c>
      <c r="AD88" s="92">
        <f t="shared" si="46"/>
        <v>0</v>
      </c>
      <c r="AE88" s="93"/>
      <c r="AF88" s="234">
        <f t="shared" si="47"/>
        <v>0</v>
      </c>
      <c r="AG88" s="93"/>
      <c r="AH88" s="93"/>
      <c r="AI88" s="93"/>
      <c r="AJ88" s="93"/>
      <c r="AK88" s="93"/>
      <c r="AL88" s="122">
        <f t="shared" si="48"/>
        <v>0</v>
      </c>
      <c r="AM88" s="93"/>
      <c r="AN88" s="94">
        <f t="shared" si="53"/>
        <v>0</v>
      </c>
      <c r="AO88" s="95">
        <f t="shared" si="54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5"/>
        <v>0</v>
      </c>
      <c r="AV88" s="98">
        <f t="array" ref="AV88">_xlfn.IFS(U88=0,AO88,U88&lt;0,AO88/-U88,U88&gt;0,AO88/U88)</f>
        <v>0</v>
      </c>
      <c r="AW88" s="234">
        <f t="shared" si="40"/>
        <v>0</v>
      </c>
      <c r="AX88" s="234">
        <f t="shared" si="41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>
        <v>13</v>
      </c>
      <c r="N89" s="89"/>
      <c r="O89" s="89"/>
      <c r="P89" s="89"/>
      <c r="Q89" s="233">
        <f t="shared" si="49"/>
        <v>0</v>
      </c>
      <c r="R89" s="92">
        <f t="shared" si="50"/>
        <v>0</v>
      </c>
      <c r="S89" s="93"/>
      <c r="T89" s="93"/>
      <c r="U89" s="92">
        <f t="shared" si="43"/>
        <v>0</v>
      </c>
      <c r="V89" s="93"/>
      <c r="W89" s="93"/>
      <c r="X89" s="92">
        <f t="shared" si="44"/>
        <v>0</v>
      </c>
      <c r="Y89" s="93"/>
      <c r="Z89" s="93"/>
      <c r="AA89" s="92">
        <f t="shared" si="51"/>
        <v>0</v>
      </c>
      <c r="AB89" s="92">
        <f t="shared" si="52"/>
        <v>0</v>
      </c>
      <c r="AC89" s="234" t="e">
        <f t="shared" si="45"/>
        <v>#DIV/0!</v>
      </c>
      <c r="AD89" s="92">
        <f t="shared" si="46"/>
        <v>0</v>
      </c>
      <c r="AE89" s="93"/>
      <c r="AF89" s="234">
        <f t="shared" si="47"/>
        <v>0</v>
      </c>
      <c r="AG89" s="93"/>
      <c r="AH89" s="93"/>
      <c r="AI89" s="93"/>
      <c r="AJ89" s="93"/>
      <c r="AK89" s="93"/>
      <c r="AL89" s="122">
        <f t="shared" si="48"/>
        <v>0</v>
      </c>
      <c r="AM89" s="93"/>
      <c r="AN89" s="94">
        <f t="shared" si="53"/>
        <v>0</v>
      </c>
      <c r="AO89" s="95">
        <f t="shared" si="54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5"/>
        <v>0</v>
      </c>
      <c r="AV89" s="98">
        <f t="array" ref="AV89">_xlfn.IFS(U89=0,AO89,U89&lt;0,AO89/-U89,U89&gt;0,AO89/U89)</f>
        <v>0</v>
      </c>
      <c r="AW89" s="234">
        <f t="shared" si="40"/>
        <v>0</v>
      </c>
      <c r="AX89" s="234">
        <f t="shared" si="41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>
        <v>999</v>
      </c>
      <c r="N90" s="89"/>
      <c r="O90" s="89"/>
      <c r="P90" s="89"/>
      <c r="Q90" s="233">
        <f t="shared" si="49"/>
        <v>0</v>
      </c>
      <c r="R90" s="92">
        <f t="shared" si="50"/>
        <v>0</v>
      </c>
      <c r="S90" s="93"/>
      <c r="T90" s="93"/>
      <c r="U90" s="92">
        <f t="shared" si="43"/>
        <v>0</v>
      </c>
      <c r="V90" s="93"/>
      <c r="W90" s="93"/>
      <c r="X90" s="92">
        <f t="shared" si="44"/>
        <v>0</v>
      </c>
      <c r="Y90" s="93"/>
      <c r="Z90" s="93"/>
      <c r="AA90" s="92">
        <f t="shared" si="51"/>
        <v>0</v>
      </c>
      <c r="AB90" s="92">
        <f t="shared" si="52"/>
        <v>0</v>
      </c>
      <c r="AC90" s="234" t="e">
        <f t="shared" si="45"/>
        <v>#DIV/0!</v>
      </c>
      <c r="AD90" s="92">
        <f t="shared" si="46"/>
        <v>0</v>
      </c>
      <c r="AE90" s="93"/>
      <c r="AF90" s="234">
        <f t="shared" si="47"/>
        <v>0</v>
      </c>
      <c r="AG90" s="93"/>
      <c r="AH90" s="93"/>
      <c r="AI90" s="93"/>
      <c r="AJ90" s="93"/>
      <c r="AK90" s="93"/>
      <c r="AL90" s="122">
        <f t="shared" si="48"/>
        <v>0</v>
      </c>
      <c r="AM90" s="93"/>
      <c r="AN90" s="94">
        <f t="shared" si="53"/>
        <v>0</v>
      </c>
      <c r="AO90" s="95">
        <f t="shared" si="54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>
        <v>999</v>
      </c>
      <c r="N91" s="89"/>
      <c r="O91" s="89"/>
      <c r="P91" s="89"/>
      <c r="Q91" s="233">
        <f t="shared" si="49"/>
        <v>0</v>
      </c>
      <c r="R91" s="92">
        <f t="shared" si="50"/>
        <v>0</v>
      </c>
      <c r="S91" s="93"/>
      <c r="T91" s="93"/>
      <c r="U91" s="92">
        <f t="shared" si="43"/>
        <v>0</v>
      </c>
      <c r="V91" s="93"/>
      <c r="W91" s="93"/>
      <c r="X91" s="92">
        <f t="shared" si="44"/>
        <v>0</v>
      </c>
      <c r="Y91" s="93"/>
      <c r="Z91" s="93"/>
      <c r="AA91" s="92">
        <f t="shared" si="51"/>
        <v>0</v>
      </c>
      <c r="AB91" s="92">
        <f t="shared" si="52"/>
        <v>0</v>
      </c>
      <c r="AC91" s="234" t="e">
        <f t="shared" si="45"/>
        <v>#DIV/0!</v>
      </c>
      <c r="AD91" s="92">
        <f t="shared" si="46"/>
        <v>0</v>
      </c>
      <c r="AE91" s="93"/>
      <c r="AF91" s="234">
        <f t="shared" si="47"/>
        <v>0</v>
      </c>
      <c r="AG91" s="93"/>
      <c r="AH91" s="93"/>
      <c r="AI91" s="93"/>
      <c r="AJ91" s="93"/>
      <c r="AK91" s="93"/>
      <c r="AL91" s="122">
        <f t="shared" si="48"/>
        <v>0</v>
      </c>
      <c r="AM91" s="93"/>
      <c r="AN91" s="94">
        <f t="shared" si="53"/>
        <v>0</v>
      </c>
      <c r="AO91" s="95">
        <f t="shared" si="54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5"/>
        <v>0</v>
      </c>
      <c r="AV91" s="98">
        <f t="array" ref="AV91">_xlfn.IFS(U91=0,AO91,U91&lt;0,AO91/-U91,U91&gt;0,AO91/U91)</f>
        <v>0</v>
      </c>
      <c r="AW91" s="234">
        <f t="shared" si="40"/>
        <v>0</v>
      </c>
      <c r="AX91" s="234">
        <f t="shared" si="41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>
        <v>999</v>
      </c>
      <c r="N92" s="89"/>
      <c r="O92" s="89"/>
      <c r="P92" s="89"/>
      <c r="Q92" s="233">
        <f t="shared" si="49"/>
        <v>0</v>
      </c>
      <c r="R92" s="92">
        <f t="shared" si="50"/>
        <v>0</v>
      </c>
      <c r="S92" s="93"/>
      <c r="T92" s="93"/>
      <c r="U92" s="92">
        <f t="shared" si="43"/>
        <v>0</v>
      </c>
      <c r="V92" s="93"/>
      <c r="W92" s="93"/>
      <c r="X92" s="92">
        <f t="shared" si="44"/>
        <v>0</v>
      </c>
      <c r="Y92" s="93"/>
      <c r="Z92" s="93"/>
      <c r="AA92" s="92">
        <f t="shared" si="51"/>
        <v>0</v>
      </c>
      <c r="AB92" s="92">
        <f t="shared" si="52"/>
        <v>0</v>
      </c>
      <c r="AC92" s="234" t="e">
        <f t="shared" si="45"/>
        <v>#DIV/0!</v>
      </c>
      <c r="AD92" s="92">
        <f t="shared" si="46"/>
        <v>0</v>
      </c>
      <c r="AE92" s="93"/>
      <c r="AF92" s="234">
        <f t="shared" si="47"/>
        <v>0</v>
      </c>
      <c r="AG92" s="93"/>
      <c r="AH92" s="93"/>
      <c r="AI92" s="93"/>
      <c r="AJ92" s="93"/>
      <c r="AK92" s="93"/>
      <c r="AL92" s="122">
        <f t="shared" si="48"/>
        <v>0</v>
      </c>
      <c r="AM92" s="93"/>
      <c r="AN92" s="94">
        <f t="shared" si="53"/>
        <v>0</v>
      </c>
      <c r="AO92" s="95">
        <f t="shared" si="54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5"/>
        <v>0</v>
      </c>
      <c r="AV92" s="98">
        <f t="array" ref="AV92">_xlfn.IFS(U92=0,AO92,U92&lt;0,AO92/-U92,U92&gt;0,AO92/U92)</f>
        <v>0</v>
      </c>
      <c r="AW92" s="234">
        <f t="shared" si="40"/>
        <v>0</v>
      </c>
      <c r="AX92" s="234">
        <f t="shared" si="41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>
        <v>999</v>
      </c>
      <c r="N93" s="89"/>
      <c r="O93" s="89"/>
      <c r="P93" s="89"/>
      <c r="Q93" s="233">
        <f t="shared" si="49"/>
        <v>0</v>
      </c>
      <c r="R93" s="92">
        <f t="shared" si="50"/>
        <v>0</v>
      </c>
      <c r="S93" s="93"/>
      <c r="T93" s="93"/>
      <c r="U93" s="92">
        <f t="shared" si="43"/>
        <v>0</v>
      </c>
      <c r="V93" s="93"/>
      <c r="W93" s="93"/>
      <c r="X93" s="92">
        <f t="shared" si="44"/>
        <v>0</v>
      </c>
      <c r="Y93" s="93"/>
      <c r="Z93" s="93"/>
      <c r="AA93" s="92">
        <f t="shared" si="51"/>
        <v>0</v>
      </c>
      <c r="AB93" s="92">
        <f t="shared" si="52"/>
        <v>0</v>
      </c>
      <c r="AC93" s="234" t="e">
        <f t="shared" si="45"/>
        <v>#DIV/0!</v>
      </c>
      <c r="AD93" s="92">
        <f t="shared" si="46"/>
        <v>0</v>
      </c>
      <c r="AE93" s="93"/>
      <c r="AF93" s="234">
        <f t="shared" si="47"/>
        <v>0</v>
      </c>
      <c r="AG93" s="93"/>
      <c r="AH93" s="93"/>
      <c r="AI93" s="93"/>
      <c r="AJ93" s="93"/>
      <c r="AK93" s="93"/>
      <c r="AL93" s="122">
        <f t="shared" si="48"/>
        <v>0</v>
      </c>
      <c r="AM93" s="93"/>
      <c r="AN93" s="94">
        <f t="shared" si="53"/>
        <v>0</v>
      </c>
      <c r="AO93" s="95">
        <f t="shared" si="54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5"/>
        <v>0</v>
      </c>
      <c r="AV93" s="98">
        <f t="array" ref="AV93">_xlfn.IFS(U93=0,AO93,U93&lt;0,AO93/-U93,U93&gt;0,AO93/U93)</f>
        <v>0</v>
      </c>
      <c r="AW93" s="234">
        <f t="shared" si="40"/>
        <v>0</v>
      </c>
      <c r="AX93" s="234">
        <f t="shared" si="41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>
        <v>1</v>
      </c>
      <c r="N94" s="89"/>
      <c r="O94" s="89"/>
      <c r="P94" s="89"/>
      <c r="Q94" s="233">
        <f t="shared" si="49"/>
        <v>0</v>
      </c>
      <c r="R94" s="92">
        <f t="shared" si="50"/>
        <v>0</v>
      </c>
      <c r="S94" s="93"/>
      <c r="T94" s="93"/>
      <c r="U94" s="92">
        <f t="shared" si="43"/>
        <v>0</v>
      </c>
      <c r="V94" s="93"/>
      <c r="W94" s="93"/>
      <c r="X94" s="92">
        <f t="shared" si="44"/>
        <v>0</v>
      </c>
      <c r="Y94" s="93"/>
      <c r="Z94" s="93"/>
      <c r="AA94" s="92">
        <f t="shared" si="51"/>
        <v>0</v>
      </c>
      <c r="AB94" s="92">
        <f t="shared" si="52"/>
        <v>0</v>
      </c>
      <c r="AC94" s="234" t="e">
        <f t="shared" si="45"/>
        <v>#DIV/0!</v>
      </c>
      <c r="AD94" s="92">
        <f t="shared" si="46"/>
        <v>0</v>
      </c>
      <c r="AE94" s="93"/>
      <c r="AF94" s="234">
        <f t="shared" si="47"/>
        <v>0</v>
      </c>
      <c r="AG94" s="93"/>
      <c r="AH94" s="93"/>
      <c r="AI94" s="93"/>
      <c r="AJ94" s="93"/>
      <c r="AK94" s="93"/>
      <c r="AL94" s="122">
        <f t="shared" si="48"/>
        <v>0</v>
      </c>
      <c r="AM94" s="93"/>
      <c r="AN94" s="94">
        <f t="shared" si="53"/>
        <v>0</v>
      </c>
      <c r="AO94" s="95">
        <f t="shared" si="54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5"/>
        <v>0</v>
      </c>
      <c r="AV94" s="98">
        <f t="array" ref="AV94">_xlfn.IFS(U94=0,AO94,U94&lt;0,AO94/-U94,U94&gt;0,AO94/U94)</f>
        <v>0</v>
      </c>
      <c r="AW94" s="234">
        <f t="shared" si="40"/>
        <v>0</v>
      </c>
      <c r="AX94" s="234">
        <f t="shared" si="41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>
        <v>1</v>
      </c>
      <c r="N95" s="89"/>
      <c r="O95" s="89"/>
      <c r="P95" s="89"/>
      <c r="Q95" s="233">
        <f t="shared" si="49"/>
        <v>0</v>
      </c>
      <c r="R95" s="92">
        <f t="shared" si="50"/>
        <v>0</v>
      </c>
      <c r="S95" s="93"/>
      <c r="T95" s="93"/>
      <c r="U95" s="92">
        <f t="shared" si="43"/>
        <v>0</v>
      </c>
      <c r="V95" s="93"/>
      <c r="W95" s="93"/>
      <c r="X95" s="92">
        <f t="shared" si="44"/>
        <v>0</v>
      </c>
      <c r="Y95" s="93"/>
      <c r="Z95" s="93"/>
      <c r="AA95" s="92">
        <f t="shared" si="51"/>
        <v>0</v>
      </c>
      <c r="AB95" s="92">
        <f t="shared" si="52"/>
        <v>0</v>
      </c>
      <c r="AC95" s="234" t="e">
        <f t="shared" si="45"/>
        <v>#DIV/0!</v>
      </c>
      <c r="AD95" s="92">
        <f t="shared" si="46"/>
        <v>0</v>
      </c>
      <c r="AE95" s="93"/>
      <c r="AF95" s="234">
        <f t="shared" si="47"/>
        <v>0</v>
      </c>
      <c r="AG95" s="93"/>
      <c r="AH95" s="93"/>
      <c r="AI95" s="93"/>
      <c r="AJ95" s="93"/>
      <c r="AK95" s="93"/>
      <c r="AL95" s="122">
        <f t="shared" si="48"/>
        <v>0</v>
      </c>
      <c r="AM95" s="93"/>
      <c r="AN95" s="94">
        <f t="shared" si="53"/>
        <v>0</v>
      </c>
      <c r="AO95" s="95">
        <f t="shared" si="54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5"/>
        <v>0</v>
      </c>
      <c r="AV95" s="98">
        <f t="array" ref="AV95">_xlfn.IFS(U95=0,AO95,U95&lt;0,AO95/-U95,U95&gt;0,AO95/U95)</f>
        <v>0</v>
      </c>
      <c r="AW95" s="234">
        <f t="shared" si="40"/>
        <v>0</v>
      </c>
      <c r="AX95" s="234">
        <f t="shared" si="41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>
        <v>1</v>
      </c>
      <c r="N96" s="89"/>
      <c r="O96" s="89"/>
      <c r="P96" s="89"/>
      <c r="Q96" s="233">
        <f t="shared" si="49"/>
        <v>0</v>
      </c>
      <c r="R96" s="92">
        <f t="shared" si="50"/>
        <v>0</v>
      </c>
      <c r="S96" s="93"/>
      <c r="T96" s="93"/>
      <c r="U96" s="92">
        <f t="shared" si="43"/>
        <v>0</v>
      </c>
      <c r="V96" s="93"/>
      <c r="W96" s="93"/>
      <c r="X96" s="92">
        <f t="shared" si="44"/>
        <v>0</v>
      </c>
      <c r="Y96" s="93"/>
      <c r="Z96" s="93"/>
      <c r="AA96" s="92">
        <f t="shared" si="51"/>
        <v>0</v>
      </c>
      <c r="AB96" s="92">
        <f t="shared" si="52"/>
        <v>0</v>
      </c>
      <c r="AC96" s="234" t="e">
        <f t="shared" si="45"/>
        <v>#DIV/0!</v>
      </c>
      <c r="AD96" s="92">
        <f t="shared" si="46"/>
        <v>0</v>
      </c>
      <c r="AE96" s="93"/>
      <c r="AF96" s="234">
        <f t="shared" si="47"/>
        <v>0</v>
      </c>
      <c r="AG96" s="93"/>
      <c r="AH96" s="93"/>
      <c r="AI96" s="93"/>
      <c r="AJ96" s="93"/>
      <c r="AK96" s="93"/>
      <c r="AL96" s="122">
        <f t="shared" si="48"/>
        <v>0</v>
      </c>
      <c r="AM96" s="93"/>
      <c r="AN96" s="94">
        <f t="shared" si="53"/>
        <v>0</v>
      </c>
      <c r="AO96" s="95">
        <f t="shared" si="54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>
        <v>33</v>
      </c>
      <c r="N97" s="89"/>
      <c r="O97" s="89"/>
      <c r="P97" s="89"/>
      <c r="Q97" s="233">
        <f t="shared" si="49"/>
        <v>0</v>
      </c>
      <c r="R97" s="92">
        <f t="shared" si="50"/>
        <v>0</v>
      </c>
      <c r="S97" s="93"/>
      <c r="T97" s="93"/>
      <c r="U97" s="92">
        <f t="shared" si="43"/>
        <v>0</v>
      </c>
      <c r="V97" s="93"/>
      <c r="W97" s="93"/>
      <c r="X97" s="92">
        <f t="shared" si="44"/>
        <v>0</v>
      </c>
      <c r="Y97" s="93"/>
      <c r="Z97" s="93"/>
      <c r="AA97" s="92">
        <f t="shared" si="51"/>
        <v>0</v>
      </c>
      <c r="AB97" s="92">
        <f t="shared" si="52"/>
        <v>0</v>
      </c>
      <c r="AC97" s="234" t="e">
        <f t="shared" si="45"/>
        <v>#DIV/0!</v>
      </c>
      <c r="AD97" s="92">
        <f t="shared" si="46"/>
        <v>0</v>
      </c>
      <c r="AE97" s="93"/>
      <c r="AF97" s="234">
        <f t="shared" si="47"/>
        <v>0</v>
      </c>
      <c r="AG97" s="93"/>
      <c r="AH97" s="93"/>
      <c r="AI97" s="93"/>
      <c r="AJ97" s="93"/>
      <c r="AK97" s="93"/>
      <c r="AL97" s="122">
        <f t="shared" si="48"/>
        <v>0</v>
      </c>
      <c r="AM97" s="93"/>
      <c r="AN97" s="94">
        <f t="shared" si="53"/>
        <v>0</v>
      </c>
      <c r="AO97" s="95">
        <f t="shared" si="54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>
        <v>48</v>
      </c>
      <c r="N98" s="89"/>
      <c r="O98" s="89"/>
      <c r="P98" s="89"/>
      <c r="Q98" s="233">
        <f t="shared" si="49"/>
        <v>0</v>
      </c>
      <c r="R98" s="92">
        <f t="shared" si="50"/>
        <v>0</v>
      </c>
      <c r="S98" s="93"/>
      <c r="T98" s="93"/>
      <c r="U98" s="92">
        <f t="shared" si="43"/>
        <v>0</v>
      </c>
      <c r="V98" s="93"/>
      <c r="W98" s="93"/>
      <c r="X98" s="92">
        <f t="shared" si="44"/>
        <v>0</v>
      </c>
      <c r="Y98" s="93"/>
      <c r="Z98" s="93"/>
      <c r="AA98" s="92">
        <f t="shared" si="51"/>
        <v>0</v>
      </c>
      <c r="AB98" s="92">
        <f t="shared" si="52"/>
        <v>0</v>
      </c>
      <c r="AC98" s="234" t="e">
        <f t="shared" si="45"/>
        <v>#DIV/0!</v>
      </c>
      <c r="AD98" s="92">
        <f t="shared" si="46"/>
        <v>0</v>
      </c>
      <c r="AE98" s="93"/>
      <c r="AF98" s="234">
        <f t="shared" si="47"/>
        <v>0</v>
      </c>
      <c r="AG98" s="93"/>
      <c r="AH98" s="93"/>
      <c r="AI98" s="93"/>
      <c r="AJ98" s="93"/>
      <c r="AK98" s="93"/>
      <c r="AL98" s="122">
        <f t="shared" si="48"/>
        <v>0</v>
      </c>
      <c r="AM98" s="93"/>
      <c r="AN98" s="94">
        <f t="shared" si="53"/>
        <v>0</v>
      </c>
      <c r="AO98" s="95">
        <f t="shared" si="54"/>
        <v>0</v>
      </c>
      <c r="AP98" s="96"/>
      <c r="AQ98" s="97">
        <f t="shared" ref="AQ98:AQ108" si="56">IF(U98=0,0,AA98/U98)</f>
        <v>0</v>
      </c>
      <c r="AR98" s="98">
        <f t="shared" si="30"/>
        <v>300.08</v>
      </c>
      <c r="AS98" s="98">
        <f t="shared" ref="AS98:AS108" si="57">IF(U98=0,0,AE98/U98)</f>
        <v>0</v>
      </c>
      <c r="AT98" s="98">
        <f t="shared" ref="AT98:AT108" si="58">IF(S98=0,AG98/1,AG98/S98)</f>
        <v>0</v>
      </c>
      <c r="AU98" s="98">
        <f t="shared" si="55"/>
        <v>0</v>
      </c>
      <c r="AV98" s="98">
        <f t="array" ref="AV98">_xlfn.IFS(U98=0,AO98,U98&lt;0,AO98/-U98,U98&gt;0,AO98/U98)</f>
        <v>0</v>
      </c>
      <c r="AW98" s="234">
        <f t="shared" si="40"/>
        <v>0</v>
      </c>
      <c r="AX98" s="234">
        <f t="shared" si="41"/>
        <v>0</v>
      </c>
      <c r="AY98" s="99"/>
      <c r="AZ98" s="94">
        <f t="shared" ref="AZ98:AZ108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2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8" si="60">E99*K99</f>
        <v>0</v>
      </c>
      <c r="M99" s="89">
        <v>0</v>
      </c>
      <c r="N99" s="89"/>
      <c r="O99" s="89"/>
      <c r="P99" s="89"/>
      <c r="Q99" s="233">
        <f t="shared" si="49"/>
        <v>0</v>
      </c>
      <c r="R99" s="92">
        <f t="shared" si="50"/>
        <v>0</v>
      </c>
      <c r="S99" s="93"/>
      <c r="T99" s="93"/>
      <c r="U99" s="92">
        <f t="shared" si="43"/>
        <v>0</v>
      </c>
      <c r="V99" s="93"/>
      <c r="W99" s="93"/>
      <c r="X99" s="92">
        <f t="shared" si="44"/>
        <v>0</v>
      </c>
      <c r="Y99" s="93"/>
      <c r="Z99" s="93"/>
      <c r="AA99" s="92">
        <f t="shared" si="51"/>
        <v>0</v>
      </c>
      <c r="AB99" s="92">
        <f t="shared" si="52"/>
        <v>0</v>
      </c>
      <c r="AC99" s="234" t="e">
        <f t="shared" ref="AC99:AC104" si="61">AA99/$AA$131</f>
        <v>#DIV/0!</v>
      </c>
      <c r="AD99" s="92">
        <f t="shared" si="46"/>
        <v>0</v>
      </c>
      <c r="AE99" s="93"/>
      <c r="AF99" s="234">
        <f t="shared" si="47"/>
        <v>0</v>
      </c>
      <c r="AG99" s="93"/>
      <c r="AH99" s="93"/>
      <c r="AI99" s="93"/>
      <c r="AJ99" s="93"/>
      <c r="AK99" s="93"/>
      <c r="AL99" s="122">
        <f t="shared" ref="AL99:AL104" si="62">IFERROR($AL$131*H99/$H$131,0)</f>
        <v>0</v>
      </c>
      <c r="AM99" s="93"/>
      <c r="AN99" s="94">
        <f t="shared" si="53"/>
        <v>0</v>
      </c>
      <c r="AO99" s="95">
        <f t="shared" si="54"/>
        <v>0</v>
      </c>
      <c r="AP99" s="96"/>
      <c r="AQ99" s="97">
        <f t="shared" si="56"/>
        <v>0</v>
      </c>
      <c r="AR99" s="98">
        <f t="shared" ref="AR99:AR108" si="63">K99</f>
        <v>142.97999999999999</v>
      </c>
      <c r="AS99" s="98">
        <f t="shared" si="57"/>
        <v>0</v>
      </c>
      <c r="AT99" s="98">
        <f t="shared" si="58"/>
        <v>0</v>
      </c>
      <c r="AU99" s="98">
        <f t="shared" si="55"/>
        <v>0</v>
      </c>
      <c r="AV99" s="98">
        <f t="array" ref="AV99">_xlfn.IFS(U99=0,AO99,U99&lt;0,AO99/-U99,U99&gt;0,AO99/U99)</f>
        <v>0</v>
      </c>
      <c r="AW99" s="234">
        <f t="shared" ref="AW99:AW108" si="64">IF(AQ99=0,0,AV99/AQ99)</f>
        <v>0</v>
      </c>
      <c r="AX99" s="234">
        <f t="shared" ref="AX99:AX108" si="65">IF(AR99=0,0,AV99/AR99)</f>
        <v>0</v>
      </c>
      <c r="AY99" s="99"/>
      <c r="AZ99" s="94">
        <f t="shared" si="59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2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0"/>
        <v>0</v>
      </c>
      <c r="M100" s="89">
        <v>307</v>
      </c>
      <c r="N100" s="89"/>
      <c r="O100" s="89"/>
      <c r="P100" s="89"/>
      <c r="Q100" s="233">
        <f t="shared" si="49"/>
        <v>0</v>
      </c>
      <c r="R100" s="92">
        <f t="shared" si="50"/>
        <v>0</v>
      </c>
      <c r="S100" s="93"/>
      <c r="T100" s="93"/>
      <c r="U100" s="92">
        <f t="shared" si="43"/>
        <v>0</v>
      </c>
      <c r="V100" s="93"/>
      <c r="W100" s="93"/>
      <c r="X100" s="92">
        <f t="shared" si="44"/>
        <v>0</v>
      </c>
      <c r="Y100" s="93"/>
      <c r="Z100" s="93"/>
      <c r="AA100" s="92">
        <f t="shared" si="51"/>
        <v>0</v>
      </c>
      <c r="AB100" s="92">
        <f t="shared" si="52"/>
        <v>0</v>
      </c>
      <c r="AC100" s="234" t="e">
        <f t="shared" si="61"/>
        <v>#DIV/0!</v>
      </c>
      <c r="AD100" s="92">
        <f t="shared" si="46"/>
        <v>0</v>
      </c>
      <c r="AE100" s="93"/>
      <c r="AF100" s="234">
        <f t="shared" si="47"/>
        <v>0</v>
      </c>
      <c r="AG100" s="93"/>
      <c r="AH100" s="93"/>
      <c r="AI100" s="93"/>
      <c r="AJ100" s="93"/>
      <c r="AK100" s="93"/>
      <c r="AL100" s="122">
        <f t="shared" si="62"/>
        <v>0</v>
      </c>
      <c r="AM100" s="93"/>
      <c r="AN100" s="94">
        <f t="shared" si="53"/>
        <v>0</v>
      </c>
      <c r="AO100" s="95">
        <f t="shared" si="54"/>
        <v>0</v>
      </c>
      <c r="AP100" s="96"/>
      <c r="AQ100" s="97">
        <f t="shared" si="56"/>
        <v>0</v>
      </c>
      <c r="AR100" s="98">
        <f t="shared" si="63"/>
        <v>142.97999999999999</v>
      </c>
      <c r="AS100" s="98">
        <f t="shared" si="57"/>
        <v>0</v>
      </c>
      <c r="AT100" s="98">
        <f t="shared" si="58"/>
        <v>0</v>
      </c>
      <c r="AU100" s="98">
        <f t="shared" si="55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59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2"/>
        <v>0</v>
      </c>
      <c r="F101" s="93"/>
      <c r="G101" s="93"/>
      <c r="H101" s="93"/>
      <c r="I101" s="93"/>
      <c r="J101" s="93"/>
      <c r="K101" s="92">
        <v>123.09</v>
      </c>
      <c r="L101" s="92">
        <f t="shared" si="60"/>
        <v>0</v>
      </c>
      <c r="M101" s="89">
        <v>0</v>
      </c>
      <c r="N101" s="89"/>
      <c r="O101" s="89"/>
      <c r="P101" s="89"/>
      <c r="Q101" s="233">
        <f t="shared" si="49"/>
        <v>0</v>
      </c>
      <c r="R101" s="92">
        <f t="shared" si="50"/>
        <v>0</v>
      </c>
      <c r="S101" s="93"/>
      <c r="T101" s="93"/>
      <c r="U101" s="92">
        <f t="shared" si="43"/>
        <v>0</v>
      </c>
      <c r="V101" s="93"/>
      <c r="W101" s="93"/>
      <c r="X101" s="92">
        <f t="shared" si="44"/>
        <v>0</v>
      </c>
      <c r="Y101" s="93"/>
      <c r="Z101" s="93"/>
      <c r="AA101" s="92">
        <f t="shared" si="51"/>
        <v>0</v>
      </c>
      <c r="AB101" s="92">
        <f t="shared" si="52"/>
        <v>0</v>
      </c>
      <c r="AC101" s="234" t="e">
        <f t="shared" si="61"/>
        <v>#DIV/0!</v>
      </c>
      <c r="AD101" s="92">
        <f t="shared" si="46"/>
        <v>0</v>
      </c>
      <c r="AE101" s="93"/>
      <c r="AF101" s="234">
        <f t="shared" si="47"/>
        <v>0</v>
      </c>
      <c r="AG101" s="93"/>
      <c r="AH101" s="93"/>
      <c r="AI101" s="93"/>
      <c r="AJ101" s="93"/>
      <c r="AK101" s="93"/>
      <c r="AL101" s="122">
        <f t="shared" si="62"/>
        <v>0</v>
      </c>
      <c r="AM101" s="93"/>
      <c r="AN101" s="94">
        <f t="shared" si="53"/>
        <v>0</v>
      </c>
      <c r="AO101" s="95">
        <f t="shared" si="54"/>
        <v>0</v>
      </c>
      <c r="AP101" s="96"/>
      <c r="AQ101" s="97">
        <f t="shared" si="56"/>
        <v>0</v>
      </c>
      <c r="AR101" s="98">
        <f t="shared" si="63"/>
        <v>123.09</v>
      </c>
      <c r="AS101" s="98">
        <f t="shared" si="57"/>
        <v>0</v>
      </c>
      <c r="AT101" s="98">
        <f t="shared" si="58"/>
        <v>0</v>
      </c>
      <c r="AU101" s="98">
        <f t="shared" si="55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59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2"/>
        <v>0</v>
      </c>
      <c r="F102" s="93"/>
      <c r="G102" s="93"/>
      <c r="H102" s="93"/>
      <c r="I102" s="93"/>
      <c r="J102" s="93"/>
      <c r="K102" s="92">
        <v>123.09</v>
      </c>
      <c r="L102" s="92">
        <f t="shared" si="60"/>
        <v>0</v>
      </c>
      <c r="M102" s="89">
        <v>999</v>
      </c>
      <c r="N102" s="89"/>
      <c r="O102" s="89"/>
      <c r="P102" s="89"/>
      <c r="Q102" s="233">
        <f t="shared" si="49"/>
        <v>0</v>
      </c>
      <c r="R102" s="92">
        <f t="shared" si="50"/>
        <v>0</v>
      </c>
      <c r="S102" s="93"/>
      <c r="T102" s="93"/>
      <c r="U102" s="92">
        <f t="shared" si="43"/>
        <v>0</v>
      </c>
      <c r="V102" s="93"/>
      <c r="W102" s="93"/>
      <c r="X102" s="92">
        <f t="shared" si="44"/>
        <v>0</v>
      </c>
      <c r="Y102" s="93"/>
      <c r="Z102" s="93"/>
      <c r="AA102" s="92">
        <f t="shared" si="51"/>
        <v>0</v>
      </c>
      <c r="AB102" s="92">
        <f t="shared" si="52"/>
        <v>0</v>
      </c>
      <c r="AC102" s="234" t="e">
        <f t="shared" si="61"/>
        <v>#DIV/0!</v>
      </c>
      <c r="AD102" s="92">
        <f t="shared" si="46"/>
        <v>0</v>
      </c>
      <c r="AE102" s="93"/>
      <c r="AF102" s="234">
        <f t="shared" si="47"/>
        <v>0</v>
      </c>
      <c r="AG102" s="93"/>
      <c r="AH102" s="93"/>
      <c r="AI102" s="93"/>
      <c r="AJ102" s="93"/>
      <c r="AK102" s="93"/>
      <c r="AL102" s="122">
        <f t="shared" si="62"/>
        <v>0</v>
      </c>
      <c r="AM102" s="93"/>
      <c r="AN102" s="94">
        <f t="shared" si="53"/>
        <v>0</v>
      </c>
      <c r="AO102" s="95">
        <f t="shared" si="54"/>
        <v>0</v>
      </c>
      <c r="AP102" s="96"/>
      <c r="AQ102" s="97">
        <f t="shared" si="56"/>
        <v>0</v>
      </c>
      <c r="AR102" s="98">
        <f t="shared" si="63"/>
        <v>123.09</v>
      </c>
      <c r="AS102" s="98">
        <f t="shared" si="57"/>
        <v>0</v>
      </c>
      <c r="AT102" s="98">
        <f t="shared" si="58"/>
        <v>0</v>
      </c>
      <c r="AU102" s="98">
        <f t="shared" si="55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59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2"/>
        <v>0</v>
      </c>
      <c r="F103" s="93"/>
      <c r="G103" s="93"/>
      <c r="H103" s="93"/>
      <c r="I103" s="93"/>
      <c r="J103" s="93"/>
      <c r="K103" s="93">
        <v>107.88</v>
      </c>
      <c r="L103" s="92">
        <f t="shared" si="60"/>
        <v>0</v>
      </c>
      <c r="M103" s="89" t="s">
        <v>100</v>
      </c>
      <c r="N103" s="89"/>
      <c r="O103" s="89"/>
      <c r="P103" s="89"/>
      <c r="Q103" s="233">
        <f t="shared" si="49"/>
        <v>0</v>
      </c>
      <c r="R103" s="92">
        <f t="shared" si="50"/>
        <v>0</v>
      </c>
      <c r="S103" s="93"/>
      <c r="T103" s="93"/>
      <c r="U103" s="92">
        <f t="shared" si="43"/>
        <v>0</v>
      </c>
      <c r="V103" s="93"/>
      <c r="W103" s="93"/>
      <c r="X103" s="92">
        <f t="shared" si="44"/>
        <v>0</v>
      </c>
      <c r="Y103" s="93"/>
      <c r="Z103" s="93"/>
      <c r="AA103" s="92">
        <f t="shared" si="51"/>
        <v>0</v>
      </c>
      <c r="AB103" s="92">
        <f t="shared" si="52"/>
        <v>0</v>
      </c>
      <c r="AC103" s="234" t="e">
        <f t="shared" si="61"/>
        <v>#DIV/0!</v>
      </c>
      <c r="AD103" s="92">
        <f t="shared" si="46"/>
        <v>0</v>
      </c>
      <c r="AE103" s="93"/>
      <c r="AF103" s="234">
        <f t="shared" si="47"/>
        <v>0</v>
      </c>
      <c r="AG103" s="93"/>
      <c r="AH103" s="93"/>
      <c r="AI103" s="93"/>
      <c r="AJ103" s="93"/>
      <c r="AK103" s="93"/>
      <c r="AL103" s="122">
        <f t="shared" si="62"/>
        <v>0</v>
      </c>
      <c r="AM103" s="93"/>
      <c r="AN103" s="94">
        <f t="shared" si="53"/>
        <v>0</v>
      </c>
      <c r="AO103" s="95">
        <f t="shared" si="54"/>
        <v>0</v>
      </c>
      <c r="AP103" s="96"/>
      <c r="AQ103" s="97">
        <f t="shared" si="56"/>
        <v>0</v>
      </c>
      <c r="AR103" s="98">
        <f t="shared" si="63"/>
        <v>107.88</v>
      </c>
      <c r="AS103" s="98">
        <f t="shared" si="57"/>
        <v>0</v>
      </c>
      <c r="AT103" s="98">
        <f t="shared" si="58"/>
        <v>0</v>
      </c>
      <c r="AU103" s="98">
        <f t="shared" si="55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59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2"/>
        <v>0</v>
      </c>
      <c r="F104" s="93"/>
      <c r="G104" s="93"/>
      <c r="H104" s="93"/>
      <c r="I104" s="93"/>
      <c r="J104" s="93"/>
      <c r="K104" s="93">
        <v>142.97999999999999</v>
      </c>
      <c r="L104" s="93">
        <f t="shared" si="60"/>
        <v>0</v>
      </c>
      <c r="M104" s="89">
        <v>20</v>
      </c>
      <c r="N104" s="89"/>
      <c r="O104" s="89"/>
      <c r="P104" s="89"/>
      <c r="Q104" s="242">
        <f t="shared" si="49"/>
        <v>0</v>
      </c>
      <c r="R104" s="93">
        <f t="shared" si="50"/>
        <v>0</v>
      </c>
      <c r="S104" s="93"/>
      <c r="T104" s="93"/>
      <c r="U104" s="93">
        <f t="shared" si="43"/>
        <v>0</v>
      </c>
      <c r="V104" s="93"/>
      <c r="W104" s="93"/>
      <c r="X104" s="93">
        <f t="shared" si="44"/>
        <v>0</v>
      </c>
      <c r="Y104" s="93"/>
      <c r="Z104" s="93"/>
      <c r="AA104" s="93">
        <f t="shared" si="51"/>
        <v>0</v>
      </c>
      <c r="AB104" s="93">
        <f t="shared" si="52"/>
        <v>0</v>
      </c>
      <c r="AC104" s="243" t="e">
        <f t="shared" si="61"/>
        <v>#DIV/0!</v>
      </c>
      <c r="AD104" s="93">
        <f t="shared" si="46"/>
        <v>0</v>
      </c>
      <c r="AE104" s="93"/>
      <c r="AF104" s="243">
        <f t="shared" si="47"/>
        <v>0</v>
      </c>
      <c r="AG104" s="93"/>
      <c r="AH104" s="93"/>
      <c r="AI104" s="93"/>
      <c r="AJ104" s="93"/>
      <c r="AK104" s="93"/>
      <c r="AL104" s="122">
        <f t="shared" si="62"/>
        <v>0</v>
      </c>
      <c r="AM104" s="93"/>
      <c r="AN104" s="123">
        <f t="shared" si="53"/>
        <v>0</v>
      </c>
      <c r="AO104" s="95">
        <f t="shared" si="54"/>
        <v>0</v>
      </c>
      <c r="AP104" s="123"/>
      <c r="AQ104" s="502">
        <f t="shared" si="56"/>
        <v>0</v>
      </c>
      <c r="AR104" s="503">
        <f t="shared" si="63"/>
        <v>142.97999999999999</v>
      </c>
      <c r="AS104" s="503">
        <f t="shared" si="57"/>
        <v>0</v>
      </c>
      <c r="AT104" s="503">
        <f t="shared" si="58"/>
        <v>0</v>
      </c>
      <c r="AU104" s="503">
        <f t="shared" si="55"/>
        <v>0</v>
      </c>
      <c r="AV104" s="503">
        <f t="array" ref="AV104">_xlfn.IFS(U104=0,AO104,U104&lt;0,AO104/-U104,U104&gt;0,AO104/U104)</f>
        <v>0</v>
      </c>
      <c r="AW104" s="243">
        <f t="shared" si="64"/>
        <v>0</v>
      </c>
      <c r="AX104" s="243">
        <f t="shared" si="65"/>
        <v>0</v>
      </c>
      <c r="AY104" s="504"/>
      <c r="AZ104" s="123">
        <f t="shared" si="59"/>
        <v>0</v>
      </c>
    </row>
    <row r="105" spans="1:52" s="270" customFormat="1" outlineLevel="1">
      <c r="A105" s="500" t="s">
        <v>121</v>
      </c>
      <c r="B105" s="501">
        <v>987023801</v>
      </c>
      <c r="C105" s="452" t="s">
        <v>372</v>
      </c>
      <c r="D105" s="121" t="s">
        <v>84</v>
      </c>
      <c r="E105" s="241">
        <f t="shared" si="42"/>
        <v>0</v>
      </c>
      <c r="F105" s="93"/>
      <c r="G105" s="93"/>
      <c r="H105" s="93"/>
      <c r="I105" s="93"/>
      <c r="J105" s="455"/>
      <c r="K105" s="93">
        <v>230</v>
      </c>
      <c r="L105" s="93">
        <f t="shared" si="60"/>
        <v>0</v>
      </c>
      <c r="M105" s="89" t="s">
        <v>100</v>
      </c>
      <c r="N105" s="89"/>
      <c r="O105" s="89"/>
      <c r="P105" s="89"/>
      <c r="Q105" s="242">
        <f t="shared" si="49"/>
        <v>0</v>
      </c>
      <c r="R105" s="93">
        <f t="shared" si="50"/>
        <v>0</v>
      </c>
      <c r="S105" s="93"/>
      <c r="T105" s="93"/>
      <c r="U105" s="93">
        <f t="shared" si="43"/>
        <v>0</v>
      </c>
      <c r="V105" s="93"/>
      <c r="W105" s="93"/>
      <c r="X105" s="93">
        <f t="shared" si="44"/>
        <v>0</v>
      </c>
      <c r="Y105" s="93"/>
      <c r="Z105" s="93"/>
      <c r="AA105" s="93">
        <f t="shared" si="51"/>
        <v>0</v>
      </c>
      <c r="AB105" s="93">
        <f t="shared" si="52"/>
        <v>0</v>
      </c>
      <c r="AC105" s="243" t="e">
        <f t="shared" ref="AC105:AC107" si="66">AA105/$AA$131</f>
        <v>#DIV/0!</v>
      </c>
      <c r="AD105" s="93">
        <f t="shared" si="46"/>
        <v>0</v>
      </c>
      <c r="AE105" s="93"/>
      <c r="AF105" s="243">
        <f t="shared" si="47"/>
        <v>0</v>
      </c>
      <c r="AG105" s="93"/>
      <c r="AH105" s="93"/>
      <c r="AI105" s="93"/>
      <c r="AJ105" s="93"/>
      <c r="AK105" s="93"/>
      <c r="AL105" s="122">
        <f t="shared" ref="AL105:AL107" si="67">IFERROR($AL$131*H105/$H$131,0)</f>
        <v>0</v>
      </c>
      <c r="AM105" s="93"/>
      <c r="AN105" s="123">
        <f t="shared" si="53"/>
        <v>0</v>
      </c>
      <c r="AO105" s="95">
        <f t="shared" si="54"/>
        <v>0</v>
      </c>
      <c r="AP105" s="123"/>
      <c r="AQ105" s="502">
        <f t="shared" si="56"/>
        <v>0</v>
      </c>
      <c r="AR105" s="503">
        <f t="shared" si="63"/>
        <v>230</v>
      </c>
      <c r="AS105" s="503">
        <f t="shared" si="57"/>
        <v>0</v>
      </c>
      <c r="AT105" s="503">
        <f t="shared" si="58"/>
        <v>0</v>
      </c>
      <c r="AU105" s="503">
        <f t="shared" si="55"/>
        <v>0</v>
      </c>
      <c r="AV105" s="503">
        <f t="array" ref="AV105">_xlfn.IFS(U105=0,AO105,U105&lt;0,AO105/-U105,U105&gt;0,AO105/U105)</f>
        <v>0</v>
      </c>
      <c r="AW105" s="243">
        <f t="shared" si="64"/>
        <v>0</v>
      </c>
      <c r="AX105" s="243">
        <f t="shared" si="65"/>
        <v>0</v>
      </c>
      <c r="AY105" s="504"/>
      <c r="AZ105" s="123">
        <f t="shared" si="59"/>
        <v>0</v>
      </c>
    </row>
    <row r="106" spans="1:52" s="270" customFormat="1" outlineLevel="1">
      <c r="A106" s="500" t="s">
        <v>121</v>
      </c>
      <c r="B106" s="501">
        <v>987023804</v>
      </c>
      <c r="C106" s="501" t="s">
        <v>370</v>
      </c>
      <c r="D106" s="121" t="s">
        <v>84</v>
      </c>
      <c r="E106" s="241">
        <f t="shared" si="42"/>
        <v>0</v>
      </c>
      <c r="F106" s="93"/>
      <c r="G106" s="93"/>
      <c r="H106" s="93"/>
      <c r="I106" s="93"/>
      <c r="J106" s="93"/>
      <c r="K106" s="93">
        <v>250</v>
      </c>
      <c r="L106" s="93">
        <f t="shared" si="60"/>
        <v>0</v>
      </c>
      <c r="M106" s="89" t="s">
        <v>100</v>
      </c>
      <c r="N106" s="89"/>
      <c r="O106" s="89"/>
      <c r="P106" s="89"/>
      <c r="Q106" s="242">
        <f t="shared" si="49"/>
        <v>0</v>
      </c>
      <c r="R106" s="93">
        <f t="shared" si="50"/>
        <v>0</v>
      </c>
      <c r="S106" s="93"/>
      <c r="T106" s="93"/>
      <c r="U106" s="93">
        <f t="shared" si="43"/>
        <v>0</v>
      </c>
      <c r="V106" s="93"/>
      <c r="W106" s="93"/>
      <c r="X106" s="93">
        <f t="shared" si="44"/>
        <v>0</v>
      </c>
      <c r="Y106" s="93"/>
      <c r="Z106" s="93"/>
      <c r="AA106" s="93">
        <f t="shared" si="51"/>
        <v>0</v>
      </c>
      <c r="AB106" s="93">
        <f t="shared" si="52"/>
        <v>0</v>
      </c>
      <c r="AC106" s="243" t="e">
        <f t="shared" si="66"/>
        <v>#DIV/0!</v>
      </c>
      <c r="AD106" s="93">
        <f t="shared" si="46"/>
        <v>0</v>
      </c>
      <c r="AE106" s="93"/>
      <c r="AF106" s="243">
        <f t="shared" si="47"/>
        <v>0</v>
      </c>
      <c r="AG106" s="93"/>
      <c r="AH106" s="93"/>
      <c r="AI106" s="93"/>
      <c r="AJ106" s="93"/>
      <c r="AK106" s="93"/>
      <c r="AL106" s="122">
        <f t="shared" si="67"/>
        <v>0</v>
      </c>
      <c r="AM106" s="93"/>
      <c r="AN106" s="123">
        <f t="shared" si="53"/>
        <v>0</v>
      </c>
      <c r="AO106" s="95">
        <f t="shared" si="54"/>
        <v>0</v>
      </c>
      <c r="AP106" s="123"/>
      <c r="AQ106" s="502">
        <f t="shared" si="56"/>
        <v>0</v>
      </c>
      <c r="AR106" s="503">
        <f t="shared" si="63"/>
        <v>250</v>
      </c>
      <c r="AS106" s="503">
        <f t="shared" si="57"/>
        <v>0</v>
      </c>
      <c r="AT106" s="503">
        <f t="shared" si="58"/>
        <v>0</v>
      </c>
      <c r="AU106" s="503">
        <f t="shared" si="55"/>
        <v>0</v>
      </c>
      <c r="AV106" s="503">
        <f t="array" ref="AV106">_xlfn.IFS(U106=0,AO106,U106&lt;0,AO106/-U106,U106&gt;0,AO106/U106)</f>
        <v>0</v>
      </c>
      <c r="AW106" s="243">
        <f t="shared" si="64"/>
        <v>0</v>
      </c>
      <c r="AX106" s="243">
        <f t="shared" si="65"/>
        <v>0</v>
      </c>
      <c r="AY106" s="504"/>
      <c r="AZ106" s="123">
        <f t="shared" si="59"/>
        <v>0</v>
      </c>
    </row>
    <row r="107" spans="1:52" s="270" customFormat="1" outlineLevel="1">
      <c r="A107" s="500" t="s">
        <v>121</v>
      </c>
      <c r="B107" s="501">
        <v>987023803</v>
      </c>
      <c r="C107" s="501" t="s">
        <v>369</v>
      </c>
      <c r="D107" s="121" t="s">
        <v>84</v>
      </c>
      <c r="E107" s="241">
        <f t="shared" si="42"/>
        <v>0</v>
      </c>
      <c r="F107" s="93"/>
      <c r="G107" s="93"/>
      <c r="H107" s="93"/>
      <c r="I107" s="93"/>
      <c r="J107" s="93"/>
      <c r="K107" s="93">
        <v>350</v>
      </c>
      <c r="L107" s="93">
        <f t="shared" si="60"/>
        <v>0</v>
      </c>
      <c r="M107" s="89" t="s">
        <v>100</v>
      </c>
      <c r="N107" s="89"/>
      <c r="O107" s="89"/>
      <c r="P107" s="89"/>
      <c r="Q107" s="242">
        <f t="shared" si="49"/>
        <v>0</v>
      </c>
      <c r="R107" s="93">
        <f t="shared" si="50"/>
        <v>0</v>
      </c>
      <c r="S107" s="93"/>
      <c r="T107" s="93"/>
      <c r="U107" s="93">
        <f t="shared" si="43"/>
        <v>0</v>
      </c>
      <c r="V107" s="93"/>
      <c r="W107" s="93"/>
      <c r="X107" s="93">
        <f t="shared" si="44"/>
        <v>0</v>
      </c>
      <c r="Y107" s="93"/>
      <c r="Z107" s="93"/>
      <c r="AA107" s="93">
        <f t="shared" si="51"/>
        <v>0</v>
      </c>
      <c r="AB107" s="93">
        <f t="shared" si="52"/>
        <v>0</v>
      </c>
      <c r="AC107" s="243" t="e">
        <f t="shared" si="66"/>
        <v>#DIV/0!</v>
      </c>
      <c r="AD107" s="93">
        <f t="shared" si="46"/>
        <v>0</v>
      </c>
      <c r="AE107" s="93"/>
      <c r="AF107" s="243">
        <f t="shared" si="47"/>
        <v>0</v>
      </c>
      <c r="AG107" s="93"/>
      <c r="AH107" s="93"/>
      <c r="AI107" s="93"/>
      <c r="AJ107" s="93"/>
      <c r="AK107" s="93"/>
      <c r="AL107" s="122">
        <f t="shared" si="67"/>
        <v>0</v>
      </c>
      <c r="AM107" s="93"/>
      <c r="AN107" s="123">
        <f t="shared" si="53"/>
        <v>0</v>
      </c>
      <c r="AO107" s="95">
        <f t="shared" si="54"/>
        <v>0</v>
      </c>
      <c r="AP107" s="123"/>
      <c r="AQ107" s="502">
        <f t="shared" si="56"/>
        <v>0</v>
      </c>
      <c r="AR107" s="503">
        <f t="shared" si="63"/>
        <v>350</v>
      </c>
      <c r="AS107" s="503">
        <f t="shared" si="57"/>
        <v>0</v>
      </c>
      <c r="AT107" s="503">
        <f t="shared" si="58"/>
        <v>0</v>
      </c>
      <c r="AU107" s="503">
        <f t="shared" si="55"/>
        <v>0</v>
      </c>
      <c r="AV107" s="503">
        <f t="array" ref="AV107">_xlfn.IFS(U107=0,AO107,U107&lt;0,AO107/-U107,U107&gt;0,AO107/U107)</f>
        <v>0</v>
      </c>
      <c r="AW107" s="243">
        <f t="shared" si="64"/>
        <v>0</v>
      </c>
      <c r="AX107" s="243">
        <f t="shared" si="65"/>
        <v>0</v>
      </c>
      <c r="AY107" s="504"/>
      <c r="AZ107" s="123">
        <f t="shared" si="59"/>
        <v>0</v>
      </c>
    </row>
    <row r="108" spans="1:52" s="270" customFormat="1" outlineLevel="1">
      <c r="A108" s="500" t="s">
        <v>121</v>
      </c>
      <c r="B108" s="501">
        <v>987023802</v>
      </c>
      <c r="C108" s="501" t="s">
        <v>371</v>
      </c>
      <c r="D108" s="121" t="s">
        <v>84</v>
      </c>
      <c r="E108" s="241">
        <f t="shared" si="42"/>
        <v>0</v>
      </c>
      <c r="F108" s="93"/>
      <c r="G108" s="93"/>
      <c r="H108" s="93"/>
      <c r="I108" s="93"/>
      <c r="J108" s="93"/>
      <c r="K108" s="93">
        <v>350</v>
      </c>
      <c r="L108" s="93">
        <f t="shared" si="60"/>
        <v>0</v>
      </c>
      <c r="M108" s="89" t="s">
        <v>100</v>
      </c>
      <c r="N108" s="89"/>
      <c r="O108" s="89"/>
      <c r="P108" s="89"/>
      <c r="Q108" s="242">
        <f t="shared" si="49"/>
        <v>0</v>
      </c>
      <c r="R108" s="93">
        <f t="shared" si="50"/>
        <v>0</v>
      </c>
      <c r="S108" s="93"/>
      <c r="T108" s="93"/>
      <c r="U108" s="93">
        <f t="shared" si="43"/>
        <v>0</v>
      </c>
      <c r="V108" s="93"/>
      <c r="W108" s="93"/>
      <c r="X108" s="93">
        <f t="shared" si="44"/>
        <v>0</v>
      </c>
      <c r="Y108" s="93"/>
      <c r="Z108" s="93"/>
      <c r="AA108" s="93">
        <f t="shared" si="51"/>
        <v>0</v>
      </c>
      <c r="AB108" s="93">
        <f t="shared" si="52"/>
        <v>0</v>
      </c>
      <c r="AC108" s="243" t="e">
        <f>AA108/$AA$131</f>
        <v>#DIV/0!</v>
      </c>
      <c r="AD108" s="93">
        <f t="shared" si="46"/>
        <v>0</v>
      </c>
      <c r="AE108" s="93"/>
      <c r="AF108" s="243">
        <f t="shared" si="47"/>
        <v>0</v>
      </c>
      <c r="AG108" s="93"/>
      <c r="AH108" s="93"/>
      <c r="AI108" s="93"/>
      <c r="AJ108" s="93"/>
      <c r="AK108" s="93"/>
      <c r="AL108" s="122">
        <f>IFERROR($AL$131*H108/$H$131,0)</f>
        <v>0</v>
      </c>
      <c r="AM108" s="93"/>
      <c r="AN108" s="123">
        <f t="shared" si="53"/>
        <v>0</v>
      </c>
      <c r="AO108" s="95">
        <f t="shared" si="54"/>
        <v>0</v>
      </c>
      <c r="AP108" s="123"/>
      <c r="AQ108" s="502">
        <f t="shared" si="56"/>
        <v>0</v>
      </c>
      <c r="AR108" s="503">
        <f t="shared" si="63"/>
        <v>350</v>
      </c>
      <c r="AS108" s="503">
        <f t="shared" si="57"/>
        <v>0</v>
      </c>
      <c r="AT108" s="503">
        <f t="shared" si="58"/>
        <v>0</v>
      </c>
      <c r="AU108" s="503">
        <f t="shared" si="55"/>
        <v>0</v>
      </c>
      <c r="AV108" s="503">
        <f t="array" ref="AV108">_xlfn.IFS(U108=0,AO108,U108&lt;0,AO108/-U108,U108&gt;0,AO108/U108)</f>
        <v>0</v>
      </c>
      <c r="AW108" s="243">
        <f t="shared" si="64"/>
        <v>0</v>
      </c>
      <c r="AX108" s="243">
        <f t="shared" si="65"/>
        <v>0</v>
      </c>
      <c r="AY108" s="504"/>
      <c r="AZ108" s="123">
        <f t="shared" si="59"/>
        <v>0</v>
      </c>
    </row>
    <row r="109" spans="1:52" s="113" customFormat="1" outlineLevel="1">
      <c r="A109" s="101"/>
      <c r="B109" s="102"/>
      <c r="C109" s="103" t="s">
        <v>218</v>
      </c>
      <c r="D109" s="104"/>
      <c r="E109" s="235"/>
      <c r="F109" s="105"/>
      <c r="G109" s="105"/>
      <c r="H109" s="106"/>
      <c r="I109" s="106"/>
      <c r="J109" s="106"/>
      <c r="K109" s="105"/>
      <c r="L109" s="105"/>
      <c r="M109" s="103"/>
      <c r="N109" s="103"/>
      <c r="O109" s="103"/>
      <c r="P109" s="103"/>
      <c r="Q109" s="236"/>
      <c r="R109" s="105"/>
      <c r="S109" s="106"/>
      <c r="T109" s="106"/>
      <c r="U109" s="105"/>
      <c r="V109" s="106"/>
      <c r="W109" s="106"/>
      <c r="X109" s="105"/>
      <c r="Y109" s="106"/>
      <c r="Z109" s="106"/>
      <c r="AA109" s="105"/>
      <c r="AB109" s="105"/>
      <c r="AC109" s="237"/>
      <c r="AD109" s="105"/>
      <c r="AE109" s="106"/>
      <c r="AF109" s="237"/>
      <c r="AG109" s="106"/>
      <c r="AH109" s="106"/>
      <c r="AI109" s="106"/>
      <c r="AJ109" s="106"/>
      <c r="AK109" s="106"/>
      <c r="AL109" s="107"/>
      <c r="AM109" s="106"/>
      <c r="AN109" s="108"/>
      <c r="AO109" s="109"/>
      <c r="AP109" s="110"/>
      <c r="AQ109" s="111">
        <f t="shared" ref="AQ109:AX109" si="68">AVERAGE(AQ7:AQ98)</f>
        <v>0</v>
      </c>
      <c r="AR109" s="111">
        <f t="shared" si="68"/>
        <v>141.22217391304349</v>
      </c>
      <c r="AS109" s="111">
        <f t="shared" si="68"/>
        <v>0</v>
      </c>
      <c r="AT109" s="111">
        <f t="shared" si="68"/>
        <v>0</v>
      </c>
      <c r="AU109" s="111">
        <f t="shared" si="68"/>
        <v>0</v>
      </c>
      <c r="AV109" s="111">
        <f t="shared" si="68"/>
        <v>0</v>
      </c>
      <c r="AW109" s="112">
        <f t="shared" si="68"/>
        <v>0</v>
      </c>
      <c r="AX109" s="112">
        <f t="shared" si="68"/>
        <v>0</v>
      </c>
      <c r="AY109" s="99"/>
      <c r="AZ109" s="108"/>
    </row>
    <row r="110" spans="1:52" s="120" customFormat="1">
      <c r="A110" s="114" t="s">
        <v>85</v>
      </c>
      <c r="B110" s="115"/>
      <c r="C110" s="116"/>
      <c r="D110" s="116"/>
      <c r="E110" s="238">
        <f t="shared" ref="E110:J110" si="69">SUM(E3:E108)</f>
        <v>0</v>
      </c>
      <c r="F110" s="116">
        <f t="shared" si="69"/>
        <v>0</v>
      </c>
      <c r="G110" s="116">
        <f t="shared" si="69"/>
        <v>0</v>
      </c>
      <c r="H110" s="116">
        <f t="shared" si="69"/>
        <v>0</v>
      </c>
      <c r="I110" s="116">
        <f t="shared" si="69"/>
        <v>0</v>
      </c>
      <c r="J110" s="116">
        <f t="shared" si="69"/>
        <v>0</v>
      </c>
      <c r="K110" s="116"/>
      <c r="L110" s="116">
        <f>SUM(L3:L108)</f>
        <v>0</v>
      </c>
      <c r="M110" s="116"/>
      <c r="N110" s="116">
        <f>SUM(N3:N108)</f>
        <v>0</v>
      </c>
      <c r="O110" s="116"/>
      <c r="P110" s="116"/>
      <c r="Q110" s="294">
        <f>SUM(Q3:Q108)</f>
        <v>0</v>
      </c>
      <c r="R110" s="116"/>
      <c r="S110" s="116">
        <f t="shared" ref="S110:AE110" si="70">SUM(S3:S108)</f>
        <v>0</v>
      </c>
      <c r="T110" s="116">
        <f t="shared" si="70"/>
        <v>0</v>
      </c>
      <c r="U110" s="116">
        <f t="shared" si="70"/>
        <v>0</v>
      </c>
      <c r="V110" s="116">
        <f t="shared" si="70"/>
        <v>0</v>
      </c>
      <c r="W110" s="116">
        <f t="shared" si="70"/>
        <v>0</v>
      </c>
      <c r="X110" s="116">
        <f t="shared" si="70"/>
        <v>0</v>
      </c>
      <c r="Y110" s="116">
        <f t="shared" si="70"/>
        <v>0</v>
      </c>
      <c r="Z110" s="116">
        <f t="shared" si="70"/>
        <v>0</v>
      </c>
      <c r="AA110" s="116">
        <f t="shared" si="70"/>
        <v>0</v>
      </c>
      <c r="AB110" s="116">
        <f t="shared" si="70"/>
        <v>0</v>
      </c>
      <c r="AC110" s="239" t="e">
        <f t="shared" si="70"/>
        <v>#DIV/0!</v>
      </c>
      <c r="AD110" s="117">
        <f t="shared" si="70"/>
        <v>0</v>
      </c>
      <c r="AE110" s="116">
        <f t="shared" si="70"/>
        <v>0</v>
      </c>
      <c r="AF110" s="239" t="e">
        <f>AE110/AA110</f>
        <v>#DIV/0!</v>
      </c>
      <c r="AG110" s="116">
        <f t="shared" ref="AG110:AO110" si="71">SUM(AG3:AG108)</f>
        <v>0</v>
      </c>
      <c r="AH110" s="117">
        <f t="shared" si="71"/>
        <v>0</v>
      </c>
      <c r="AI110" s="117">
        <f t="shared" si="71"/>
        <v>0</v>
      </c>
      <c r="AJ110" s="117">
        <f t="shared" si="71"/>
        <v>0</v>
      </c>
      <c r="AK110" s="117">
        <f t="shared" si="71"/>
        <v>0</v>
      </c>
      <c r="AL110" s="117">
        <f t="shared" si="71"/>
        <v>0</v>
      </c>
      <c r="AM110" s="116">
        <f t="shared" si="71"/>
        <v>0</v>
      </c>
      <c r="AN110" s="117">
        <f t="shared" si="71"/>
        <v>0</v>
      </c>
      <c r="AO110" s="117">
        <f t="shared" si="71"/>
        <v>0</v>
      </c>
      <c r="AP110" s="118"/>
      <c r="AQ110" s="116"/>
      <c r="AR110" s="116"/>
      <c r="AS110" s="116"/>
      <c r="AT110" s="116"/>
      <c r="AU110" s="240" t="e">
        <f>(AH110+AI110+AJ110)/S110</f>
        <v>#DIV/0!</v>
      </c>
      <c r="AV110" s="116"/>
      <c r="AW110" s="116"/>
      <c r="AX110" s="116"/>
      <c r="AY110" s="119"/>
      <c r="AZ110" s="116">
        <f>SUM(AZ3:AZ108)</f>
        <v>0</v>
      </c>
    </row>
    <row r="111" spans="1:52" hidden="1" outlineLevel="1">
      <c r="A111" s="89"/>
      <c r="B111" s="90"/>
      <c r="C111" s="90"/>
      <c r="D111" s="121"/>
      <c r="E111" s="241"/>
      <c r="F111" s="93"/>
      <c r="G111" s="93"/>
      <c r="H111" s="93"/>
      <c r="I111" s="93"/>
      <c r="J111" s="93"/>
      <c r="K111" s="93"/>
      <c r="L111" s="93"/>
      <c r="M111" s="89"/>
      <c r="N111" s="89"/>
      <c r="O111" s="89"/>
      <c r="P111" s="89"/>
      <c r="Q111" s="242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243"/>
      <c r="AD111" s="93"/>
      <c r="AE111" s="93"/>
      <c r="AF111" s="243"/>
      <c r="AG111" s="93"/>
      <c r="AH111" s="591"/>
      <c r="AI111" s="591"/>
      <c r="AJ111" s="515"/>
      <c r="AK111" s="515"/>
      <c r="AL111" s="122"/>
      <c r="AM111" s="93"/>
      <c r="AN111" s="123"/>
      <c r="AO111" s="124"/>
      <c r="AP111" s="96"/>
      <c r="AQ111" s="125"/>
      <c r="AR111" s="126"/>
      <c r="AS111" s="126"/>
      <c r="AT111" s="126"/>
      <c r="AU111" s="126"/>
      <c r="AV111" s="126"/>
      <c r="AW111" s="244"/>
      <c r="AX111" s="244"/>
      <c r="AY111" s="99"/>
      <c r="AZ111" s="123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121"/>
      <c r="E116" s="232"/>
      <c r="F116" s="93"/>
      <c r="G116" s="93"/>
      <c r="H116" s="93"/>
      <c r="I116" s="93"/>
      <c r="J116" s="93"/>
      <c r="K116" s="93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100"/>
      <c r="C117" s="100"/>
      <c r="D117" s="100"/>
      <c r="E117" s="100"/>
      <c r="H117" s="270"/>
      <c r="K117" s="93"/>
      <c r="L117" s="93"/>
      <c r="M117" s="89"/>
      <c r="N117" s="89"/>
      <c r="O117" s="89"/>
      <c r="P117" s="89"/>
      <c r="Q117" s="242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243"/>
      <c r="AD117" s="93"/>
      <c r="AE117" s="93"/>
      <c r="AF117" s="243"/>
      <c r="AG117" s="93"/>
      <c r="AH117" s="515"/>
      <c r="AI117" s="515"/>
      <c r="AJ117" s="515"/>
      <c r="AK117" s="515"/>
      <c r="AL117" s="122"/>
      <c r="AM117" s="93"/>
      <c r="AN117" s="123"/>
      <c r="AO117" s="124"/>
      <c r="AP117" s="96"/>
      <c r="AQ117" s="245" t="e">
        <f>AVERAGE(AQ112:AQ116)</f>
        <v>#DIV/0!</v>
      </c>
      <c r="AR117" s="245" t="e">
        <f>AVERAGE(AR112:AR116)</f>
        <v>#DIV/0!</v>
      </c>
      <c r="AS117" s="245" t="e">
        <f t="shared" ref="AS117:AX117" si="72">AVERAGE(AS112:AS116)</f>
        <v>#DIV/0!</v>
      </c>
      <c r="AT117" s="245" t="e">
        <f t="shared" si="72"/>
        <v>#DIV/0!</v>
      </c>
      <c r="AU117" s="245" t="e">
        <f t="shared" si="72"/>
        <v>#DIV/0!</v>
      </c>
      <c r="AV117" s="245" t="e">
        <f t="shared" si="72"/>
        <v>#DIV/0!</v>
      </c>
      <c r="AW117" s="246" t="e">
        <f t="shared" si="72"/>
        <v>#DIV/0!</v>
      </c>
      <c r="AX117" s="246" t="e">
        <f t="shared" si="72"/>
        <v>#DIV/0!</v>
      </c>
      <c r="AY117" s="99"/>
      <c r="AZ117" s="123"/>
    </row>
    <row r="118" spans="1:52" s="120" customFormat="1" hidden="1" outlineLevel="1">
      <c r="A118" s="247" t="s">
        <v>226</v>
      </c>
      <c r="B118" s="248"/>
      <c r="C118" s="249"/>
      <c r="D118" s="249"/>
      <c r="E118" s="250">
        <f t="shared" ref="E118:J118" si="73">SUM(E112:E116)</f>
        <v>0</v>
      </c>
      <c r="F118" s="249">
        <f t="shared" si="73"/>
        <v>0</v>
      </c>
      <c r="G118" s="249">
        <f t="shared" si="73"/>
        <v>0</v>
      </c>
      <c r="H118" s="249">
        <f t="shared" si="73"/>
        <v>0</v>
      </c>
      <c r="I118" s="249">
        <f t="shared" si="73"/>
        <v>0</v>
      </c>
      <c r="J118" s="249">
        <f t="shared" si="73"/>
        <v>0</v>
      </c>
      <c r="K118" s="249"/>
      <c r="L118" s="249">
        <f>SUM(L112:L116)</f>
        <v>0</v>
      </c>
      <c r="M118" s="249"/>
      <c r="N118" s="249">
        <f>SUM(N112:N116)</f>
        <v>0</v>
      </c>
      <c r="O118" s="249"/>
      <c r="P118" s="249"/>
      <c r="Q118" s="251"/>
      <c r="R118" s="249"/>
      <c r="S118" s="249">
        <f t="shared" ref="S118:AE118" si="74">SUM(S112:S116)</f>
        <v>0</v>
      </c>
      <c r="T118" s="249">
        <f t="shared" si="74"/>
        <v>0</v>
      </c>
      <c r="U118" s="249">
        <f t="shared" si="74"/>
        <v>0</v>
      </c>
      <c r="V118" s="249">
        <f t="shared" si="74"/>
        <v>0</v>
      </c>
      <c r="W118" s="249">
        <f t="shared" si="74"/>
        <v>0</v>
      </c>
      <c r="X118" s="249">
        <f t="shared" si="74"/>
        <v>0</v>
      </c>
      <c r="Y118" s="249">
        <f t="shared" si="74"/>
        <v>0</v>
      </c>
      <c r="Z118" s="249">
        <f t="shared" si="74"/>
        <v>0</v>
      </c>
      <c r="AA118" s="249">
        <f t="shared" si="74"/>
        <v>0</v>
      </c>
      <c r="AB118" s="249">
        <f t="shared" si="74"/>
        <v>0</v>
      </c>
      <c r="AC118" s="252">
        <f t="shared" si="74"/>
        <v>0</v>
      </c>
      <c r="AD118" s="253">
        <f t="shared" si="74"/>
        <v>0</v>
      </c>
      <c r="AE118" s="249">
        <f t="shared" si="74"/>
        <v>0</v>
      </c>
      <c r="AF118" s="252" t="e">
        <f>AE118/AA118</f>
        <v>#DIV/0!</v>
      </c>
      <c r="AG118" s="249">
        <f t="shared" ref="AG118:AO118" si="75">SUM(AG112:AG116)</f>
        <v>0</v>
      </c>
      <c r="AH118" s="253">
        <f t="shared" si="75"/>
        <v>0</v>
      </c>
      <c r="AI118" s="253">
        <f t="shared" si="75"/>
        <v>0</v>
      </c>
      <c r="AJ118" s="253">
        <f t="shared" si="75"/>
        <v>0</v>
      </c>
      <c r="AK118" s="253">
        <f t="shared" si="75"/>
        <v>0</v>
      </c>
      <c r="AL118" s="253">
        <f t="shared" si="75"/>
        <v>0</v>
      </c>
      <c r="AM118" s="249">
        <f t="shared" si="75"/>
        <v>0</v>
      </c>
      <c r="AN118" s="253">
        <f t="shared" si="75"/>
        <v>0</v>
      </c>
      <c r="AO118" s="253">
        <f t="shared" si="75"/>
        <v>0</v>
      </c>
      <c r="AP118" s="254"/>
      <c r="AQ118" s="249"/>
      <c r="AR118" s="249"/>
      <c r="AS118" s="249"/>
      <c r="AT118" s="249"/>
      <c r="AU118" s="255" t="e">
        <f>(AH118+AI118+AJ118)/S118</f>
        <v>#DIV/0!</v>
      </c>
      <c r="AV118" s="249"/>
      <c r="AW118" s="249"/>
      <c r="AX118" s="249"/>
      <c r="AY118" s="256"/>
      <c r="AZ118" s="249">
        <f>SUM(AZ112:AZ116)</f>
        <v>0</v>
      </c>
    </row>
    <row r="119" spans="1:52" s="120" customFormat="1" hidden="1" outlineLevel="1">
      <c r="A119" s="257"/>
      <c r="B119" s="258"/>
      <c r="C119" s="139"/>
      <c r="D119" s="139"/>
      <c r="E119" s="25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260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261"/>
      <c r="AD119" s="262"/>
      <c r="AE119" s="139"/>
      <c r="AF119" s="261"/>
      <c r="AG119" s="139"/>
      <c r="AH119" s="592"/>
      <c r="AI119" s="593"/>
      <c r="AJ119" s="516"/>
      <c r="AK119" s="262"/>
      <c r="AL119" s="262"/>
      <c r="AM119" s="139"/>
      <c r="AN119" s="262"/>
      <c r="AO119" s="262"/>
      <c r="AP119" s="96"/>
      <c r="AQ119" s="139"/>
      <c r="AR119" s="139"/>
      <c r="AS119" s="139"/>
      <c r="AT119" s="139"/>
      <c r="AU119" s="139"/>
      <c r="AV119" s="139"/>
      <c r="AW119" s="139"/>
      <c r="AX119" s="139"/>
      <c r="AY119" s="96"/>
      <c r="AZ119" s="139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91"/>
      <c r="E126" s="232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89"/>
      <c r="B127" s="90"/>
      <c r="C127" s="90"/>
      <c r="D127" s="121"/>
      <c r="E127" s="241"/>
      <c r="F127" s="93"/>
      <c r="G127" s="93"/>
      <c r="H127" s="93"/>
      <c r="I127" s="93"/>
      <c r="J127" s="93"/>
      <c r="K127" s="92"/>
      <c r="L127" s="92"/>
      <c r="M127" s="89"/>
      <c r="N127" s="89"/>
      <c r="O127" s="89"/>
      <c r="P127" s="89"/>
      <c r="Q127" s="233"/>
      <c r="R127" s="92"/>
      <c r="S127" s="93"/>
      <c r="T127" s="93"/>
      <c r="U127" s="92"/>
      <c r="V127" s="93"/>
      <c r="W127" s="93"/>
      <c r="X127" s="92"/>
      <c r="Y127" s="93"/>
      <c r="Z127" s="93"/>
      <c r="AA127" s="92"/>
      <c r="AB127" s="92"/>
      <c r="AC127" s="234"/>
      <c r="AD127" s="92"/>
      <c r="AE127" s="93"/>
      <c r="AF127" s="234"/>
      <c r="AG127" s="93"/>
      <c r="AH127" s="93"/>
      <c r="AI127" s="93"/>
      <c r="AJ127" s="93"/>
      <c r="AK127" s="93"/>
      <c r="AL127" s="122"/>
      <c r="AM127" s="93"/>
      <c r="AN127" s="94"/>
      <c r="AO127" s="95"/>
      <c r="AP127" s="96"/>
      <c r="AQ127" s="97"/>
      <c r="AR127" s="98"/>
      <c r="AS127" s="98"/>
      <c r="AT127" s="98"/>
      <c r="AU127" s="98"/>
      <c r="AV127" s="98"/>
      <c r="AW127" s="234"/>
      <c r="AX127" s="234"/>
      <c r="AY127" s="99"/>
      <c r="AZ127" s="94"/>
    </row>
    <row r="128" spans="1:52" hidden="1" outlineLevel="1">
      <c r="A128" s="127"/>
      <c r="B128" s="100"/>
      <c r="C128" s="89"/>
      <c r="D128" s="127"/>
      <c r="E128" s="232"/>
      <c r="F128" s="92"/>
      <c r="G128" s="92"/>
      <c r="H128" s="93"/>
      <c r="I128" s="92"/>
      <c r="J128" s="93"/>
      <c r="K128" s="92"/>
      <c r="L128" s="92"/>
      <c r="M128" s="89"/>
      <c r="N128" s="129"/>
      <c r="O128" s="129"/>
      <c r="P128" s="129"/>
      <c r="Q128" s="233"/>
      <c r="R128" s="128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234"/>
      <c r="AD128" s="92"/>
      <c r="AE128" s="92"/>
      <c r="AF128" s="234"/>
      <c r="AG128" s="92"/>
      <c r="AH128" s="93"/>
      <c r="AI128" s="93"/>
      <c r="AJ128" s="93"/>
      <c r="AK128" s="93"/>
      <c r="AL128" s="122"/>
      <c r="AN128" s="94"/>
      <c r="AO128" s="95"/>
      <c r="AP128" s="96"/>
      <c r="AQ128" s="130" t="e">
        <f t="shared" ref="AQ128:AX128" si="76">AVERAGE(AQ120:AQ127)</f>
        <v>#DIV/0!</v>
      </c>
      <c r="AR128" s="130" t="e">
        <f t="shared" si="76"/>
        <v>#DIV/0!</v>
      </c>
      <c r="AS128" s="130" t="e">
        <f t="shared" si="76"/>
        <v>#DIV/0!</v>
      </c>
      <c r="AT128" s="130" t="e">
        <f t="shared" si="76"/>
        <v>#DIV/0!</v>
      </c>
      <c r="AU128" s="130" t="e">
        <f t="shared" si="76"/>
        <v>#DIV/0!</v>
      </c>
      <c r="AV128" s="130" t="e">
        <f t="shared" si="76"/>
        <v>#DIV/0!</v>
      </c>
      <c r="AW128" s="131" t="e">
        <f t="shared" si="76"/>
        <v>#DIV/0!</v>
      </c>
      <c r="AX128" s="131" t="e">
        <f t="shared" si="76"/>
        <v>#DIV/0!</v>
      </c>
      <c r="AY128" s="99"/>
      <c r="AZ128" s="94"/>
    </row>
    <row r="129" spans="1:52" s="139" customFormat="1" ht="15" hidden="1" customHeight="1" outlineLevel="1">
      <c r="A129" s="132" t="s">
        <v>235</v>
      </c>
      <c r="B129" s="133"/>
      <c r="C129" s="134"/>
      <c r="D129" s="134"/>
      <c r="E129" s="264">
        <f t="shared" ref="E129:J129" si="77">SUM(E120:E127)</f>
        <v>0</v>
      </c>
      <c r="F129" s="134">
        <f t="shared" si="77"/>
        <v>0</v>
      </c>
      <c r="G129" s="134">
        <f t="shared" si="77"/>
        <v>0</v>
      </c>
      <c r="H129" s="134">
        <f t="shared" si="77"/>
        <v>0</v>
      </c>
      <c r="I129" s="134">
        <f t="shared" si="77"/>
        <v>0</v>
      </c>
      <c r="J129" s="134">
        <f t="shared" si="77"/>
        <v>0</v>
      </c>
      <c r="K129" s="134"/>
      <c r="L129" s="134">
        <f>SUM(L120:L127)</f>
        <v>0</v>
      </c>
      <c r="M129" s="134"/>
      <c r="N129" s="134">
        <f>SUM(N120:N127)</f>
        <v>0</v>
      </c>
      <c r="O129" s="134"/>
      <c r="P129" s="134"/>
      <c r="Q129" s="213"/>
      <c r="R129" s="134"/>
      <c r="S129" s="134">
        <f t="shared" ref="S129:AE129" si="78">SUM(S120:S127)</f>
        <v>0</v>
      </c>
      <c r="T129" s="134">
        <f t="shared" si="78"/>
        <v>0</v>
      </c>
      <c r="U129" s="134">
        <f t="shared" si="78"/>
        <v>0</v>
      </c>
      <c r="V129" s="134">
        <f t="shared" si="78"/>
        <v>0</v>
      </c>
      <c r="W129" s="134">
        <f t="shared" si="78"/>
        <v>0</v>
      </c>
      <c r="X129" s="134">
        <f t="shared" si="78"/>
        <v>0</v>
      </c>
      <c r="Y129" s="134">
        <f t="shared" si="78"/>
        <v>0</v>
      </c>
      <c r="Z129" s="134">
        <f t="shared" si="78"/>
        <v>0</v>
      </c>
      <c r="AA129" s="134">
        <f t="shared" si="78"/>
        <v>0</v>
      </c>
      <c r="AB129" s="134">
        <f t="shared" si="78"/>
        <v>0</v>
      </c>
      <c r="AC129" s="265">
        <f t="shared" si="78"/>
        <v>0</v>
      </c>
      <c r="AD129" s="135">
        <f t="shared" si="78"/>
        <v>0</v>
      </c>
      <c r="AE129" s="134">
        <f t="shared" si="78"/>
        <v>0</v>
      </c>
      <c r="AF129" s="265" t="e">
        <f>AE129/AA129</f>
        <v>#DIV/0!</v>
      </c>
      <c r="AG129" s="134">
        <f t="shared" ref="AG129:AO129" si="79">SUM(AG120:AG127)</f>
        <v>0</v>
      </c>
      <c r="AH129" s="134">
        <f t="shared" si="79"/>
        <v>0</v>
      </c>
      <c r="AI129" s="134">
        <f t="shared" si="79"/>
        <v>0</v>
      </c>
      <c r="AJ129" s="134">
        <f t="shared" si="79"/>
        <v>0</v>
      </c>
      <c r="AK129" s="134">
        <f t="shared" si="79"/>
        <v>0</v>
      </c>
      <c r="AL129" s="136">
        <f t="shared" si="79"/>
        <v>0</v>
      </c>
      <c r="AM129" s="134">
        <f t="shared" si="79"/>
        <v>0</v>
      </c>
      <c r="AN129" s="134">
        <f t="shared" si="79"/>
        <v>0</v>
      </c>
      <c r="AO129" s="134">
        <f t="shared" si="79"/>
        <v>0</v>
      </c>
      <c r="AP129" s="137"/>
      <c r="AQ129" s="134"/>
      <c r="AR129" s="134"/>
      <c r="AS129" s="134"/>
      <c r="AT129" s="134"/>
      <c r="AU129" s="134" t="e">
        <f>(AH129+AI129+AJ129)/S129</f>
        <v>#DIV/0!</v>
      </c>
      <c r="AV129" s="134"/>
      <c r="AW129" s="134"/>
      <c r="AX129" s="134"/>
      <c r="AY129" s="138"/>
      <c r="AZ129" s="134">
        <f>SUM(AZ120:AZ127)</f>
        <v>0</v>
      </c>
    </row>
    <row r="130" spans="1:52" s="120" customFormat="1" collapsed="1">
      <c r="A130" s="429" t="s">
        <v>333</v>
      </c>
      <c r="B130" s="430"/>
      <c r="C130" s="431"/>
      <c r="D130" s="431"/>
      <c r="E130" s="432">
        <f t="shared" ref="E130:J130" si="80">SUM(E3:E18)+E28+E45+E47+E48+E49+E50</f>
        <v>0</v>
      </c>
      <c r="F130" s="431">
        <f t="shared" si="80"/>
        <v>0</v>
      </c>
      <c r="G130" s="431">
        <f t="shared" si="80"/>
        <v>0</v>
      </c>
      <c r="H130" s="431">
        <f t="shared" si="80"/>
        <v>0</v>
      </c>
      <c r="I130" s="431">
        <f t="shared" si="80"/>
        <v>0</v>
      </c>
      <c r="J130" s="431">
        <f t="shared" si="80"/>
        <v>0</v>
      </c>
      <c r="K130" s="431"/>
      <c r="L130" s="431">
        <f>SUM(L3:L18)+L28+L45+L47+L48+L49+L50</f>
        <v>0</v>
      </c>
      <c r="M130" s="431">
        <f>SUM(M3:M18)+M28+M45+M47+M48+M49+M50</f>
        <v>1166</v>
      </c>
      <c r="N130" s="431">
        <f>SUM(N3:N18)+N28+N45+N47+N48+N49+N50</f>
        <v>0</v>
      </c>
      <c r="O130" s="431"/>
      <c r="P130" s="431"/>
      <c r="Q130" s="483">
        <f t="shared" ref="Q130:AE130" si="81">SUM(Q3:Q18)+Q28+Q45+Q47+Q48+Q49+Q50</f>
        <v>0</v>
      </c>
      <c r="R130" s="483">
        <f t="shared" si="81"/>
        <v>0</v>
      </c>
      <c r="S130" s="431">
        <f t="shared" si="81"/>
        <v>0</v>
      </c>
      <c r="T130" s="431">
        <f t="shared" si="81"/>
        <v>0</v>
      </c>
      <c r="U130" s="431">
        <f t="shared" si="81"/>
        <v>0</v>
      </c>
      <c r="V130" s="431">
        <f t="shared" si="81"/>
        <v>0</v>
      </c>
      <c r="W130" s="431">
        <f t="shared" si="81"/>
        <v>0</v>
      </c>
      <c r="X130" s="431">
        <f t="shared" si="81"/>
        <v>0</v>
      </c>
      <c r="Y130" s="431">
        <f t="shared" si="81"/>
        <v>0</v>
      </c>
      <c r="Z130" s="431">
        <f t="shared" si="81"/>
        <v>0</v>
      </c>
      <c r="AA130" s="431">
        <f t="shared" si="81"/>
        <v>0</v>
      </c>
      <c r="AB130" s="431">
        <f t="shared" si="81"/>
        <v>0</v>
      </c>
      <c r="AC130" s="434" t="e">
        <f t="shared" si="81"/>
        <v>#DIV/0!</v>
      </c>
      <c r="AD130" s="435">
        <f t="shared" si="81"/>
        <v>0</v>
      </c>
      <c r="AE130" s="431">
        <f t="shared" si="81"/>
        <v>0</v>
      </c>
      <c r="AF130" s="434" t="e">
        <f t="shared" ref="AF130" si="82">AE130/AA130</f>
        <v>#DIV/0!</v>
      </c>
      <c r="AG130" s="431">
        <f t="shared" ref="AG130:AO130" si="83">SUM(AG3:AG18)+AG28+AG45+AG47+AG48+AG49+AG50</f>
        <v>0</v>
      </c>
      <c r="AH130" s="435">
        <f t="shared" si="83"/>
        <v>0</v>
      </c>
      <c r="AI130" s="435">
        <f t="shared" si="83"/>
        <v>0</v>
      </c>
      <c r="AJ130" s="435">
        <f t="shared" si="83"/>
        <v>0</v>
      </c>
      <c r="AK130" s="435">
        <f t="shared" si="83"/>
        <v>0</v>
      </c>
      <c r="AL130" s="435">
        <f t="shared" si="83"/>
        <v>0</v>
      </c>
      <c r="AM130" s="431">
        <f t="shared" si="83"/>
        <v>0</v>
      </c>
      <c r="AN130" s="435">
        <f t="shared" si="83"/>
        <v>0</v>
      </c>
      <c r="AO130" s="435">
        <f t="shared" si="83"/>
        <v>0</v>
      </c>
      <c r="AP130" s="436"/>
      <c r="AQ130" s="431"/>
      <c r="AR130" s="431"/>
      <c r="AS130" s="431"/>
      <c r="AT130" s="431"/>
      <c r="AU130" s="437"/>
      <c r="AV130" s="431"/>
      <c r="AW130" s="431"/>
      <c r="AX130" s="431"/>
      <c r="AY130" s="438"/>
      <c r="AZ130" s="431"/>
    </row>
    <row r="131" spans="1:52" s="158" customFormat="1">
      <c r="A131" s="153" t="s">
        <v>6</v>
      </c>
      <c r="B131" s="154"/>
      <c r="C131" s="155"/>
      <c r="D131" s="155"/>
      <c r="E131" s="267">
        <f>E110+E118+E129</f>
        <v>0</v>
      </c>
      <c r="F131" s="267">
        <f>F110+F118+F129</f>
        <v>0</v>
      </c>
      <c r="G131" s="267">
        <f t="shared" ref="G131:AE131" si="84">G110+G118+G129</f>
        <v>0</v>
      </c>
      <c r="H131" s="267">
        <f t="shared" si="84"/>
        <v>0</v>
      </c>
      <c r="I131" s="267">
        <f t="shared" si="84"/>
        <v>0</v>
      </c>
      <c r="J131" s="267">
        <f t="shared" si="84"/>
        <v>0</v>
      </c>
      <c r="K131" s="267">
        <f t="shared" si="84"/>
        <v>0</v>
      </c>
      <c r="L131" s="267">
        <f t="shared" si="84"/>
        <v>0</v>
      </c>
      <c r="M131" s="267">
        <f t="shared" si="84"/>
        <v>0</v>
      </c>
      <c r="N131" s="267">
        <f t="shared" si="84"/>
        <v>0</v>
      </c>
      <c r="O131" s="267">
        <f t="shared" si="84"/>
        <v>0</v>
      </c>
      <c r="P131" s="267">
        <f t="shared" si="84"/>
        <v>0</v>
      </c>
      <c r="Q131" s="215">
        <f t="shared" si="84"/>
        <v>0</v>
      </c>
      <c r="R131" s="267">
        <f t="shared" si="84"/>
        <v>0</v>
      </c>
      <c r="S131" s="267">
        <f t="shared" si="84"/>
        <v>0</v>
      </c>
      <c r="T131" s="267">
        <f t="shared" si="84"/>
        <v>0</v>
      </c>
      <c r="U131" s="267">
        <f t="shared" si="84"/>
        <v>0</v>
      </c>
      <c r="V131" s="267">
        <f t="shared" si="84"/>
        <v>0</v>
      </c>
      <c r="W131" s="267">
        <f t="shared" si="84"/>
        <v>0</v>
      </c>
      <c r="X131" s="267">
        <f t="shared" si="84"/>
        <v>0</v>
      </c>
      <c r="Y131" s="267">
        <f t="shared" si="84"/>
        <v>0</v>
      </c>
      <c r="Z131" s="267">
        <f t="shared" si="84"/>
        <v>0</v>
      </c>
      <c r="AA131" s="267">
        <f t="shared" si="84"/>
        <v>0</v>
      </c>
      <c r="AB131" s="267">
        <f t="shared" si="84"/>
        <v>0</v>
      </c>
      <c r="AC131" s="267" t="e">
        <f t="shared" si="84"/>
        <v>#DIV/0!</v>
      </c>
      <c r="AD131" s="267">
        <f t="shared" si="84"/>
        <v>0</v>
      </c>
      <c r="AE131" s="267">
        <f t="shared" si="84"/>
        <v>0</v>
      </c>
      <c r="AF131" s="268" t="e">
        <f>AE131/AA131</f>
        <v>#DIV/0!</v>
      </c>
      <c r="AG131" s="267">
        <f>AG110+AG118+AG129+AG130</f>
        <v>0</v>
      </c>
      <c r="AH131" s="267">
        <f>AH110+AH118+AH129</f>
        <v>0</v>
      </c>
      <c r="AI131" s="267">
        <f>AI110+AI118+AI129</f>
        <v>0</v>
      </c>
      <c r="AJ131" s="267">
        <f>AJ110+AJ118+AJ129</f>
        <v>0</v>
      </c>
      <c r="AK131" s="267">
        <f>AK110+AK118+AK129</f>
        <v>0</v>
      </c>
      <c r="AL131" s="156">
        <v>11044.13</v>
      </c>
      <c r="AM131" s="267">
        <f>AM110+AM118+AM129</f>
        <v>0</v>
      </c>
      <c r="AN131" s="267">
        <f>AN110+AN118+AN129</f>
        <v>0</v>
      </c>
      <c r="AO131" s="267">
        <f>AO110+AO118+AO129</f>
        <v>0</v>
      </c>
      <c r="AP131" s="155"/>
      <c r="AQ131" s="155"/>
      <c r="AR131" s="155"/>
      <c r="AS131" s="155"/>
      <c r="AT131" s="155"/>
      <c r="AU131" s="155" t="e">
        <f>(AH131+AI131)/S131</f>
        <v>#DIV/0!</v>
      </c>
      <c r="AV131" s="155"/>
      <c r="AW131" s="155"/>
      <c r="AX131" s="155"/>
      <c r="AY131" s="157"/>
      <c r="AZ131" s="155">
        <f>AZ110+AZ129</f>
        <v>0</v>
      </c>
    </row>
    <row r="132" spans="1:52" s="143" customFormat="1">
      <c r="A132" s="142"/>
      <c r="B132" s="141"/>
      <c r="C132" s="159"/>
      <c r="D132" s="142"/>
      <c r="E132" s="266"/>
      <c r="N132" s="144"/>
      <c r="O132" s="144"/>
      <c r="P132" s="144"/>
      <c r="R132" s="145"/>
      <c r="S132" s="146"/>
      <c r="T132" s="146"/>
      <c r="U132" s="147"/>
      <c r="V132" s="147"/>
      <c r="W132" s="147"/>
      <c r="X132" s="147"/>
      <c r="Y132" s="146"/>
      <c r="Z132" s="147"/>
      <c r="AA132" s="147"/>
      <c r="AB132" s="147"/>
      <c r="AE132" s="148"/>
      <c r="AG132" s="160"/>
      <c r="AH132" s="338"/>
      <c r="AI132" s="338"/>
      <c r="AJ132" s="517"/>
      <c r="AK132" s="517"/>
      <c r="AL132" s="149"/>
      <c r="AM132" s="150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2"/>
    </row>
    <row r="133" spans="1:52">
      <c r="C133" s="162"/>
      <c r="D133" s="162"/>
    </row>
    <row r="134" spans="1:52">
      <c r="C134" s="162"/>
      <c r="D134" s="162"/>
    </row>
  </sheetData>
  <mergeCells count="10">
    <mergeCell ref="AH1:AI1"/>
    <mergeCell ref="AQ1:AX1"/>
    <mergeCell ref="AH111:AI111"/>
    <mergeCell ref="AH119:AI119"/>
    <mergeCell ref="F1:H1"/>
    <mergeCell ref="I1:J1"/>
    <mergeCell ref="N1:P1"/>
    <mergeCell ref="S1:T1"/>
    <mergeCell ref="V1:W1"/>
    <mergeCell ref="Y1:Z1"/>
  </mergeCells>
  <conditionalFormatting sqref="AC133:AC1048576">
    <cfRule type="cellIs" dxfId="130" priority="14" operator="greaterThan">
      <formula>0.23</formula>
    </cfRule>
  </conditionalFormatting>
  <conditionalFormatting sqref="M128:O128 M111:M117 M3:M109">
    <cfRule type="cellIs" dxfId="129" priority="25" operator="greaterThan">
      <formula>120</formula>
    </cfRule>
  </conditionalFormatting>
  <conditionalFormatting sqref="AC132">
    <cfRule type="cellIs" dxfId="128" priority="26" operator="greaterThan">
      <formula>0.23</formula>
    </cfRule>
  </conditionalFormatting>
  <conditionalFormatting sqref="AA128:AC128 AA111:AC111 AA117:AC117 AA109:AC109 AB3:AC108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{85E5EA17-3596-4005-BE53-F5907BD57B6F}</x14:id>
        </ext>
      </extLst>
    </cfRule>
  </conditionalFormatting>
  <conditionalFormatting sqref="AC117 AC111 AC3:AC10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{0B4D1384-0989-49BF-9B4C-6E90FF8B6589}</x14:id>
        </ext>
      </extLst>
    </cfRule>
  </conditionalFormatting>
  <conditionalFormatting sqref="AC1">
    <cfRule type="cellIs" dxfId="127" priority="24" operator="greaterThan">
      <formula>0.23</formula>
    </cfRule>
  </conditionalFormatting>
  <conditionalFormatting sqref="AV112:AV11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{1B403278-8D77-4410-BE6B-AAD6BA7D2550}</x14:id>
        </ext>
      </extLst>
    </cfRule>
  </conditionalFormatting>
  <conditionalFormatting sqref="AW112:AX11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{67FA8F0D-BEBC-4B38-847F-E1B225DD09C5}</x14:id>
        </ext>
      </extLst>
    </cfRule>
  </conditionalFormatting>
  <conditionalFormatting sqref="AZ112:AZ11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{47CAAED6-49F2-47CB-B328-14EF1391E216}</x14:id>
        </ext>
      </extLst>
    </cfRule>
  </conditionalFormatting>
  <conditionalFormatting sqref="AZ112:AZ11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{FCB88329-AE88-4D9A-B2A9-545BD07616B8}</x14:id>
        </ext>
      </extLst>
    </cfRule>
  </conditionalFormatting>
  <conditionalFormatting sqref="Q128">
    <cfRule type="cellIs" dxfId="126" priority="19" operator="between">
      <formula>0.000001</formula>
      <formula>25</formula>
    </cfRule>
  </conditionalFormatting>
  <conditionalFormatting sqref="AV44:AV9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{47737B1A-B023-4BDE-80E2-8F8E60E9B302}</x14:id>
        </ext>
      </extLst>
    </cfRule>
  </conditionalFormatting>
  <conditionalFormatting sqref="AW44:AX9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{0129EB58-05C6-4F50-BFBC-1F88DD055D0F}</x14:id>
        </ext>
      </extLst>
    </cfRule>
  </conditionalFormatting>
  <conditionalFormatting sqref="AZ44:AZ9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{3E964991-53B4-49A2-8CEF-D2FD825A9650}</x14:id>
        </ext>
      </extLst>
    </cfRule>
  </conditionalFormatting>
  <conditionalFormatting sqref="AV17:AV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{8BF78035-C03F-4DB9-831A-F997841E9436}</x14:id>
        </ext>
      </extLst>
    </cfRule>
  </conditionalFormatting>
  <conditionalFormatting sqref="AW17:AX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{F423515F-4573-40E8-885F-760CD9BB6025}</x14:id>
        </ext>
      </extLst>
    </cfRule>
  </conditionalFormatting>
  <conditionalFormatting sqref="AZ17:AZ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{3338045D-76DE-4B31-AD07-6BCF0AB5212D}</x14:id>
        </ext>
      </extLst>
    </cfRule>
  </conditionalFormatting>
  <conditionalFormatting sqref="AZ3:AZ16 AZ111 AZ128 AZ117 AZ26:AZ43 AZ94:AZ10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{CDBF174A-6B28-434A-8426-D71E365A7C56}</x14:id>
        </ext>
      </extLst>
    </cfRule>
  </conditionalFormatting>
  <conditionalFormatting sqref="AZ120:AZ12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{38EFB22C-0397-4DC6-8BB5-9E795F4A5B2F}</x14:id>
        </ext>
      </extLst>
    </cfRule>
  </conditionalFormatting>
  <conditionalFormatting sqref="AV3:AV16 AV111 AV26:AV43 AV94:AV10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{77868EAF-F3BA-4D3A-85E9-77AD588D49F5}</x14:id>
        </ext>
      </extLst>
    </cfRule>
  </conditionalFormatting>
  <conditionalFormatting sqref="AW111:AX111 AW3:AX16 AW26:AX43 AW94:AX10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{9207C2B4-A7E5-46AF-B432-133635B7C009}</x14:id>
        </ext>
      </extLst>
    </cfRule>
  </conditionalFormatting>
  <conditionalFormatting sqref="AZ3:AZ16 AZ111 AZ117 AZ26:AZ43 AZ94:AZ109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{58ED3B6C-7F52-467B-8BE2-6F12798AE586}</x14:id>
        </ext>
      </extLst>
    </cfRule>
  </conditionalFormatting>
  <conditionalFormatting sqref="AZ120:AZ12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{9CB6E9C9-FA87-4912-8CBD-7B918D82C899}</x14:id>
        </ext>
      </extLst>
    </cfRule>
  </conditionalFormatting>
  <conditionalFormatting sqref="AV120:AV12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{4D43AEB4-ED3D-410A-9477-E15EDCF1DF9C}</x14:id>
        </ext>
      </extLst>
    </cfRule>
  </conditionalFormatting>
  <conditionalFormatting sqref="AW120:AX12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{5B4D4597-D3B6-4D9A-B421-362D19E8F881}</x14:id>
        </ext>
      </extLst>
    </cfRule>
  </conditionalFormatting>
  <conditionalFormatting sqref="AO111 AO128 AO117 AO3:AO10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{AB6DC63B-FB5A-4747-81FB-8C178883BB56}</x14:id>
        </ext>
      </extLst>
    </cfRule>
  </conditionalFormatting>
  <conditionalFormatting sqref="AO111 AO117 AO3:AO10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{85D8DA8B-C27C-4759-9F15-C85AB05E59A8}</x14:id>
        </ext>
      </extLst>
    </cfRule>
  </conditionalFormatting>
  <conditionalFormatting sqref="AO112:AO1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{14FAE255-F056-4A7F-BDFB-3BE9C90FD940}</x14:id>
        </ext>
      </extLst>
    </cfRule>
  </conditionalFormatting>
  <conditionalFormatting sqref="AO112:AO1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{584E0CB6-0CCC-4453-8FC4-AE981964CF41}</x14:id>
        </ext>
      </extLst>
    </cfRule>
  </conditionalFormatting>
  <conditionalFormatting sqref="AO120:AO1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{E49877F1-2A69-47FB-B53C-14EA6B284E07}</x14:id>
        </ext>
      </extLst>
    </cfRule>
  </conditionalFormatting>
  <conditionalFormatting sqref="AO120:AO12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{53E4CE09-6A1F-4372-A434-79E1425BFFF4}</x14:id>
        </ext>
      </extLst>
    </cfRule>
  </conditionalFormatting>
  <conditionalFormatting sqref="M120:M127">
    <cfRule type="cellIs" dxfId="125" priority="7" operator="greaterThan">
      <formula>120</formula>
    </cfRule>
  </conditionalFormatting>
  <conditionalFormatting sqref="AB112:AC1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{DC9D1AED-E146-40E2-99D8-E0455EDDDAA7}</x14:id>
        </ext>
      </extLst>
    </cfRule>
  </conditionalFormatting>
  <conditionalFormatting sqref="AC112:AC1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{285F1E39-11F7-48D5-AF16-1E23D87528E2}</x14:id>
        </ext>
      </extLst>
    </cfRule>
  </conditionalFormatting>
  <conditionalFormatting sqref="AA112:AA1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{F449C883-D8A8-4F36-B4F9-129F629E61BE}</x14:id>
        </ext>
      </extLst>
    </cfRule>
  </conditionalFormatting>
  <conditionalFormatting sqref="AB120:AC1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{C212126C-F46C-4E2B-95F3-708A51E60D8D}</x14:id>
        </ext>
      </extLst>
    </cfRule>
  </conditionalFormatting>
  <conditionalFormatting sqref="AC120:AC1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{F9CDA174-2812-48D9-B8CC-820F93D682C7}</x14:id>
        </ext>
      </extLst>
    </cfRule>
  </conditionalFormatting>
  <conditionalFormatting sqref="AA120:AA1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{2EDA8F4C-670D-4663-BDDB-BBE5F4A49104}</x14:id>
        </ext>
      </extLst>
    </cfRule>
  </conditionalFormatting>
  <conditionalFormatting sqref="AA3:AA10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{23E898F2-F6EE-4F3C-A0F8-08F21A5E6283}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E5EA17-3596-4005-BE53-F5907BD57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AA128:AC128 AA111:AC111 AA117:AC117 AA109:AC109 AB3:AC108</xm:sqref>
        </x14:conditionalFormatting>
        <x14:conditionalFormatting xmlns:xm="http://schemas.microsoft.com/office/excel/2006/main">
          <x14:cfRule type="dataBar" id="{0B4D1384-0989-49BF-9B4C-6E90FF8B65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AC117 AC111 AC3:AC109</xm:sqref>
        </x14:conditionalFormatting>
        <x14:conditionalFormatting xmlns:xm="http://schemas.microsoft.com/office/excel/2006/main">
          <x14:cfRule type="dataBar" id="{1B403278-8D77-4410-BE6B-AAD6BA7D2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AV112:AV116</xm:sqref>
        </x14:conditionalFormatting>
        <x14:conditionalFormatting xmlns:xm="http://schemas.microsoft.com/office/excel/2006/main">
          <x14:cfRule type="dataBar" id="{67FA8F0D-BEBC-4B38-847F-E1B225DD0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AW112:AX116</xm:sqref>
        </x14:conditionalFormatting>
        <x14:conditionalFormatting xmlns:xm="http://schemas.microsoft.com/office/excel/2006/main">
          <x14:cfRule type="dataBar" id="{47CAAED6-49F2-47CB-B328-14EF1391E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AZ112:AZ116</xm:sqref>
        </x14:conditionalFormatting>
        <x14:conditionalFormatting xmlns:xm="http://schemas.microsoft.com/office/excel/2006/main">
          <x14:cfRule type="dataBar" id="{FCB88329-AE88-4D9A-B2A9-545BD0761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AZ112:AZ116</xm:sqref>
        </x14:conditionalFormatting>
        <x14:conditionalFormatting xmlns:xm="http://schemas.microsoft.com/office/excel/2006/main">
          <x14:cfRule type="dataBar" id="{47737B1A-B023-4BDE-80E2-8F8E60E9B3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129EB58-05C6-4F50-BFBC-1F88DD05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E964991-53B4-49A2-8CEF-D2FD825A9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BF78035-C03F-4DB9-831A-F997841E9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F423515F-4573-40E8-885F-760CD9BB60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338045D-76DE-4B31-AD07-6BCF0AB52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DBF174A-6B28-434A-8426-D71E365A7C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AZ111 AZ128 AZ117 AZ26:AZ43 AZ94:AZ109</xm:sqref>
        </x14:conditionalFormatting>
        <x14:conditionalFormatting xmlns:xm="http://schemas.microsoft.com/office/excel/2006/main">
          <x14:cfRule type="dataBar" id="{38EFB22C-0397-4DC6-8BB5-9E795F4A5B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AZ120:AZ127</xm:sqref>
        </x14:conditionalFormatting>
        <x14:conditionalFormatting xmlns:xm="http://schemas.microsoft.com/office/excel/2006/main">
          <x14:cfRule type="dataBar" id="{77868EAF-F3BA-4D3A-85E9-77AD588D49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AV111 AV26:AV43 AV94:AV108</xm:sqref>
        </x14:conditionalFormatting>
        <x14:conditionalFormatting xmlns:xm="http://schemas.microsoft.com/office/excel/2006/main">
          <x14:cfRule type="dataBar" id="{9207C2B4-A7E5-46AF-B432-133635B7C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AW111:AX111 AW3:AX16 AW26:AX43 AW94:AX108</xm:sqref>
        </x14:conditionalFormatting>
        <x14:conditionalFormatting xmlns:xm="http://schemas.microsoft.com/office/excel/2006/main">
          <x14:cfRule type="dataBar" id="{58ED3B6C-7F52-467B-8BE2-6F12798AE5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AZ111 AZ117 AZ26:AZ43 AZ94:AZ109</xm:sqref>
        </x14:conditionalFormatting>
        <x14:conditionalFormatting xmlns:xm="http://schemas.microsoft.com/office/excel/2006/main">
          <x14:cfRule type="dataBar" id="{9CB6E9C9-FA87-4912-8CBD-7B918D82C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AZ120:AZ127</xm:sqref>
        </x14:conditionalFormatting>
        <x14:conditionalFormatting xmlns:xm="http://schemas.microsoft.com/office/excel/2006/main">
          <x14:cfRule type="dataBar" id="{4D43AEB4-ED3D-410A-9477-E15EDCF1D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AV120:AV127</xm:sqref>
        </x14:conditionalFormatting>
        <x14:conditionalFormatting xmlns:xm="http://schemas.microsoft.com/office/excel/2006/main">
          <x14:cfRule type="dataBar" id="{5B4D4597-D3B6-4D9A-B421-362D19E8F8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AW120:AX127</xm:sqref>
        </x14:conditionalFormatting>
        <x14:conditionalFormatting xmlns:xm="http://schemas.microsoft.com/office/excel/2006/main">
          <x14:cfRule type="dataBar" id="{AB6DC63B-FB5A-4747-81FB-8C178883B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 AO128 AO117 AO3:AO109</xm:sqref>
        </x14:conditionalFormatting>
        <x14:conditionalFormatting xmlns:xm="http://schemas.microsoft.com/office/excel/2006/main">
          <x14:cfRule type="dataBar" id="{85D8DA8B-C27C-4759-9F15-C85AB05E59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 AO117 AO3:AO109</xm:sqref>
        </x14:conditionalFormatting>
        <x14:conditionalFormatting xmlns:xm="http://schemas.microsoft.com/office/excel/2006/main">
          <x14:cfRule type="dataBar" id="{14FAE255-F056-4A7F-BDFB-3BE9C90FD9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AO112:AO116</xm:sqref>
        </x14:conditionalFormatting>
        <x14:conditionalFormatting xmlns:xm="http://schemas.microsoft.com/office/excel/2006/main">
          <x14:cfRule type="dataBar" id="{584E0CB6-0CCC-4453-8FC4-AE981964C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AO112:AO116</xm:sqref>
        </x14:conditionalFormatting>
        <x14:conditionalFormatting xmlns:xm="http://schemas.microsoft.com/office/excel/2006/main">
          <x14:cfRule type="dataBar" id="{E49877F1-2A69-47FB-B53C-14EA6B284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AO120:AO127</xm:sqref>
        </x14:conditionalFormatting>
        <x14:conditionalFormatting xmlns:xm="http://schemas.microsoft.com/office/excel/2006/main">
          <x14:cfRule type="dataBar" id="{53E4CE09-6A1F-4372-A434-79E1425BF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AO120:AO127</xm:sqref>
        </x14:conditionalFormatting>
        <x14:conditionalFormatting xmlns:xm="http://schemas.microsoft.com/office/excel/2006/main">
          <x14:cfRule type="dataBar" id="{DC9D1AED-E146-40E2-99D8-E0455EDDDA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AB112:AC116</xm:sqref>
        </x14:conditionalFormatting>
        <x14:conditionalFormatting xmlns:xm="http://schemas.microsoft.com/office/excel/2006/main">
          <x14:cfRule type="dataBar" id="{285F1E39-11F7-48D5-AF16-1E23D8752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AC112:AC116</xm:sqref>
        </x14:conditionalFormatting>
        <x14:conditionalFormatting xmlns:xm="http://schemas.microsoft.com/office/excel/2006/main">
          <x14:cfRule type="dataBar" id="{F449C883-D8A8-4F36-B4F9-129F629E61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AA112:AA116</xm:sqref>
        </x14:conditionalFormatting>
        <x14:conditionalFormatting xmlns:xm="http://schemas.microsoft.com/office/excel/2006/main">
          <x14:cfRule type="dataBar" id="{C212126C-F46C-4E2B-95F3-708A51E60D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AB120:AC127</xm:sqref>
        </x14:conditionalFormatting>
        <x14:conditionalFormatting xmlns:xm="http://schemas.microsoft.com/office/excel/2006/main">
          <x14:cfRule type="dataBar" id="{F9CDA174-2812-48D9-B8CC-820F93D68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AC120:AC127</xm:sqref>
        </x14:conditionalFormatting>
        <x14:conditionalFormatting xmlns:xm="http://schemas.microsoft.com/office/excel/2006/main">
          <x14:cfRule type="dataBar" id="{2EDA8F4C-670D-4663-BDDB-BBE5F4A49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AA120:AA127</xm:sqref>
        </x14:conditionalFormatting>
        <x14:conditionalFormatting xmlns:xm="http://schemas.microsoft.com/office/excel/2006/main">
          <x14:cfRule type="dataBar" id="{23E898F2-F6EE-4F3C-A0F8-08F21A5E6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AA3:AA108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EA6B-F1FA-4306-ACC9-A5A9DAC60A9F}">
  <sheetPr codeName="Лист22"/>
  <dimension ref="A1:AZ134"/>
  <sheetViews>
    <sheetView tabSelected="1"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F104" sqref="F10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356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91" t="s">
        <v>43</v>
      </c>
      <c r="N1" s="585" t="s">
        <v>351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/>
      <c r="AK1" s="490"/>
      <c r="AL1" s="492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357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1851</v>
      </c>
      <c r="F3" s="93">
        <v>142</v>
      </c>
      <c r="G3" s="93">
        <v>34</v>
      </c>
      <c r="H3" s="93">
        <v>553</v>
      </c>
      <c r="I3" s="93">
        <v>1</v>
      </c>
      <c r="J3" s="93">
        <v>1121</v>
      </c>
      <c r="K3" s="92">
        <v>142.97999999999999</v>
      </c>
      <c r="L3" s="92">
        <f t="shared" ref="L3" si="0">E3*K3</f>
        <v>264655.98</v>
      </c>
      <c r="M3" s="89">
        <v>52</v>
      </c>
      <c r="N3" s="89">
        <v>231</v>
      </c>
      <c r="O3" s="89">
        <v>1480</v>
      </c>
      <c r="P3" s="89">
        <v>66</v>
      </c>
      <c r="Q3" s="233">
        <f>N3/7</f>
        <v>33</v>
      </c>
      <c r="R3" s="92">
        <f>U3/7</f>
        <v>17.285714285714285</v>
      </c>
      <c r="S3" s="93">
        <v>123</v>
      </c>
      <c r="T3" s="93">
        <v>-2</v>
      </c>
      <c r="U3" s="92">
        <f t="shared" ref="U3" si="1">S3+T3</f>
        <v>121</v>
      </c>
      <c r="V3" s="93">
        <v>131045.58999999998</v>
      </c>
      <c r="W3" s="93">
        <v>-1848</v>
      </c>
      <c r="X3" s="92">
        <f t="shared" ref="X3" si="2">V3+W3</f>
        <v>129197.58999999998</v>
      </c>
      <c r="Y3" s="93">
        <v>179872.12000000002</v>
      </c>
      <c r="Z3" s="93">
        <v>-2691</v>
      </c>
      <c r="AA3" s="92">
        <f>Y3+Z3</f>
        <v>177181.12000000002</v>
      </c>
      <c r="AB3" s="92">
        <f>N3*O3*P3/100</f>
        <v>225640.8</v>
      </c>
      <c r="AC3" s="234">
        <f>AA3/$AA$131</f>
        <v>7.1786513428427623E-2</v>
      </c>
      <c r="AD3" s="92">
        <f t="shared" ref="AD3" si="3">U3*K3</f>
        <v>17300.579999999998</v>
      </c>
      <c r="AE3" s="93">
        <v>67500.310000000056</v>
      </c>
      <c r="AF3" s="234">
        <f t="shared" ref="AF3" si="4">IF(AA3=0,0,AE3/AA3)</f>
        <v>0.38096784804159745</v>
      </c>
      <c r="AG3" s="93">
        <v>12639.280000000006</v>
      </c>
      <c r="AH3" s="93"/>
      <c r="AI3" s="93">
        <v>532</v>
      </c>
      <c r="AJ3" s="93">
        <v>14139</v>
      </c>
      <c r="AK3" s="93"/>
      <c r="AL3" s="122">
        <f>IFERROR($AL$131*H3/$H$131,0)</f>
        <v>585.03914935707223</v>
      </c>
      <c r="AM3" s="93">
        <v>0</v>
      </c>
      <c r="AN3" s="94">
        <f>X3*5.71%</f>
        <v>7377.1823889999987</v>
      </c>
      <c r="AO3" s="95">
        <f>AA3-AD3-AE3-AG3-AH3-AI3-AJ3-AK3-AL3-AN3-AM3</f>
        <v>57107.72846164291</v>
      </c>
      <c r="AP3" s="96"/>
      <c r="AQ3" s="97">
        <f t="shared" ref="AQ3:AQ97" si="5">IF(U3=0,0,AA3/U3)</f>
        <v>1464.3067768595042</v>
      </c>
      <c r="AR3" s="98">
        <f t="shared" ref="AR3:AR19" si="6">K3</f>
        <v>142.97999999999999</v>
      </c>
      <c r="AS3" s="98">
        <f t="shared" ref="AS3:AS97" si="7">IF(U3=0,0,AE3/U3)</f>
        <v>557.85380165289303</v>
      </c>
      <c r="AT3" s="98">
        <f t="shared" ref="AT3:AT97" si="8">IF(S3=0,AG3/1,AG3/S3)</f>
        <v>102.75837398373989</v>
      </c>
      <c r="AU3" s="98">
        <f>IF(S3=0,0,(AH3+AI3+AJ3)/S3)</f>
        <v>119.27642276422765</v>
      </c>
      <c r="AV3" s="98">
        <f>_xlfn.IFS(U3=0,AO3,U3&lt;0,AO3/-U3,U3&gt;0,AO3/U3)</f>
        <v>471.96469803010672</v>
      </c>
      <c r="AW3" s="234">
        <f t="shared" ref="AW3" si="9">IF(AQ3=0,0,AV3/AQ3)</f>
        <v>0.32231271854271443</v>
      </c>
      <c r="AX3" s="234">
        <f t="shared" ref="AX3" si="10">IF(AR3=0,0,AV3/AR3)</f>
        <v>3.3009141000846745</v>
      </c>
      <c r="AY3" s="99"/>
      <c r="AZ3" s="94">
        <f t="shared" ref="AZ3:AZ97" si="11">AV3*E3</f>
        <v>873606.65605372749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20333</v>
      </c>
      <c r="F4" s="93">
        <v>218</v>
      </c>
      <c r="G4" s="93">
        <v>75</v>
      </c>
      <c r="H4" s="93">
        <v>8</v>
      </c>
      <c r="I4" s="93">
        <v>0</v>
      </c>
      <c r="J4" s="93">
        <v>20032</v>
      </c>
      <c r="K4" s="92">
        <v>123.09</v>
      </c>
      <c r="L4" s="92">
        <f>E4*K4</f>
        <v>2502788.9700000002</v>
      </c>
      <c r="M4" s="89">
        <v>13</v>
      </c>
      <c r="N4" s="89">
        <v>306</v>
      </c>
      <c r="O4" s="89">
        <v>1468</v>
      </c>
      <c r="P4" s="89">
        <v>56</v>
      </c>
      <c r="Q4" s="233">
        <f t="shared" ref="Q4:Q67" si="12">N4/7</f>
        <v>43.714285714285715</v>
      </c>
      <c r="R4" s="92">
        <f t="shared" ref="R4:R67" si="13">U4/7</f>
        <v>30.571428571428573</v>
      </c>
      <c r="S4" s="93">
        <v>216</v>
      </c>
      <c r="T4" s="93">
        <v>-2</v>
      </c>
      <c r="U4" s="92">
        <f t="shared" ref="U4:U67" si="14">S4+T4</f>
        <v>214</v>
      </c>
      <c r="V4" s="93">
        <v>230993.23999999996</v>
      </c>
      <c r="W4" s="93">
        <v>-2157</v>
      </c>
      <c r="X4" s="92">
        <f t="shared" ref="X4:X67" si="15">V4+W4</f>
        <v>228836.23999999996</v>
      </c>
      <c r="Y4" s="93">
        <v>304638.17000000016</v>
      </c>
      <c r="Z4" s="93">
        <v>-2840</v>
      </c>
      <c r="AA4" s="92">
        <f t="shared" ref="AA4:AA67" si="16">Y4+Z4</f>
        <v>301798.17000000016</v>
      </c>
      <c r="AB4" s="92">
        <f t="shared" ref="AB4:AB67" si="17">N4*O4*P4/100</f>
        <v>251556.48000000001</v>
      </c>
      <c r="AC4" s="234">
        <f>AA4/$AA$131</f>
        <v>0.12227622437074497</v>
      </c>
      <c r="AD4" s="92">
        <f t="shared" ref="AD4:AD67" si="18">U4*K4</f>
        <v>26341.260000000002</v>
      </c>
      <c r="AE4" s="93">
        <v>115097.6500000001</v>
      </c>
      <c r="AF4" s="234">
        <f t="shared" ref="AF4:AF67" si="19">IF(AA4=0,0,AE4/AA4)</f>
        <v>0.3813729221751081</v>
      </c>
      <c r="AG4" s="93">
        <v>27788.929999999986</v>
      </c>
      <c r="AH4" s="93"/>
      <c r="AI4" s="93">
        <v>109</v>
      </c>
      <c r="AJ4" s="93">
        <v>7764</v>
      </c>
      <c r="AK4" s="93"/>
      <c r="AL4" s="122">
        <f>IFERROR($AL$131*H4/$H$131,0)</f>
        <v>8.4634958315670481</v>
      </c>
      <c r="AM4" s="93">
        <v>10</v>
      </c>
      <c r="AN4" s="94">
        <f t="shared" ref="AN4:AN67" si="20">X4*5.71%</f>
        <v>13066.549303999996</v>
      </c>
      <c r="AO4" s="95">
        <f t="shared" ref="AO4:AO67" si="21">AA4-AD4-AE4-AG4-AH4-AI4-AJ4-AK4-AL4-AN4-AM4</f>
        <v>111612.3172001685</v>
      </c>
      <c r="AP4" s="96"/>
      <c r="AQ4" s="97">
        <f t="shared" si="5"/>
        <v>1410.2718224299074</v>
      </c>
      <c r="AR4" s="98">
        <f t="shared" si="6"/>
        <v>123.09</v>
      </c>
      <c r="AS4" s="98">
        <f t="shared" si="7"/>
        <v>537.83948598130883</v>
      </c>
      <c r="AT4" s="98">
        <f t="shared" si="8"/>
        <v>128.65245370370363</v>
      </c>
      <c r="AU4" s="98">
        <f t="shared" ref="AU4:AU70" si="22">IF(S4=0,0,(AH4+AI4+AJ4)/S4)</f>
        <v>36.449074074074076</v>
      </c>
      <c r="AV4" s="98">
        <f t="array" ref="AV4">_xlfn.IFS(U4=0,AO4,U4&lt;0,AO4/-U4,U4&gt;0,AO4/U4)</f>
        <v>521.55288411293691</v>
      </c>
      <c r="AW4" s="234">
        <f>IF(AQ4=0,0,AV4/AQ4)</f>
        <v>0.3698243670601728</v>
      </c>
      <c r="AX4" s="234">
        <f>IF(AR4=0,0,AV4/AR4)</f>
        <v>4.2371669844255173</v>
      </c>
      <c r="AY4" s="99"/>
      <c r="AZ4" s="94">
        <f t="shared" si="11"/>
        <v>10604734.792668346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6219</v>
      </c>
      <c r="F5" s="93">
        <v>118</v>
      </c>
      <c r="G5" s="93">
        <v>31</v>
      </c>
      <c r="H5" s="93">
        <v>330</v>
      </c>
      <c r="I5" s="93">
        <v>0</v>
      </c>
      <c r="J5" s="93">
        <v>5740</v>
      </c>
      <c r="K5" s="92">
        <v>123.09</v>
      </c>
      <c r="L5" s="92">
        <f>E5*K5</f>
        <v>765496.71000000008</v>
      </c>
      <c r="M5" s="89">
        <v>34</v>
      </c>
      <c r="N5" s="89">
        <v>216</v>
      </c>
      <c r="O5" s="89">
        <v>1440</v>
      </c>
      <c r="P5" s="89">
        <v>66</v>
      </c>
      <c r="Q5" s="233">
        <f t="shared" si="12"/>
        <v>30.857142857142858</v>
      </c>
      <c r="R5" s="92">
        <f t="shared" si="13"/>
        <v>18.714285714285715</v>
      </c>
      <c r="S5" s="93">
        <v>133</v>
      </c>
      <c r="T5" s="93">
        <v>-2</v>
      </c>
      <c r="U5" s="92">
        <f t="shared" si="14"/>
        <v>131</v>
      </c>
      <c r="V5" s="93">
        <v>134191.38999999998</v>
      </c>
      <c r="W5" s="93">
        <v>-1984</v>
      </c>
      <c r="X5" s="92">
        <f t="shared" si="15"/>
        <v>132207.38999999998</v>
      </c>
      <c r="Y5" s="93">
        <v>187475.47</v>
      </c>
      <c r="Z5" s="93">
        <v>-2847</v>
      </c>
      <c r="AA5" s="92">
        <f t="shared" si="16"/>
        <v>184628.47</v>
      </c>
      <c r="AB5" s="92">
        <f t="shared" si="17"/>
        <v>205286.39999999999</v>
      </c>
      <c r="AC5" s="234">
        <f>AA5/$AA$131</f>
        <v>7.4803873803964235E-2</v>
      </c>
      <c r="AD5" s="92">
        <f t="shared" si="18"/>
        <v>16124.79</v>
      </c>
      <c r="AE5" s="93">
        <v>70133.450000000026</v>
      </c>
      <c r="AF5" s="234">
        <f t="shared" si="19"/>
        <v>0.37986259648904647</v>
      </c>
      <c r="AG5" s="93">
        <v>13351.609999999997</v>
      </c>
      <c r="AH5" s="93"/>
      <c r="AI5" s="93">
        <v>257</v>
      </c>
      <c r="AJ5" s="93">
        <v>24836</v>
      </c>
      <c r="AK5" s="93"/>
      <c r="AL5" s="122">
        <f>IFERROR($AL$131*H5/$H$131,0)</f>
        <v>349.11920305214073</v>
      </c>
      <c r="AM5" s="93">
        <v>0</v>
      </c>
      <c r="AN5" s="94">
        <f t="shared" si="20"/>
        <v>7549.041968999999</v>
      </c>
      <c r="AO5" s="95">
        <f t="shared" si="21"/>
        <v>52027.458827947827</v>
      </c>
      <c r="AP5" s="96"/>
      <c r="AQ5" s="97">
        <f t="shared" si="5"/>
        <v>1409.3776335877862</v>
      </c>
      <c r="AR5" s="98">
        <f t="shared" si="6"/>
        <v>123.09</v>
      </c>
      <c r="AS5" s="98">
        <f t="shared" si="7"/>
        <v>535.36984732824442</v>
      </c>
      <c r="AT5" s="98">
        <f t="shared" si="8"/>
        <v>100.38804511278194</v>
      </c>
      <c r="AU5" s="98">
        <f t="shared" si="22"/>
        <v>188.66917293233084</v>
      </c>
      <c r="AV5" s="98">
        <f t="array" ref="AV5">_xlfn.IFS(U5=0,AO5,U5&lt;0,AO5/-U5,U5&gt;0,AO5/U5)</f>
        <v>397.15617425914371</v>
      </c>
      <c r="AW5" s="234">
        <f>IF(AQ5=0,0,AV5/AQ5)</f>
        <v>0.28179542855957063</v>
      </c>
      <c r="AX5" s="234">
        <f>IF(AR5=0,0,AV5/AR5)</f>
        <v>3.22655109480172</v>
      </c>
      <c r="AY5" s="99"/>
      <c r="AZ5" s="94">
        <f t="shared" si="11"/>
        <v>2469914.2477176148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3">SUM(F6:J6)</f>
        <v>10771</v>
      </c>
      <c r="F6" s="93">
        <v>75</v>
      </c>
      <c r="G6" s="93">
        <v>13</v>
      </c>
      <c r="H6" s="93">
        <v>386</v>
      </c>
      <c r="I6" s="93">
        <v>0</v>
      </c>
      <c r="J6" s="93">
        <v>10297</v>
      </c>
      <c r="K6" s="92">
        <v>123.09</v>
      </c>
      <c r="L6" s="92">
        <f t="shared" ref="L6" si="24">E6*K6</f>
        <v>1325802.3900000001</v>
      </c>
      <c r="M6" s="89">
        <v>65</v>
      </c>
      <c r="N6" s="89">
        <v>107</v>
      </c>
      <c r="O6" s="89">
        <v>1418</v>
      </c>
      <c r="P6" s="89">
        <v>65</v>
      </c>
      <c r="Q6" s="233">
        <f t="shared" si="12"/>
        <v>15.285714285714286</v>
      </c>
      <c r="R6" s="92">
        <f t="shared" si="13"/>
        <v>6.7142857142857144</v>
      </c>
      <c r="S6" s="93">
        <v>47</v>
      </c>
      <c r="T6" s="93">
        <v>0</v>
      </c>
      <c r="U6" s="92">
        <f t="shared" si="14"/>
        <v>47</v>
      </c>
      <c r="V6" s="93">
        <v>46598.490000000005</v>
      </c>
      <c r="W6" s="93">
        <v>0</v>
      </c>
      <c r="X6" s="92">
        <f t="shared" si="15"/>
        <v>46598.490000000005</v>
      </c>
      <c r="Y6" s="93">
        <v>64474.089999999989</v>
      </c>
      <c r="Z6" s="93">
        <v>0</v>
      </c>
      <c r="AA6" s="92">
        <f t="shared" si="16"/>
        <v>64474.089999999989</v>
      </c>
      <c r="AB6" s="92">
        <f t="shared" si="17"/>
        <v>98621.9</v>
      </c>
      <c r="AC6" s="234">
        <f>AA6/$AA$131</f>
        <v>2.6122253474696679E-2</v>
      </c>
      <c r="AD6" s="92">
        <f t="shared" si="18"/>
        <v>5785.2300000000005</v>
      </c>
      <c r="AE6" s="93">
        <v>23978.899999999972</v>
      </c>
      <c r="AF6" s="234">
        <f t="shared" si="19"/>
        <v>0.37191529186375449</v>
      </c>
      <c r="AG6" s="93">
        <v>5347.2499999999945</v>
      </c>
      <c r="AH6" s="93"/>
      <c r="AI6" s="93">
        <v>197</v>
      </c>
      <c r="AJ6" s="93">
        <v>3454</v>
      </c>
      <c r="AK6" s="93"/>
      <c r="AL6" s="122">
        <f>IFERROR($AL$131*H6/$H$131,0)</f>
        <v>408.36367387311009</v>
      </c>
      <c r="AM6" s="93">
        <v>0</v>
      </c>
      <c r="AN6" s="94">
        <f t="shared" si="20"/>
        <v>2660.7737790000001</v>
      </c>
      <c r="AO6" s="95">
        <f t="shared" si="21"/>
        <v>22642.572547126911</v>
      </c>
      <c r="AP6" s="96"/>
      <c r="AQ6" s="97">
        <f t="shared" si="5"/>
        <v>1371.78914893617</v>
      </c>
      <c r="AR6" s="98">
        <f t="shared" si="6"/>
        <v>123.09</v>
      </c>
      <c r="AS6" s="98">
        <f t="shared" si="7"/>
        <v>510.18936170212709</v>
      </c>
      <c r="AT6" s="98">
        <f t="shared" si="8"/>
        <v>113.77127659574457</v>
      </c>
      <c r="AU6" s="98">
        <f t="shared" si="22"/>
        <v>77.680851063829792</v>
      </c>
      <c r="AV6" s="98">
        <f t="array" ref="AV6">_xlfn.IFS(U6=0,AO6,U6&lt;0,AO6/-U6,U6&gt;0,AO6/U6)</f>
        <v>481.75686270482788</v>
      </c>
      <c r="AW6" s="234">
        <f t="shared" ref="AW6" si="25">IF(AQ6=0,0,AV6/AQ6)</f>
        <v>0.35118871080036823</v>
      </c>
      <c r="AX6" s="234">
        <f t="shared" ref="AX6" si="26">IF(AR6=0,0,AV6/AR6)</f>
        <v>3.9138586619938898</v>
      </c>
      <c r="AY6" s="99"/>
      <c r="AZ6" s="94">
        <f t="shared" si="11"/>
        <v>5189003.1681937007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5417</v>
      </c>
      <c r="F7" s="93">
        <v>98</v>
      </c>
      <c r="G7" s="93">
        <v>35</v>
      </c>
      <c r="H7" s="93">
        <v>264</v>
      </c>
      <c r="I7" s="93">
        <v>3</v>
      </c>
      <c r="J7" s="93">
        <v>5017</v>
      </c>
      <c r="K7" s="92">
        <v>117.24</v>
      </c>
      <c r="L7" s="92">
        <f>E7*K7</f>
        <v>635089.07999999996</v>
      </c>
      <c r="M7" s="89">
        <v>41</v>
      </c>
      <c r="N7" s="89">
        <v>209</v>
      </c>
      <c r="O7" s="89">
        <v>1473</v>
      </c>
      <c r="P7" s="89">
        <v>59</v>
      </c>
      <c r="Q7" s="233">
        <f t="shared" si="12"/>
        <v>29.857142857142858</v>
      </c>
      <c r="R7" s="92">
        <f t="shared" si="13"/>
        <v>13.857142857142858</v>
      </c>
      <c r="S7" s="93">
        <v>100</v>
      </c>
      <c r="T7" s="93">
        <v>-3</v>
      </c>
      <c r="U7" s="92">
        <f t="shared" si="14"/>
        <v>97</v>
      </c>
      <c r="V7" s="93">
        <v>105806.43</v>
      </c>
      <c r="W7" s="93">
        <v>-3095</v>
      </c>
      <c r="X7" s="92">
        <f t="shared" si="15"/>
        <v>102711.43</v>
      </c>
      <c r="Y7" s="93">
        <v>146540.70000000004</v>
      </c>
      <c r="Z7" s="93">
        <v>-4386</v>
      </c>
      <c r="AA7" s="92">
        <f t="shared" si="16"/>
        <v>142154.70000000004</v>
      </c>
      <c r="AB7" s="92">
        <f t="shared" si="17"/>
        <v>181635.63</v>
      </c>
      <c r="AC7" s="234">
        <f>AA7/$AA$131</f>
        <v>5.7595246493893373E-2</v>
      </c>
      <c r="AD7" s="92">
        <f t="shared" si="18"/>
        <v>11372.279999999999</v>
      </c>
      <c r="AE7" s="93">
        <v>53927.510000000031</v>
      </c>
      <c r="AF7" s="234">
        <f t="shared" si="19"/>
        <v>0.37935791078311176</v>
      </c>
      <c r="AG7" s="93">
        <v>12425.990000000002</v>
      </c>
      <c r="AH7" s="93"/>
      <c r="AI7" s="93">
        <v>2674</v>
      </c>
      <c r="AJ7" s="93">
        <v>13775</v>
      </c>
      <c r="AK7" s="93"/>
      <c r="AL7" s="122">
        <f>IFERROR($AL$131*H7/$H$131,0)</f>
        <v>279.2953624417126</v>
      </c>
      <c r="AM7" s="93">
        <v>0</v>
      </c>
      <c r="AN7" s="94">
        <f t="shared" si="20"/>
        <v>5864.8226529999993</v>
      </c>
      <c r="AO7" s="95">
        <f t="shared" si="21"/>
        <v>41835.801984558289</v>
      </c>
      <c r="AP7" s="96"/>
      <c r="AQ7" s="97">
        <f t="shared" si="5"/>
        <v>1465.5123711340211</v>
      </c>
      <c r="AR7" s="98">
        <f t="shared" si="6"/>
        <v>117.24</v>
      </c>
      <c r="AS7" s="98">
        <f t="shared" si="7"/>
        <v>555.9537113402065</v>
      </c>
      <c r="AT7" s="98">
        <f t="shared" si="8"/>
        <v>124.25990000000002</v>
      </c>
      <c r="AU7" s="98">
        <f t="shared" si="22"/>
        <v>164.49</v>
      </c>
      <c r="AV7" s="98">
        <f t="array" ref="AV7">_xlfn.IFS(U7=0,AO7,U7&lt;0,AO7/-U7,U7&gt;0,AO7/U7)</f>
        <v>431.29692767585863</v>
      </c>
      <c r="AW7" s="234">
        <f>IF(AQ7=0,0,AV7/AQ7)</f>
        <v>0.2942977051378412</v>
      </c>
      <c r="AX7" s="234">
        <f>IF(AR7=0,0,AV7/AR7)</f>
        <v>3.6787523684395995</v>
      </c>
      <c r="AY7" s="99"/>
      <c r="AZ7" s="94">
        <f t="shared" si="11"/>
        <v>2336335.4572201264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80</v>
      </c>
      <c r="F8" s="93">
        <v>34</v>
      </c>
      <c r="G8" s="93">
        <v>15</v>
      </c>
      <c r="H8" s="93">
        <v>22</v>
      </c>
      <c r="I8" s="93">
        <v>0</v>
      </c>
      <c r="J8" s="93">
        <v>9</v>
      </c>
      <c r="K8" s="92">
        <v>169.89</v>
      </c>
      <c r="L8" s="92">
        <f>E8*K8</f>
        <v>13591.199999999999</v>
      </c>
      <c r="M8" s="89">
        <v>28</v>
      </c>
      <c r="N8" s="89">
        <v>56</v>
      </c>
      <c r="O8" s="89">
        <v>1464</v>
      </c>
      <c r="P8" s="89">
        <v>59</v>
      </c>
      <c r="Q8" s="233">
        <f t="shared" si="12"/>
        <v>8</v>
      </c>
      <c r="R8" s="92">
        <f t="shared" si="13"/>
        <v>4.1428571428571432</v>
      </c>
      <c r="S8" s="93">
        <v>30</v>
      </c>
      <c r="T8" s="93">
        <v>-1</v>
      </c>
      <c r="U8" s="92">
        <f t="shared" si="14"/>
        <v>29</v>
      </c>
      <c r="V8" s="93">
        <v>31551.94</v>
      </c>
      <c r="W8" s="93">
        <v>-1100</v>
      </c>
      <c r="X8" s="92">
        <f t="shared" si="15"/>
        <v>30451.94</v>
      </c>
      <c r="Y8" s="93">
        <v>43919.72</v>
      </c>
      <c r="Z8" s="93">
        <v>-1464</v>
      </c>
      <c r="AA8" s="92">
        <f t="shared" si="16"/>
        <v>42455.72</v>
      </c>
      <c r="AB8" s="92">
        <f t="shared" si="17"/>
        <v>48370.559999999998</v>
      </c>
      <c r="AC8" s="234">
        <f>AA8/$AA$131</f>
        <v>1.7201314191340265E-2</v>
      </c>
      <c r="AD8" s="92">
        <f t="shared" si="18"/>
        <v>4926.8099999999995</v>
      </c>
      <c r="AE8" s="93">
        <v>16143.629999999992</v>
      </c>
      <c r="AF8" s="234">
        <f t="shared" si="19"/>
        <v>0.38024628954590789</v>
      </c>
      <c r="AG8" s="93">
        <v>3154.34</v>
      </c>
      <c r="AH8" s="93"/>
      <c r="AI8" s="93">
        <v>30</v>
      </c>
      <c r="AJ8" s="93">
        <v>2244</v>
      </c>
      <c r="AK8" s="93"/>
      <c r="AL8" s="122">
        <f>IFERROR($AL$131*H8/$H$131,0)</f>
        <v>23.274613536809383</v>
      </c>
      <c r="AM8" s="93">
        <v>0</v>
      </c>
      <c r="AN8" s="94">
        <f t="shared" si="20"/>
        <v>1738.8057739999999</v>
      </c>
      <c r="AO8" s="95">
        <f t="shared" si="21"/>
        <v>14194.859612463204</v>
      </c>
      <c r="AP8" s="96"/>
      <c r="AQ8" s="97">
        <f t="shared" si="5"/>
        <v>1463.9903448275863</v>
      </c>
      <c r="AR8" s="98">
        <f t="shared" si="6"/>
        <v>169.89</v>
      </c>
      <c r="AS8" s="98">
        <f t="shared" si="7"/>
        <v>556.67689655172387</v>
      </c>
      <c r="AT8" s="98">
        <f t="shared" si="8"/>
        <v>105.14466666666667</v>
      </c>
      <c r="AU8" s="98">
        <f t="shared" si="22"/>
        <v>75.8</v>
      </c>
      <c r="AV8" s="98">
        <f t="array" ref="AV8">_xlfn.IFS(U8=0,AO8,U8&lt;0,AO8/-U8,U8&gt;0,AO8/U8)</f>
        <v>489.47791767114495</v>
      </c>
      <c r="AW8" s="234">
        <f>IF(AQ8=0,0,AV8/AQ8)</f>
        <v>0.33434504496598344</v>
      </c>
      <c r="AX8" s="234">
        <f>IF(AR8=0,0,AV8/AR8)</f>
        <v>2.881146139685355</v>
      </c>
      <c r="AY8" s="99"/>
      <c r="AZ8" s="94">
        <f t="shared" si="11"/>
        <v>39158.233413691596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9010</v>
      </c>
      <c r="F9" s="93">
        <v>282</v>
      </c>
      <c r="G9" s="93">
        <v>77</v>
      </c>
      <c r="H9" s="93">
        <v>198</v>
      </c>
      <c r="I9" s="93">
        <v>0</v>
      </c>
      <c r="J9" s="93">
        <v>8453</v>
      </c>
      <c r="K9" s="92">
        <v>123.09</v>
      </c>
      <c r="L9" s="92">
        <f>E9*K9</f>
        <v>1109040.9000000001</v>
      </c>
      <c r="M9" s="89">
        <v>23</v>
      </c>
      <c r="N9" s="89">
        <v>461</v>
      </c>
      <c r="O9" s="89">
        <v>1455</v>
      </c>
      <c r="P9" s="89">
        <v>54</v>
      </c>
      <c r="Q9" s="233">
        <f t="shared" si="12"/>
        <v>65.857142857142861</v>
      </c>
      <c r="R9" s="92">
        <f t="shared" si="13"/>
        <v>26.714285714285715</v>
      </c>
      <c r="S9" s="93">
        <v>191</v>
      </c>
      <c r="T9" s="93">
        <v>-4</v>
      </c>
      <c r="U9" s="92">
        <f t="shared" si="14"/>
        <v>187</v>
      </c>
      <c r="V9" s="93">
        <v>197483.28999999995</v>
      </c>
      <c r="W9" s="93">
        <v>-3832</v>
      </c>
      <c r="X9" s="92">
        <f t="shared" si="15"/>
        <v>193651.28999999995</v>
      </c>
      <c r="Y9" s="93">
        <v>272083.57000000007</v>
      </c>
      <c r="Z9" s="93">
        <v>-5390</v>
      </c>
      <c r="AA9" s="92">
        <f t="shared" si="16"/>
        <v>266693.57000000007</v>
      </c>
      <c r="AB9" s="92">
        <f t="shared" si="17"/>
        <v>362207.7</v>
      </c>
      <c r="AC9" s="234">
        <f>AA9/$AA$131</f>
        <v>0.10805328211087221</v>
      </c>
      <c r="AD9" s="92">
        <f t="shared" si="18"/>
        <v>23017.83</v>
      </c>
      <c r="AE9" s="93">
        <v>101187.37000000002</v>
      </c>
      <c r="AF9" s="234">
        <f t="shared" si="19"/>
        <v>0.37941435933382273</v>
      </c>
      <c r="AG9" s="93">
        <v>26297.059999999972</v>
      </c>
      <c r="AH9" s="93"/>
      <c r="AI9" s="93">
        <v>4257</v>
      </c>
      <c r="AJ9" s="93">
        <v>48479</v>
      </c>
      <c r="AK9" s="93"/>
      <c r="AL9" s="122">
        <f>IFERROR($AL$131*H9/$H$131,0)</f>
        <v>209.47152183128446</v>
      </c>
      <c r="AM9" s="93">
        <v>0</v>
      </c>
      <c r="AN9" s="94">
        <f t="shared" si="20"/>
        <v>11057.488658999997</v>
      </c>
      <c r="AO9" s="95">
        <f t="shared" si="21"/>
        <v>52188.349819168776</v>
      </c>
      <c r="AP9" s="96"/>
      <c r="AQ9" s="97">
        <f t="shared" si="5"/>
        <v>1426.1688235294121</v>
      </c>
      <c r="AR9" s="98">
        <f t="shared" si="6"/>
        <v>123.09</v>
      </c>
      <c r="AS9" s="98">
        <f t="shared" si="7"/>
        <v>541.10893048128355</v>
      </c>
      <c r="AT9" s="98">
        <f t="shared" si="8"/>
        <v>137.68094240837681</v>
      </c>
      <c r="AU9" s="98">
        <f t="shared" si="22"/>
        <v>276.1047120418848</v>
      </c>
      <c r="AV9" s="98">
        <f t="array" ref="AV9">_xlfn.IFS(U9=0,AO9,U9&lt;0,AO9/-U9,U9&gt;0,AO9/U9)</f>
        <v>279.08208459448542</v>
      </c>
      <c r="AW9" s="234">
        <f>IF(AQ9=0,0,AV9/AQ9)</f>
        <v>0.19568656949310312</v>
      </c>
      <c r="AX9" s="234">
        <f>IF(AR9=0,0,AV9/AR9)</f>
        <v>2.2673010365950557</v>
      </c>
      <c r="AY9" s="99"/>
      <c r="AZ9" s="94">
        <f t="shared" si="11"/>
        <v>2514529.5821963139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8417</v>
      </c>
      <c r="F10" s="93">
        <v>93</v>
      </c>
      <c r="G10" s="93">
        <v>27</v>
      </c>
      <c r="H10" s="93">
        <v>397</v>
      </c>
      <c r="I10" s="93">
        <v>0</v>
      </c>
      <c r="J10" s="93">
        <v>7900</v>
      </c>
      <c r="K10" s="92">
        <v>123.09</v>
      </c>
      <c r="L10" s="92">
        <f>E10*K10</f>
        <v>1036048.53</v>
      </c>
      <c r="M10" s="89">
        <v>46</v>
      </c>
      <c r="N10" s="89">
        <v>158</v>
      </c>
      <c r="O10" s="89">
        <v>1430</v>
      </c>
      <c r="P10" s="89">
        <v>57</v>
      </c>
      <c r="Q10" s="233">
        <f t="shared" si="12"/>
        <v>22.571428571428573</v>
      </c>
      <c r="R10" s="92">
        <f t="shared" si="13"/>
        <v>10.857142857142858</v>
      </c>
      <c r="S10" s="93">
        <v>78</v>
      </c>
      <c r="T10" s="93">
        <v>-2</v>
      </c>
      <c r="U10" s="92">
        <f t="shared" si="14"/>
        <v>76</v>
      </c>
      <c r="V10" s="93">
        <v>78796.52</v>
      </c>
      <c r="W10" s="93">
        <v>-2049</v>
      </c>
      <c r="X10" s="92">
        <f t="shared" si="15"/>
        <v>76747.520000000004</v>
      </c>
      <c r="Y10" s="93">
        <v>109079.17</v>
      </c>
      <c r="Z10" s="93">
        <v>-2860</v>
      </c>
      <c r="AA10" s="92">
        <f t="shared" si="16"/>
        <v>106219.17</v>
      </c>
      <c r="AB10" s="92">
        <f t="shared" si="17"/>
        <v>128785.8</v>
      </c>
      <c r="AC10" s="234">
        <f>AA10/$AA$131</f>
        <v>4.3035645522284963E-2</v>
      </c>
      <c r="AD10" s="92">
        <f t="shared" si="18"/>
        <v>9354.84</v>
      </c>
      <c r="AE10" s="93">
        <v>40384.129999999968</v>
      </c>
      <c r="AF10" s="234">
        <f t="shared" si="19"/>
        <v>0.38019624894451698</v>
      </c>
      <c r="AG10" s="93">
        <v>9797.9599999999973</v>
      </c>
      <c r="AH10" s="93"/>
      <c r="AI10" s="93">
        <v>144</v>
      </c>
      <c r="AJ10" s="93">
        <v>16095</v>
      </c>
      <c r="AK10" s="93"/>
      <c r="AL10" s="122">
        <f>IFERROR($AL$131*H10/$H$131,0)</f>
        <v>420.00098064151479</v>
      </c>
      <c r="AM10" s="93">
        <v>0</v>
      </c>
      <c r="AN10" s="94">
        <f t="shared" si="20"/>
        <v>4382.2833920000003</v>
      </c>
      <c r="AO10" s="95">
        <f t="shared" si="21"/>
        <v>25640.955627358519</v>
      </c>
      <c r="AP10" s="96"/>
      <c r="AQ10" s="97">
        <f t="shared" si="5"/>
        <v>1397.6206578947367</v>
      </c>
      <c r="AR10" s="98">
        <f t="shared" si="6"/>
        <v>123.09</v>
      </c>
      <c r="AS10" s="98">
        <f t="shared" si="7"/>
        <v>531.37013157894694</v>
      </c>
      <c r="AT10" s="98">
        <f t="shared" si="8"/>
        <v>125.61487179487176</v>
      </c>
      <c r="AU10" s="98">
        <f t="shared" si="22"/>
        <v>208.19230769230768</v>
      </c>
      <c r="AV10" s="98">
        <f t="array" ref="AV10">_xlfn.IFS(U10=0,AO10,U10&lt;0,AO10/-U10,U10&gt;0,AO10/U10)</f>
        <v>337.38099509682263</v>
      </c>
      <c r="AW10" s="234">
        <f>IF(AQ10=0,0,AV10/AQ10)</f>
        <v>0.24139668599706177</v>
      </c>
      <c r="AX10" s="234">
        <f>IF(AR10=0,0,AV10/AR10)</f>
        <v>2.7409293614170331</v>
      </c>
      <c r="AY10" s="99"/>
      <c r="AZ10" s="94">
        <f t="shared" si="11"/>
        <v>2839735.8357299562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7">SUM(F11:J11)</f>
        <v>1623</v>
      </c>
      <c r="F11" s="93">
        <v>74</v>
      </c>
      <c r="G11" s="93">
        <v>17</v>
      </c>
      <c r="H11" s="93">
        <v>185</v>
      </c>
      <c r="I11" s="93">
        <v>0</v>
      </c>
      <c r="J11" s="93">
        <v>1347</v>
      </c>
      <c r="K11" s="92">
        <v>123.09</v>
      </c>
      <c r="L11" s="92">
        <f t="shared" ref="L11" si="28">E11*K11</f>
        <v>199775.07</v>
      </c>
      <c r="M11" s="89">
        <v>34</v>
      </c>
      <c r="N11" s="89">
        <v>110</v>
      </c>
      <c r="O11" s="89">
        <v>1390</v>
      </c>
      <c r="P11" s="89">
        <v>57</v>
      </c>
      <c r="Q11" s="233">
        <f t="shared" si="12"/>
        <v>15.714285714285714</v>
      </c>
      <c r="R11" s="92">
        <f t="shared" si="13"/>
        <v>7.5714285714285712</v>
      </c>
      <c r="S11" s="93">
        <v>54</v>
      </c>
      <c r="T11" s="93">
        <v>-1</v>
      </c>
      <c r="U11" s="92">
        <f t="shared" si="14"/>
        <v>53</v>
      </c>
      <c r="V11" s="93">
        <v>53813.740000000013</v>
      </c>
      <c r="W11" s="93">
        <v>-889</v>
      </c>
      <c r="X11" s="92">
        <f t="shared" si="15"/>
        <v>52924.740000000013</v>
      </c>
      <c r="Y11" s="93">
        <v>74444.249999999985</v>
      </c>
      <c r="Z11" s="93">
        <v>-1301</v>
      </c>
      <c r="AA11" s="92">
        <f t="shared" si="16"/>
        <v>73143.249999999985</v>
      </c>
      <c r="AB11" s="92">
        <f t="shared" si="17"/>
        <v>87153</v>
      </c>
      <c r="AC11" s="234">
        <f>AA11/$AA$131</f>
        <v>2.9634641085482676E-2</v>
      </c>
      <c r="AD11" s="92">
        <f t="shared" si="18"/>
        <v>6523.77</v>
      </c>
      <c r="AE11" s="93">
        <v>27759.709999999981</v>
      </c>
      <c r="AF11" s="234">
        <f t="shared" si="19"/>
        <v>0.37952524669056936</v>
      </c>
      <c r="AG11" s="93">
        <v>6435.4699999999957</v>
      </c>
      <c r="AH11" s="93"/>
      <c r="AI11" s="93">
        <v>70</v>
      </c>
      <c r="AJ11" s="93">
        <v>8721</v>
      </c>
      <c r="AK11" s="93"/>
      <c r="AL11" s="122">
        <f>IFERROR($AL$131*H11/$H$131,0)</f>
        <v>195.71834110498801</v>
      </c>
      <c r="AM11" s="93">
        <v>0</v>
      </c>
      <c r="AN11" s="94">
        <f t="shared" si="20"/>
        <v>3022.0026540000008</v>
      </c>
      <c r="AO11" s="95">
        <f t="shared" si="21"/>
        <v>20415.579004895022</v>
      </c>
      <c r="AP11" s="96"/>
      <c r="AQ11" s="97">
        <f t="shared" si="5"/>
        <v>1380.0613207547167</v>
      </c>
      <c r="AR11" s="98">
        <f t="shared" si="6"/>
        <v>123.09</v>
      </c>
      <c r="AS11" s="98">
        <f t="shared" si="7"/>
        <v>523.76811320754678</v>
      </c>
      <c r="AT11" s="98">
        <f t="shared" si="8"/>
        <v>119.17537037037029</v>
      </c>
      <c r="AU11" s="98">
        <f t="shared" si="22"/>
        <v>162.7962962962963</v>
      </c>
      <c r="AV11" s="98">
        <f t="array" ref="AV11">_xlfn.IFS(U11=0,AO11,U11&lt;0,AO11/-U11,U11&gt;0,AO11/U11)</f>
        <v>385.1996038659438</v>
      </c>
      <c r="AW11" s="234">
        <f t="shared" ref="AW11:AW28" si="29">IF(AQ11=0,0,AV11/AQ11)</f>
        <v>0.27911774503997328</v>
      </c>
      <c r="AX11" s="234">
        <f t="shared" ref="AX11:AX28" si="30">IF(AR11=0,0,AV11/AR11)</f>
        <v>3.129414281143422</v>
      </c>
      <c r="AY11" s="99"/>
      <c r="AZ11" s="94">
        <f t="shared" si="11"/>
        <v>625178.95707442681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7"/>
        <v>6815</v>
      </c>
      <c r="F12" s="93">
        <v>97</v>
      </c>
      <c r="G12" s="93">
        <v>31</v>
      </c>
      <c r="H12" s="93">
        <v>490</v>
      </c>
      <c r="I12" s="93">
        <v>1</v>
      </c>
      <c r="J12" s="93">
        <v>6196</v>
      </c>
      <c r="K12" s="92">
        <v>117.24</v>
      </c>
      <c r="L12" s="92">
        <f>E12*K12</f>
        <v>798990.6</v>
      </c>
      <c r="M12" s="89">
        <v>64</v>
      </c>
      <c r="N12" s="89">
        <v>151</v>
      </c>
      <c r="O12" s="89">
        <v>1430</v>
      </c>
      <c r="P12" s="89">
        <v>57</v>
      </c>
      <c r="Q12" s="233">
        <f t="shared" si="12"/>
        <v>21.571428571428573</v>
      </c>
      <c r="R12" s="92">
        <f t="shared" si="13"/>
        <v>8.1428571428571423</v>
      </c>
      <c r="S12" s="93">
        <v>57</v>
      </c>
      <c r="T12" s="93">
        <v>0</v>
      </c>
      <c r="U12" s="92">
        <f t="shared" si="14"/>
        <v>57</v>
      </c>
      <c r="V12" s="93">
        <v>57637.060000000005</v>
      </c>
      <c r="W12" s="93">
        <v>0</v>
      </c>
      <c r="X12" s="92">
        <f t="shared" si="15"/>
        <v>57637.060000000005</v>
      </c>
      <c r="Y12" s="93">
        <v>80373.100000000006</v>
      </c>
      <c r="Z12" s="93">
        <v>0</v>
      </c>
      <c r="AA12" s="92">
        <f t="shared" si="16"/>
        <v>80373.100000000006</v>
      </c>
      <c r="AB12" s="92">
        <f t="shared" si="17"/>
        <v>123080.1</v>
      </c>
      <c r="AC12" s="234">
        <f>AA12/$AA$131</f>
        <v>3.2563879393212751E-2</v>
      </c>
      <c r="AD12" s="92">
        <f t="shared" si="18"/>
        <v>6682.6799999999994</v>
      </c>
      <c r="AE12" s="93">
        <v>30342.290000000023</v>
      </c>
      <c r="AF12" s="234">
        <f t="shared" si="19"/>
        <v>0.37751797554156824</v>
      </c>
      <c r="AG12" s="93">
        <v>8307.909999999998</v>
      </c>
      <c r="AH12" s="93"/>
      <c r="AI12" s="93">
        <v>90</v>
      </c>
      <c r="AJ12" s="93">
        <v>8693</v>
      </c>
      <c r="AK12" s="93"/>
      <c r="AL12" s="122">
        <f>IFERROR($AL$131*H12/$H$131,0)</f>
        <v>518.38911968348179</v>
      </c>
      <c r="AM12" s="93">
        <v>0</v>
      </c>
      <c r="AN12" s="94">
        <f t="shared" si="20"/>
        <v>3291.0761260000004</v>
      </c>
      <c r="AO12" s="95">
        <f t="shared" si="21"/>
        <v>22447.754754316513</v>
      </c>
      <c r="AP12" s="96"/>
      <c r="AQ12" s="97">
        <f t="shared" si="5"/>
        <v>1410.0543859649124</v>
      </c>
      <c r="AR12" s="98">
        <f t="shared" si="6"/>
        <v>117.24</v>
      </c>
      <c r="AS12" s="98">
        <f t="shared" si="7"/>
        <v>532.32087719298283</v>
      </c>
      <c r="AT12" s="98">
        <f t="shared" si="8"/>
        <v>145.75280701754383</v>
      </c>
      <c r="AU12" s="98">
        <f t="shared" si="22"/>
        <v>154.08771929824562</v>
      </c>
      <c r="AV12" s="98">
        <f t="array" ref="AV12">_xlfn.IFS(U12=0,AO12,U12&lt;0,AO12/-U12,U12&gt;0,AO12/U12)</f>
        <v>393.82025884765812</v>
      </c>
      <c r="AW12" s="234">
        <f t="shared" si="29"/>
        <v>0.27929437528621531</v>
      </c>
      <c r="AX12" s="234">
        <f t="shared" si="30"/>
        <v>3.3590946677555285</v>
      </c>
      <c r="AY12" s="99"/>
      <c r="AZ12" s="94">
        <f t="shared" si="11"/>
        <v>2683885.0640467899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7"/>
        <v>3852</v>
      </c>
      <c r="F13" s="93">
        <v>322</v>
      </c>
      <c r="G13" s="93">
        <v>85</v>
      </c>
      <c r="H13" s="93">
        <v>220</v>
      </c>
      <c r="I13" s="93">
        <v>1</v>
      </c>
      <c r="J13" s="93">
        <v>3224</v>
      </c>
      <c r="K13" s="92">
        <v>123.09</v>
      </c>
      <c r="L13" s="92">
        <f t="shared" ref="L13:L28" si="31">E13*K13</f>
        <v>474142.68</v>
      </c>
      <c r="M13" s="89">
        <v>23</v>
      </c>
      <c r="N13" s="89">
        <v>541</v>
      </c>
      <c r="O13" s="89">
        <v>1460</v>
      </c>
      <c r="P13" s="89">
        <v>57</v>
      </c>
      <c r="Q13" s="233">
        <f t="shared" si="12"/>
        <v>77.285714285714292</v>
      </c>
      <c r="R13" s="92">
        <f t="shared" si="13"/>
        <v>30.142857142857142</v>
      </c>
      <c r="S13" s="93">
        <v>215</v>
      </c>
      <c r="T13" s="93">
        <v>-4</v>
      </c>
      <c r="U13" s="92">
        <f t="shared" si="14"/>
        <v>211</v>
      </c>
      <c r="V13" s="93">
        <v>221144.66999999993</v>
      </c>
      <c r="W13" s="93">
        <v>-4026</v>
      </c>
      <c r="X13" s="92">
        <f t="shared" si="15"/>
        <v>217118.66999999993</v>
      </c>
      <c r="Y13" s="93">
        <v>306402.34000000014</v>
      </c>
      <c r="Z13" s="93">
        <v>-5637</v>
      </c>
      <c r="AA13" s="92">
        <f t="shared" si="16"/>
        <v>300765.34000000014</v>
      </c>
      <c r="AB13" s="92">
        <f t="shared" si="17"/>
        <v>450220.2</v>
      </c>
      <c r="AC13" s="234">
        <f>AA13/$AA$131</f>
        <v>0.12185776407054885</v>
      </c>
      <c r="AD13" s="92">
        <f t="shared" si="18"/>
        <v>25971.99</v>
      </c>
      <c r="AE13" s="93">
        <v>114489.3400000001</v>
      </c>
      <c r="AF13" s="234">
        <f t="shared" si="19"/>
        <v>0.38066001887052558</v>
      </c>
      <c r="AG13" s="93">
        <v>27747.909999999953</v>
      </c>
      <c r="AH13" s="93"/>
      <c r="AI13" s="93">
        <v>652</v>
      </c>
      <c r="AJ13" s="93">
        <v>65048</v>
      </c>
      <c r="AK13" s="93"/>
      <c r="AL13" s="122">
        <f>IFERROR($AL$131*H13/$H$131,0)</f>
        <v>232.74613536809383</v>
      </c>
      <c r="AM13" s="93">
        <v>10</v>
      </c>
      <c r="AN13" s="94">
        <f t="shared" si="20"/>
        <v>12397.476056999994</v>
      </c>
      <c r="AO13" s="95">
        <f t="shared" si="21"/>
        <v>54215.87780763203</v>
      </c>
      <c r="AP13" s="96"/>
      <c r="AQ13" s="97">
        <f t="shared" si="5"/>
        <v>1425.4281516587685</v>
      </c>
      <c r="AR13" s="98">
        <f t="shared" si="6"/>
        <v>123.09</v>
      </c>
      <c r="AS13" s="98">
        <f t="shared" si="7"/>
        <v>542.60350710900525</v>
      </c>
      <c r="AT13" s="98">
        <f t="shared" si="8"/>
        <v>129.06004651162769</v>
      </c>
      <c r="AU13" s="98">
        <f t="shared" si="22"/>
        <v>305.58139534883719</v>
      </c>
      <c r="AV13" s="98">
        <f t="array" ref="AV13">_xlfn.IFS(U13=0,AO13,U13&lt;0,AO13/-U13,U13&gt;0,AO13/U13)</f>
        <v>256.94728818782954</v>
      </c>
      <c r="AW13" s="234">
        <f t="shared" si="29"/>
        <v>0.18025972609620514</v>
      </c>
      <c r="AX13" s="234">
        <f t="shared" si="30"/>
        <v>2.0874749223156188</v>
      </c>
      <c r="AY13" s="99"/>
      <c r="AZ13" s="94">
        <f t="shared" si="11"/>
        <v>989760.95409951941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7"/>
        <v>2013</v>
      </c>
      <c r="F14" s="93">
        <v>22</v>
      </c>
      <c r="G14" s="93">
        <v>9</v>
      </c>
      <c r="H14" s="93">
        <v>389</v>
      </c>
      <c r="I14" s="93">
        <v>2</v>
      </c>
      <c r="J14" s="93">
        <v>1591</v>
      </c>
      <c r="K14" s="92">
        <v>123.09</v>
      </c>
      <c r="L14" s="92">
        <f t="shared" si="31"/>
        <v>247780.17</v>
      </c>
      <c r="M14" s="89">
        <v>130</v>
      </c>
      <c r="N14" s="89">
        <v>60</v>
      </c>
      <c r="O14" s="89">
        <v>1420</v>
      </c>
      <c r="P14" s="89">
        <v>73</v>
      </c>
      <c r="Q14" s="233">
        <f t="shared" si="12"/>
        <v>8.5714285714285712</v>
      </c>
      <c r="R14" s="92">
        <f t="shared" si="13"/>
        <v>6.5714285714285712</v>
      </c>
      <c r="S14" s="93">
        <v>47</v>
      </c>
      <c r="T14" s="93">
        <v>-1</v>
      </c>
      <c r="U14" s="92">
        <f t="shared" si="14"/>
        <v>46</v>
      </c>
      <c r="V14" s="93">
        <v>47645.9</v>
      </c>
      <c r="W14" s="93">
        <v>-945</v>
      </c>
      <c r="X14" s="92">
        <f t="shared" si="15"/>
        <v>46700.9</v>
      </c>
      <c r="Y14" s="93">
        <v>66081.22</v>
      </c>
      <c r="Z14" s="93">
        <v>-1388</v>
      </c>
      <c r="AA14" s="92">
        <f t="shared" si="16"/>
        <v>64693.22</v>
      </c>
      <c r="AB14" s="92">
        <f t="shared" si="17"/>
        <v>62196</v>
      </c>
      <c r="AC14" s="234">
        <f>AA14/$AA$131</f>
        <v>2.6211035951563131E-2</v>
      </c>
      <c r="AD14" s="92">
        <f t="shared" si="18"/>
        <v>5662.14</v>
      </c>
      <c r="AE14" s="93">
        <v>24463.509999999995</v>
      </c>
      <c r="AF14" s="234">
        <f t="shared" si="19"/>
        <v>0.37814642709081409</v>
      </c>
      <c r="AG14" s="93">
        <v>3954.0599999999972</v>
      </c>
      <c r="AH14" s="93"/>
      <c r="AI14" s="93">
        <v>1035</v>
      </c>
      <c r="AJ14" s="93">
        <v>6245</v>
      </c>
      <c r="AK14" s="93"/>
      <c r="AL14" s="122">
        <f>IFERROR($AL$131*H14/$H$131,0)</f>
        <v>411.53748480994773</v>
      </c>
      <c r="AM14" s="93">
        <v>0</v>
      </c>
      <c r="AN14" s="94">
        <f t="shared" si="20"/>
        <v>2666.6213899999998</v>
      </c>
      <c r="AO14" s="95">
        <f t="shared" si="21"/>
        <v>20255.35112519006</v>
      </c>
      <c r="AP14" s="96"/>
      <c r="AQ14" s="97">
        <f t="shared" si="5"/>
        <v>1406.3743478260869</v>
      </c>
      <c r="AR14" s="98">
        <f t="shared" si="6"/>
        <v>123.09</v>
      </c>
      <c r="AS14" s="98">
        <f t="shared" si="7"/>
        <v>531.81543478260858</v>
      </c>
      <c r="AT14" s="98">
        <f t="shared" si="8"/>
        <v>84.128936170212711</v>
      </c>
      <c r="AU14" s="98">
        <f t="shared" si="22"/>
        <v>154.89361702127658</v>
      </c>
      <c r="AV14" s="98">
        <f t="array" ref="AV14">_xlfn.IFS(U14=0,AO14,U14&lt;0,AO14/-U14,U14&gt;0,AO14/U14)</f>
        <v>440.33372011282739</v>
      </c>
      <c r="AW14" s="234">
        <f t="shared" si="29"/>
        <v>0.31309851519510173</v>
      </c>
      <c r="AX14" s="234">
        <f t="shared" si="30"/>
        <v>3.577331384457124</v>
      </c>
      <c r="AY14" s="99"/>
      <c r="AZ14" s="94">
        <f t="shared" si="11"/>
        <v>886391.77858712152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7"/>
        <v>4419</v>
      </c>
      <c r="F15" s="93">
        <v>53</v>
      </c>
      <c r="G15" s="93">
        <v>11</v>
      </c>
      <c r="H15" s="93">
        <v>273</v>
      </c>
      <c r="I15" s="93">
        <v>0</v>
      </c>
      <c r="J15" s="93">
        <v>4082</v>
      </c>
      <c r="K15" s="92">
        <v>123.09</v>
      </c>
      <c r="L15" s="92">
        <f t="shared" si="31"/>
        <v>543934.71</v>
      </c>
      <c r="M15" s="89">
        <v>55</v>
      </c>
      <c r="N15" s="89">
        <v>66</v>
      </c>
      <c r="O15" s="89">
        <v>1400</v>
      </c>
      <c r="P15" s="89">
        <v>74</v>
      </c>
      <c r="Q15" s="233">
        <f t="shared" si="12"/>
        <v>9.4285714285714288</v>
      </c>
      <c r="R15" s="92">
        <f t="shared" si="13"/>
        <v>4.2857142857142856</v>
      </c>
      <c r="S15" s="93">
        <v>31</v>
      </c>
      <c r="T15" s="93">
        <v>-1</v>
      </c>
      <c r="U15" s="92">
        <f t="shared" si="14"/>
        <v>30</v>
      </c>
      <c r="V15" s="93">
        <v>30561.35</v>
      </c>
      <c r="W15" s="93">
        <v>-848</v>
      </c>
      <c r="X15" s="92">
        <f t="shared" si="15"/>
        <v>29713.35</v>
      </c>
      <c r="Y15" s="93">
        <v>42954.25</v>
      </c>
      <c r="Z15" s="93">
        <v>-1301</v>
      </c>
      <c r="AA15" s="92">
        <f t="shared" si="16"/>
        <v>41653.25</v>
      </c>
      <c r="AB15" s="92">
        <f t="shared" si="17"/>
        <v>68376</v>
      </c>
      <c r="AC15" s="234">
        <f>AA15/$AA$131</f>
        <v>1.6876186302821949E-2</v>
      </c>
      <c r="AD15" s="92">
        <f t="shared" si="18"/>
        <v>3692.7000000000003</v>
      </c>
      <c r="AE15" s="93">
        <v>15751.380000000005</v>
      </c>
      <c r="AF15" s="234">
        <f t="shared" si="19"/>
        <v>0.3781548858732513</v>
      </c>
      <c r="AG15" s="93">
        <v>3492.6700000000014</v>
      </c>
      <c r="AH15" s="93"/>
      <c r="AI15" s="93">
        <v>355</v>
      </c>
      <c r="AJ15" s="93">
        <v>3611</v>
      </c>
      <c r="AK15" s="93"/>
      <c r="AL15" s="122">
        <f>IFERROR($AL$131*H15/$H$131,0)</f>
        <v>288.81679525222557</v>
      </c>
      <c r="AM15" s="93">
        <v>0</v>
      </c>
      <c r="AN15" s="94">
        <f t="shared" si="20"/>
        <v>1696.6322849999999</v>
      </c>
      <c r="AO15" s="95">
        <f t="shared" si="21"/>
        <v>12765.050919747771</v>
      </c>
      <c r="AP15" s="96"/>
      <c r="AQ15" s="97">
        <f t="shared" si="5"/>
        <v>1388.4416666666666</v>
      </c>
      <c r="AR15" s="98">
        <f t="shared" si="6"/>
        <v>123.09</v>
      </c>
      <c r="AS15" s="98">
        <f t="shared" si="7"/>
        <v>525.04600000000016</v>
      </c>
      <c r="AT15" s="98">
        <f t="shared" si="8"/>
        <v>112.66677419354843</v>
      </c>
      <c r="AU15" s="98">
        <f t="shared" si="22"/>
        <v>127.93548387096774</v>
      </c>
      <c r="AV15" s="98">
        <f t="array" ref="AV15">_xlfn.IFS(U15=0,AO15,U15&lt;0,AO15/-U15,U15&gt;0,AO15/U15)</f>
        <v>425.50169732492571</v>
      </c>
      <c r="AW15" s="234">
        <f t="shared" si="29"/>
        <v>0.30645990216244284</v>
      </c>
      <c r="AX15" s="234">
        <f t="shared" si="30"/>
        <v>3.4568340021522928</v>
      </c>
      <c r="AY15" s="99"/>
      <c r="AZ15" s="94">
        <f t="shared" si="11"/>
        <v>1880292.0004788467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7"/>
        <v>2910</v>
      </c>
      <c r="F16" s="93">
        <v>172</v>
      </c>
      <c r="G16" s="93">
        <v>34</v>
      </c>
      <c r="H16" s="93">
        <v>291</v>
      </c>
      <c r="I16" s="93">
        <v>2</v>
      </c>
      <c r="J16" s="93">
        <v>2411</v>
      </c>
      <c r="K16" s="92">
        <v>117.24</v>
      </c>
      <c r="L16" s="92">
        <f t="shared" si="31"/>
        <v>341168.39999999997</v>
      </c>
      <c r="M16" s="89">
        <v>29</v>
      </c>
      <c r="N16" s="89">
        <v>251</v>
      </c>
      <c r="O16" s="89">
        <v>1430</v>
      </c>
      <c r="P16" s="89">
        <v>64</v>
      </c>
      <c r="Q16" s="233">
        <f t="shared" si="12"/>
        <v>35.857142857142854</v>
      </c>
      <c r="R16" s="92">
        <f t="shared" si="13"/>
        <v>16.571428571428573</v>
      </c>
      <c r="S16" s="93">
        <v>120</v>
      </c>
      <c r="T16" s="93">
        <v>-4</v>
      </c>
      <c r="U16" s="92">
        <f t="shared" si="14"/>
        <v>116</v>
      </c>
      <c r="V16" s="93">
        <v>122409.45</v>
      </c>
      <c r="W16" s="93">
        <v>-3939</v>
      </c>
      <c r="X16" s="92">
        <f t="shared" si="15"/>
        <v>118470.45</v>
      </c>
      <c r="Y16" s="93">
        <v>170367.25</v>
      </c>
      <c r="Z16" s="93">
        <v>-5590</v>
      </c>
      <c r="AA16" s="92">
        <f t="shared" si="16"/>
        <v>164777.25</v>
      </c>
      <c r="AB16" s="92">
        <f t="shared" si="17"/>
        <v>229715.20000000001</v>
      </c>
      <c r="AC16" s="234">
        <f>AA16/$AA$131</f>
        <v>6.6760974701053771E-2</v>
      </c>
      <c r="AD16" s="92">
        <f t="shared" si="18"/>
        <v>13599.84</v>
      </c>
      <c r="AE16" s="93">
        <v>62623.950000000019</v>
      </c>
      <c r="AF16" s="234">
        <f t="shared" si="19"/>
        <v>0.3800521613268823</v>
      </c>
      <c r="AG16" s="93">
        <v>12985.71999999999</v>
      </c>
      <c r="AH16" s="93"/>
      <c r="AI16" s="93">
        <v>201</v>
      </c>
      <c r="AJ16" s="93">
        <v>22544</v>
      </c>
      <c r="AK16" s="93"/>
      <c r="AL16" s="122">
        <f>IFERROR($AL$131*H16/$H$131,0)</f>
        <v>307.85966087325141</v>
      </c>
      <c r="AM16" s="93">
        <v>0</v>
      </c>
      <c r="AN16" s="94">
        <f t="shared" si="20"/>
        <v>6764.662695</v>
      </c>
      <c r="AO16" s="95">
        <f t="shared" si="21"/>
        <v>45750.217644126758</v>
      </c>
      <c r="AP16" s="96"/>
      <c r="AQ16" s="97">
        <f t="shared" si="5"/>
        <v>1420.4935344827586</v>
      </c>
      <c r="AR16" s="98">
        <f t="shared" si="6"/>
        <v>117.24</v>
      </c>
      <c r="AS16" s="98">
        <f t="shared" si="7"/>
        <v>539.86163793103469</v>
      </c>
      <c r="AT16" s="98">
        <f t="shared" si="8"/>
        <v>108.21433333333326</v>
      </c>
      <c r="AU16" s="98">
        <f t="shared" si="22"/>
        <v>189.54166666666666</v>
      </c>
      <c r="AV16" s="98">
        <f t="array" ref="AV16">_xlfn.IFS(U16=0,AO16,U16&lt;0,AO16/-U16,U16&gt;0,AO16/U16)</f>
        <v>394.39842796660997</v>
      </c>
      <c r="AW16" s="234">
        <f t="shared" si="29"/>
        <v>0.2776488723056536</v>
      </c>
      <c r="AX16" s="234">
        <f t="shared" si="30"/>
        <v>3.3640261682583588</v>
      </c>
      <c r="AY16" s="99"/>
      <c r="AZ16" s="94">
        <f t="shared" si="11"/>
        <v>1147699.4253828351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7"/>
        <v>1446</v>
      </c>
      <c r="F17" s="93">
        <v>28</v>
      </c>
      <c r="G17" s="93">
        <v>7</v>
      </c>
      <c r="H17" s="93">
        <v>75</v>
      </c>
      <c r="I17" s="93">
        <v>1</v>
      </c>
      <c r="J17" s="93">
        <v>1335</v>
      </c>
      <c r="K17" s="93">
        <v>123.09</v>
      </c>
      <c r="L17" s="92">
        <f t="shared" si="31"/>
        <v>177988.14</v>
      </c>
      <c r="M17" s="89">
        <v>35</v>
      </c>
      <c r="N17" s="89">
        <v>46</v>
      </c>
      <c r="O17" s="89">
        <v>1480</v>
      </c>
      <c r="P17" s="89">
        <v>48</v>
      </c>
      <c r="Q17" s="233">
        <f t="shared" si="12"/>
        <v>6.5714285714285712</v>
      </c>
      <c r="R17" s="92">
        <f t="shared" si="13"/>
        <v>2.2857142857142856</v>
      </c>
      <c r="S17" s="93">
        <v>16</v>
      </c>
      <c r="T17" s="93">
        <v>0</v>
      </c>
      <c r="U17" s="92">
        <f t="shared" si="14"/>
        <v>16</v>
      </c>
      <c r="V17" s="93">
        <v>16838.47</v>
      </c>
      <c r="W17" s="93">
        <v>0</v>
      </c>
      <c r="X17" s="92">
        <f t="shared" si="15"/>
        <v>16838.47</v>
      </c>
      <c r="Y17" s="93">
        <v>23518.36</v>
      </c>
      <c r="Z17" s="93">
        <v>0</v>
      </c>
      <c r="AA17" s="92">
        <f t="shared" si="16"/>
        <v>23518.36</v>
      </c>
      <c r="AB17" s="92">
        <f t="shared" si="17"/>
        <v>32678.400000000001</v>
      </c>
      <c r="AC17" s="234">
        <f>AA17/$AA$131</f>
        <v>9.5286736304330544E-3</v>
      </c>
      <c r="AD17" s="92">
        <f t="shared" si="18"/>
        <v>1969.44</v>
      </c>
      <c r="AE17" s="93">
        <v>8954.9200000000037</v>
      </c>
      <c r="AF17" s="234">
        <f t="shared" si="19"/>
        <v>0.38076294435496366</v>
      </c>
      <c r="AG17" s="93">
        <v>2657.3000000000006</v>
      </c>
      <c r="AH17" s="93"/>
      <c r="AI17" s="93">
        <v>30</v>
      </c>
      <c r="AJ17" s="93">
        <v>3736</v>
      </c>
      <c r="AK17" s="93"/>
      <c r="AL17" s="122">
        <f>IFERROR($AL$131*H17/$H$131,0)</f>
        <v>79.345273420941083</v>
      </c>
      <c r="AM17" s="93">
        <v>0</v>
      </c>
      <c r="AN17" s="94">
        <f t="shared" si="20"/>
        <v>961.47663699999998</v>
      </c>
      <c r="AO17" s="95">
        <f t="shared" si="21"/>
        <v>5129.878089579056</v>
      </c>
      <c r="AP17" s="96"/>
      <c r="AQ17" s="97">
        <f t="shared" si="5"/>
        <v>1469.8975</v>
      </c>
      <c r="AR17" s="98">
        <f t="shared" si="6"/>
        <v>123.09</v>
      </c>
      <c r="AS17" s="98">
        <f t="shared" si="7"/>
        <v>559.68250000000023</v>
      </c>
      <c r="AT17" s="98">
        <f t="shared" si="8"/>
        <v>166.08125000000004</v>
      </c>
      <c r="AU17" s="98">
        <f t="shared" si="22"/>
        <v>235.375</v>
      </c>
      <c r="AV17" s="98">
        <f t="array" ref="AV17">_xlfn.IFS(U17=0,AO17,U17&lt;0,AO17/-U17,U17&gt;0,AO17/U17)</f>
        <v>320.617380598691</v>
      </c>
      <c r="AW17" s="234">
        <f t="shared" si="29"/>
        <v>0.21812227083772234</v>
      </c>
      <c r="AX17" s="234">
        <f t="shared" si="30"/>
        <v>2.6047394637963359</v>
      </c>
      <c r="AY17" s="99"/>
      <c r="AZ17" s="94">
        <f t="shared" si="11"/>
        <v>463612.73234570719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7"/>
        <v>1362</v>
      </c>
      <c r="F18" s="93">
        <v>34</v>
      </c>
      <c r="G18" s="93">
        <v>14</v>
      </c>
      <c r="H18" s="93">
        <v>353</v>
      </c>
      <c r="I18" s="93">
        <v>2</v>
      </c>
      <c r="J18" s="93">
        <v>959</v>
      </c>
      <c r="K18" s="93">
        <v>123.09</v>
      </c>
      <c r="L18" s="92">
        <f t="shared" si="31"/>
        <v>167648.58000000002</v>
      </c>
      <c r="M18" s="89">
        <v>154</v>
      </c>
      <c r="N18" s="89">
        <v>53</v>
      </c>
      <c r="O18" s="89">
        <v>1421</v>
      </c>
      <c r="P18" s="89">
        <v>52</v>
      </c>
      <c r="Q18" s="233">
        <f t="shared" si="12"/>
        <v>7.5714285714285712</v>
      </c>
      <c r="R18" s="92">
        <f t="shared" si="13"/>
        <v>3</v>
      </c>
      <c r="S18" s="93">
        <v>22</v>
      </c>
      <c r="T18" s="93">
        <v>-1</v>
      </c>
      <c r="U18" s="92">
        <f t="shared" si="14"/>
        <v>21</v>
      </c>
      <c r="V18" s="93">
        <v>22561.13</v>
      </c>
      <c r="W18" s="93">
        <v>-1006</v>
      </c>
      <c r="X18" s="92">
        <f t="shared" si="15"/>
        <v>21555.13</v>
      </c>
      <c r="Y18" s="93">
        <v>31137.56</v>
      </c>
      <c r="Z18" s="93">
        <v>-1389</v>
      </c>
      <c r="AA18" s="92">
        <f t="shared" si="16"/>
        <v>29748.560000000001</v>
      </c>
      <c r="AB18" s="92">
        <f t="shared" si="17"/>
        <v>39162.76</v>
      </c>
      <c r="AC18" s="234">
        <f>AA18/$AA$131</f>
        <v>1.2052894811345501E-2</v>
      </c>
      <c r="AD18" s="92">
        <f t="shared" si="18"/>
        <v>2584.89</v>
      </c>
      <c r="AE18" s="93">
        <v>11322.480000000003</v>
      </c>
      <c r="AF18" s="234">
        <f t="shared" si="19"/>
        <v>0.38060598563426273</v>
      </c>
      <c r="AG18" s="93">
        <v>3318.9699999999989</v>
      </c>
      <c r="AH18" s="93"/>
      <c r="AI18" s="93">
        <v>1015</v>
      </c>
      <c r="AJ18" s="93">
        <v>2152</v>
      </c>
      <c r="AK18" s="93"/>
      <c r="AL18" s="122">
        <f>IFERROR($AL$131*H18/$H$131,0)</f>
        <v>373.45175356789599</v>
      </c>
      <c r="AM18" s="93">
        <v>0</v>
      </c>
      <c r="AN18" s="94">
        <f t="shared" si="20"/>
        <v>1230.7979230000001</v>
      </c>
      <c r="AO18" s="95">
        <f t="shared" si="21"/>
        <v>7750.9703234321041</v>
      </c>
      <c r="AP18" s="96"/>
      <c r="AQ18" s="97">
        <f t="shared" si="5"/>
        <v>1416.5980952380953</v>
      </c>
      <c r="AR18" s="98">
        <f t="shared" si="6"/>
        <v>123.09</v>
      </c>
      <c r="AS18" s="98">
        <f t="shared" si="7"/>
        <v>539.16571428571444</v>
      </c>
      <c r="AT18" s="98">
        <f t="shared" si="8"/>
        <v>150.86227272727268</v>
      </c>
      <c r="AU18" s="98">
        <f t="shared" si="22"/>
        <v>143.95454545454547</v>
      </c>
      <c r="AV18" s="98">
        <f t="array" ref="AV18">_xlfn.IFS(U18=0,AO18,U18&lt;0,AO18/-U18,U18&gt;0,AO18/U18)</f>
        <v>369.09382492533831</v>
      </c>
      <c r="AW18" s="234">
        <f t="shared" si="29"/>
        <v>0.26054942906251949</v>
      </c>
      <c r="AX18" s="234">
        <f t="shared" si="30"/>
        <v>2.9985687295908545</v>
      </c>
      <c r="AY18" s="99"/>
      <c r="AZ18" s="94">
        <f t="shared" si="11"/>
        <v>502705.7895483108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7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1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>AA19/$AA$131</f>
        <v>0</v>
      </c>
      <c r="AD19" s="92">
        <f t="shared" si="18"/>
        <v>0</v>
      </c>
      <c r="AE19" s="93">
        <v>0</v>
      </c>
      <c r="AF19" s="234">
        <f t="shared" si="19"/>
        <v>0</v>
      </c>
      <c r="AG19" s="93">
        <v>0</v>
      </c>
      <c r="AH19" s="93"/>
      <c r="AI19" s="93">
        <v>0</v>
      </c>
      <c r="AJ19" s="93">
        <v>0</v>
      </c>
      <c r="AK19" s="93"/>
      <c r="AL19" s="122">
        <f>IFERROR($AL$131*H19/$H$131,0)</f>
        <v>0</v>
      </c>
      <c r="AM19" s="93">
        <v>0</v>
      </c>
      <c r="AN19" s="94">
        <f t="shared" si="20"/>
        <v>0</v>
      </c>
      <c r="AO19" s="95">
        <f t="shared" si="21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2"/>
        <v>0</v>
      </c>
      <c r="AV19" s="98">
        <f t="array" ref="AV19">_xlfn.IFS(U19=0,AO19,U19&lt;0,AO19/-U19,U19&gt;0,AO19/U19)</f>
        <v>0</v>
      </c>
      <c r="AW19" s="234">
        <f t="shared" si="29"/>
        <v>0</v>
      </c>
      <c r="AX19" s="234">
        <f t="shared" si="30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7"/>
        <v>285</v>
      </c>
      <c r="F20" s="93">
        <v>18</v>
      </c>
      <c r="G20" s="93">
        <v>4</v>
      </c>
      <c r="H20" s="93">
        <v>121</v>
      </c>
      <c r="I20" s="93">
        <v>1</v>
      </c>
      <c r="J20" s="93">
        <v>141</v>
      </c>
      <c r="K20" s="93">
        <v>117.24</v>
      </c>
      <c r="L20" s="92">
        <f t="shared" si="31"/>
        <v>33413.4</v>
      </c>
      <c r="M20" s="89">
        <v>126</v>
      </c>
      <c r="N20" s="89">
        <v>28</v>
      </c>
      <c r="O20" s="89">
        <v>1201</v>
      </c>
      <c r="P20" s="89">
        <v>58</v>
      </c>
      <c r="Q20" s="233">
        <f t="shared" si="12"/>
        <v>4</v>
      </c>
      <c r="R20" s="92">
        <f t="shared" si="13"/>
        <v>1.2857142857142858</v>
      </c>
      <c r="S20" s="93">
        <v>9</v>
      </c>
      <c r="T20" s="93">
        <v>0</v>
      </c>
      <c r="U20" s="92">
        <f t="shared" si="14"/>
        <v>9</v>
      </c>
      <c r="V20" s="93">
        <v>7768</v>
      </c>
      <c r="W20" s="93">
        <v>0</v>
      </c>
      <c r="X20" s="92">
        <f t="shared" si="15"/>
        <v>7768</v>
      </c>
      <c r="Y20" s="93">
        <v>10781</v>
      </c>
      <c r="Z20" s="93">
        <v>0</v>
      </c>
      <c r="AA20" s="92">
        <f t="shared" si="16"/>
        <v>10781</v>
      </c>
      <c r="AB20" s="92">
        <f t="shared" si="17"/>
        <v>19504.240000000002</v>
      </c>
      <c r="AC20" s="234">
        <f>AA20/$AA$131</f>
        <v>4.3680184506784811E-3</v>
      </c>
      <c r="AD20" s="92">
        <f t="shared" si="18"/>
        <v>1055.1599999999999</v>
      </c>
      <c r="AE20" s="93">
        <v>4134.5999999999995</v>
      </c>
      <c r="AF20" s="234">
        <f t="shared" si="19"/>
        <v>0.383508023374455</v>
      </c>
      <c r="AG20" s="93">
        <v>960.07999999999981</v>
      </c>
      <c r="AH20" s="93"/>
      <c r="AI20" s="93">
        <v>55</v>
      </c>
      <c r="AJ20" s="93">
        <v>5445</v>
      </c>
      <c r="AK20" s="93"/>
      <c r="AL20" s="122">
        <f>IFERROR($AL$131*H20/$H$131,0)</f>
        <v>128.0103744524516</v>
      </c>
      <c r="AM20" s="93">
        <v>0</v>
      </c>
      <c r="AN20" s="94">
        <f t="shared" si="20"/>
        <v>443.55279999999999</v>
      </c>
      <c r="AO20" s="95">
        <f t="shared" si="21"/>
        <v>-1440.4031744524509</v>
      </c>
      <c r="AP20" s="96"/>
      <c r="AQ20" s="97">
        <f t="shared" si="5"/>
        <v>1197.8888888888889</v>
      </c>
      <c r="AR20" s="98">
        <f>K20</f>
        <v>117.24</v>
      </c>
      <c r="AS20" s="98">
        <f t="shared" si="7"/>
        <v>459.39999999999992</v>
      </c>
      <c r="AT20" s="98">
        <f t="shared" si="8"/>
        <v>106.67555555555553</v>
      </c>
      <c r="AU20" s="98">
        <f t="shared" si="22"/>
        <v>611.11111111111109</v>
      </c>
      <c r="AV20" s="98">
        <f t="array" ref="AV20">_xlfn.IFS(U20=0,AO20,U20&lt;0,AO20/-U20,U20&gt;0,AO20/U20)</f>
        <v>-160.04479716138343</v>
      </c>
      <c r="AW20" s="234">
        <f t="shared" si="29"/>
        <v>-0.13360571138599858</v>
      </c>
      <c r="AX20" s="234">
        <f t="shared" si="30"/>
        <v>-1.3651040358357509</v>
      </c>
      <c r="AY20" s="99"/>
      <c r="AZ20" s="94">
        <f t="shared" si="11"/>
        <v>-45612.76719099428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7"/>
        <v>292</v>
      </c>
      <c r="F21" s="93">
        <v>17</v>
      </c>
      <c r="G21" s="93">
        <v>4</v>
      </c>
      <c r="H21" s="93">
        <v>123</v>
      </c>
      <c r="I21" s="93">
        <v>1</v>
      </c>
      <c r="J21" s="93">
        <v>147</v>
      </c>
      <c r="K21" s="93">
        <v>117.24</v>
      </c>
      <c r="L21" s="92">
        <f t="shared" si="31"/>
        <v>34234.080000000002</v>
      </c>
      <c r="M21" s="89">
        <v>125</v>
      </c>
      <c r="N21" s="89">
        <v>28</v>
      </c>
      <c r="O21" s="89">
        <v>1201</v>
      </c>
      <c r="P21" s="89">
        <v>54</v>
      </c>
      <c r="Q21" s="233">
        <f t="shared" si="12"/>
        <v>4</v>
      </c>
      <c r="R21" s="92">
        <f t="shared" si="13"/>
        <v>1</v>
      </c>
      <c r="S21" s="93">
        <v>8</v>
      </c>
      <c r="T21" s="93">
        <v>-1</v>
      </c>
      <c r="U21" s="92">
        <f t="shared" si="14"/>
        <v>7</v>
      </c>
      <c r="V21" s="93">
        <v>6934.85</v>
      </c>
      <c r="W21" s="93">
        <v>-890</v>
      </c>
      <c r="X21" s="92">
        <f t="shared" si="15"/>
        <v>6044.85</v>
      </c>
      <c r="Y21" s="93">
        <v>9580.52</v>
      </c>
      <c r="Z21" s="93">
        <v>-1201</v>
      </c>
      <c r="AA21" s="92">
        <f t="shared" si="16"/>
        <v>8379.52</v>
      </c>
      <c r="AB21" s="92">
        <f t="shared" si="17"/>
        <v>18159.12</v>
      </c>
      <c r="AC21" s="234">
        <f>AA21/$AA$131</f>
        <v>3.395037377592927E-3</v>
      </c>
      <c r="AD21" s="92">
        <f t="shared" si="18"/>
        <v>820.68</v>
      </c>
      <c r="AE21" s="93">
        <v>3182.2900000000009</v>
      </c>
      <c r="AF21" s="234">
        <f t="shared" si="19"/>
        <v>0.37976996295730553</v>
      </c>
      <c r="AG21" s="93">
        <v>935.94999999999993</v>
      </c>
      <c r="AH21" s="93">
        <v>274</v>
      </c>
      <c r="AI21" s="93">
        <v>573</v>
      </c>
      <c r="AJ21" s="93">
        <v>4455</v>
      </c>
      <c r="AK21" s="93"/>
      <c r="AL21" s="122">
        <f>IFERROR($AL$131*H21/$H$131,0)</f>
        <v>130.12624841034338</v>
      </c>
      <c r="AM21" s="93">
        <v>0</v>
      </c>
      <c r="AN21" s="94">
        <f t="shared" si="20"/>
        <v>345.16093499999999</v>
      </c>
      <c r="AO21" s="95">
        <f t="shared" si="21"/>
        <v>-2336.687183410344</v>
      </c>
      <c r="AP21" s="96"/>
      <c r="AQ21" s="97">
        <f t="shared" si="5"/>
        <v>1197.0742857142857</v>
      </c>
      <c r="AR21" s="98">
        <f t="shared" ref="AR21:AR98" si="32">K21</f>
        <v>117.24</v>
      </c>
      <c r="AS21" s="98">
        <f t="shared" si="7"/>
        <v>454.61285714285725</v>
      </c>
      <c r="AT21" s="98">
        <f t="shared" si="8"/>
        <v>116.99374999999999</v>
      </c>
      <c r="AU21" s="98">
        <f t="shared" si="22"/>
        <v>662.75</v>
      </c>
      <c r="AV21" s="98">
        <f t="array" ref="AV21">_xlfn.IFS(U21=0,AO21,U21&lt;0,AO21/-U21,U21&gt;0,AO21/U21)</f>
        <v>-333.81245477290628</v>
      </c>
      <c r="AW21" s="234">
        <f t="shared" si="29"/>
        <v>-0.278856925385982</v>
      </c>
      <c r="AX21" s="234">
        <f t="shared" si="30"/>
        <v>-2.8472573760909783</v>
      </c>
      <c r="AY21" s="99"/>
      <c r="AZ21" s="94">
        <f t="shared" si="11"/>
        <v>-97473.236793688629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7"/>
        <v>276</v>
      </c>
      <c r="F22" s="93">
        <v>18</v>
      </c>
      <c r="G22" s="93">
        <v>3</v>
      </c>
      <c r="H22" s="93">
        <v>107</v>
      </c>
      <c r="I22" s="93">
        <v>1</v>
      </c>
      <c r="J22" s="93">
        <v>147</v>
      </c>
      <c r="K22" s="93">
        <v>117.24</v>
      </c>
      <c r="L22" s="92">
        <f t="shared" si="31"/>
        <v>32358.239999999998</v>
      </c>
      <c r="M22" s="89">
        <v>97</v>
      </c>
      <c r="N22" s="89">
        <v>31</v>
      </c>
      <c r="O22" s="89">
        <v>1201</v>
      </c>
      <c r="P22" s="89">
        <v>71</v>
      </c>
      <c r="Q22" s="233">
        <f t="shared" si="12"/>
        <v>4.4285714285714288</v>
      </c>
      <c r="R22" s="92">
        <f t="shared" si="13"/>
        <v>1.7142857142857142</v>
      </c>
      <c r="S22" s="93">
        <v>12</v>
      </c>
      <c r="T22" s="93">
        <v>0</v>
      </c>
      <c r="U22" s="92">
        <f t="shared" si="14"/>
        <v>12</v>
      </c>
      <c r="V22" s="93">
        <v>10342</v>
      </c>
      <c r="W22" s="93">
        <v>0</v>
      </c>
      <c r="X22" s="92">
        <f t="shared" si="15"/>
        <v>10342</v>
      </c>
      <c r="Y22" s="93">
        <v>14358</v>
      </c>
      <c r="Z22" s="93">
        <v>0</v>
      </c>
      <c r="AA22" s="92">
        <f t="shared" si="16"/>
        <v>14358</v>
      </c>
      <c r="AB22" s="92">
        <f t="shared" si="17"/>
        <v>26434.01</v>
      </c>
      <c r="AC22" s="234">
        <f>AA22/$AA$131</f>
        <v>5.8172719520305748E-3</v>
      </c>
      <c r="AD22" s="92">
        <f t="shared" si="18"/>
        <v>1406.8799999999999</v>
      </c>
      <c r="AE22" s="93">
        <v>5506.0399999999991</v>
      </c>
      <c r="AF22" s="234">
        <f t="shared" si="19"/>
        <v>0.38348237916144301</v>
      </c>
      <c r="AG22" s="93">
        <v>946.81</v>
      </c>
      <c r="AH22" s="93"/>
      <c r="AI22" s="93">
        <v>70</v>
      </c>
      <c r="AJ22" s="93">
        <v>6930</v>
      </c>
      <c r="AK22" s="93"/>
      <c r="AL22" s="122">
        <f>IFERROR($AL$131*H22/$H$131,0)</f>
        <v>113.19925674720928</v>
      </c>
      <c r="AM22" s="93">
        <v>0</v>
      </c>
      <c r="AN22" s="94">
        <f t="shared" si="20"/>
        <v>590.52819999999997</v>
      </c>
      <c r="AO22" s="95">
        <f t="shared" si="21"/>
        <v>-1205.4574567472068</v>
      </c>
      <c r="AP22" s="96"/>
      <c r="AQ22" s="97">
        <f t="shared" si="5"/>
        <v>1196.5</v>
      </c>
      <c r="AR22" s="98">
        <f t="shared" si="32"/>
        <v>117.24</v>
      </c>
      <c r="AS22" s="98">
        <f t="shared" si="7"/>
        <v>458.83666666666659</v>
      </c>
      <c r="AT22" s="98">
        <f t="shared" si="8"/>
        <v>78.900833333333324</v>
      </c>
      <c r="AU22" s="98">
        <f t="shared" si="22"/>
        <v>583.33333333333337</v>
      </c>
      <c r="AV22" s="98">
        <f t="array" ref="AV22">_xlfn.IFS(U22=0,AO22,U22&lt;0,AO22/-U22,U22&gt;0,AO22/U22)</f>
        <v>-100.45478806226724</v>
      </c>
      <c r="AW22" s="234">
        <f t="shared" si="29"/>
        <v>-8.395719854765335E-2</v>
      </c>
      <c r="AX22" s="234">
        <f t="shared" si="30"/>
        <v>-0.85683033147617915</v>
      </c>
      <c r="AY22" s="99"/>
      <c r="AZ22" s="94">
        <f t="shared" si="11"/>
        <v>-27725.521505185759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7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1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>AA23/$AA$131</f>
        <v>0</v>
      </c>
      <c r="AD23" s="92">
        <f t="shared" si="18"/>
        <v>0</v>
      </c>
      <c r="AE23" s="93">
        <v>0</v>
      </c>
      <c r="AF23" s="234">
        <f t="shared" si="19"/>
        <v>0</v>
      </c>
      <c r="AG23" s="93">
        <v>0</v>
      </c>
      <c r="AH23" s="93"/>
      <c r="AI23" s="93">
        <v>0</v>
      </c>
      <c r="AJ23" s="93">
        <v>0</v>
      </c>
      <c r="AK23" s="93"/>
      <c r="AL23" s="122">
        <f>IFERROR($AL$131*H23/$H$131,0)</f>
        <v>0</v>
      </c>
      <c r="AM23" s="93">
        <v>0</v>
      </c>
      <c r="AN23" s="94">
        <f t="shared" si="20"/>
        <v>0</v>
      </c>
      <c r="AO23" s="95">
        <f t="shared" si="21"/>
        <v>0</v>
      </c>
      <c r="AP23" s="96"/>
      <c r="AQ23" s="97">
        <f t="shared" si="5"/>
        <v>0</v>
      </c>
      <c r="AR23" s="98">
        <f t="shared" si="32"/>
        <v>117.24</v>
      </c>
      <c r="AS23" s="98">
        <f t="shared" si="7"/>
        <v>0</v>
      </c>
      <c r="AT23" s="98">
        <f t="shared" si="8"/>
        <v>0</v>
      </c>
      <c r="AU23" s="98">
        <f t="shared" si="22"/>
        <v>0</v>
      </c>
      <c r="AV23" s="98">
        <f t="array" ref="AV23">_xlfn.IFS(U23=0,AO23,U23&lt;0,AO23/-U23,U23&gt;0,AO23/U23)</f>
        <v>0</v>
      </c>
      <c r="AW23" s="234">
        <f t="shared" si="29"/>
        <v>0</v>
      </c>
      <c r="AX23" s="234">
        <f t="shared" si="30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7"/>
        <v>25</v>
      </c>
      <c r="F24" s="93">
        <v>3</v>
      </c>
      <c r="G24" s="93" t="s">
        <v>100</v>
      </c>
      <c r="H24" s="93">
        <v>20</v>
      </c>
      <c r="I24" s="93">
        <v>1</v>
      </c>
      <c r="J24" s="93">
        <v>1</v>
      </c>
      <c r="K24" s="93">
        <v>117.24</v>
      </c>
      <c r="L24" s="92">
        <f t="shared" si="31"/>
        <v>2931</v>
      </c>
      <c r="M24" s="89">
        <v>124</v>
      </c>
      <c r="N24" s="89">
        <v>4</v>
      </c>
      <c r="O24" s="89">
        <v>918</v>
      </c>
      <c r="P24" s="89">
        <v>100</v>
      </c>
      <c r="Q24" s="233">
        <f t="shared" si="12"/>
        <v>0.5714285714285714</v>
      </c>
      <c r="R24" s="92">
        <f t="shared" si="13"/>
        <v>0.2857142857142857</v>
      </c>
      <c r="S24" s="93">
        <v>2</v>
      </c>
      <c r="T24" s="93">
        <v>0</v>
      </c>
      <c r="U24" s="92">
        <f t="shared" si="14"/>
        <v>2</v>
      </c>
      <c r="V24" s="93">
        <v>1285</v>
      </c>
      <c r="W24" s="93">
        <v>0</v>
      </c>
      <c r="X24" s="92">
        <f t="shared" si="15"/>
        <v>1285</v>
      </c>
      <c r="Y24" s="93">
        <v>1793</v>
      </c>
      <c r="Z24" s="93">
        <v>0</v>
      </c>
      <c r="AA24" s="92">
        <f t="shared" si="16"/>
        <v>1793</v>
      </c>
      <c r="AB24" s="92">
        <f t="shared" si="17"/>
        <v>3672</v>
      </c>
      <c r="AC24" s="234">
        <f>AA24/$AA$131</f>
        <v>7.2644996587204488E-4</v>
      </c>
      <c r="AD24" s="92">
        <f t="shared" si="18"/>
        <v>234.48</v>
      </c>
      <c r="AE24" s="93">
        <v>683.42999999999984</v>
      </c>
      <c r="AF24" s="234">
        <f t="shared" si="19"/>
        <v>0.38116564417177906</v>
      </c>
      <c r="AG24" s="93">
        <v>96.04</v>
      </c>
      <c r="AH24" s="93"/>
      <c r="AI24" s="93">
        <v>0</v>
      </c>
      <c r="AJ24" s="93">
        <v>0</v>
      </c>
      <c r="AK24" s="93"/>
      <c r="AL24" s="122">
        <f>IFERROR($AL$131*H24/$H$131,0)</f>
        <v>21.158739578917622</v>
      </c>
      <c r="AM24" s="93">
        <v>0</v>
      </c>
      <c r="AN24" s="94">
        <f t="shared" si="20"/>
        <v>73.373499999999993</v>
      </c>
      <c r="AO24" s="95">
        <f t="shared" si="21"/>
        <v>684.51776042108247</v>
      </c>
      <c r="AP24" s="96"/>
      <c r="AQ24" s="97">
        <f t="shared" si="5"/>
        <v>896.5</v>
      </c>
      <c r="AR24" s="98">
        <f t="shared" si="32"/>
        <v>117.24</v>
      </c>
      <c r="AS24" s="98">
        <f t="shared" si="7"/>
        <v>341.71499999999992</v>
      </c>
      <c r="AT24" s="98">
        <f t="shared" si="8"/>
        <v>48.02</v>
      </c>
      <c r="AU24" s="98">
        <f t="shared" si="22"/>
        <v>0</v>
      </c>
      <c r="AV24" s="98">
        <f t="array" ref="AV24">_xlfn.IFS(U24=0,AO24,U24&lt;0,AO24/-U24,U24&gt;0,AO24/U24)</f>
        <v>342.25888021054124</v>
      </c>
      <c r="AW24" s="234">
        <f t="shared" si="29"/>
        <v>0.38177231479145701</v>
      </c>
      <c r="AX24" s="234">
        <f t="shared" si="30"/>
        <v>2.9193012641636069</v>
      </c>
      <c r="AY24" s="99"/>
      <c r="AZ24" s="94">
        <f t="shared" si="11"/>
        <v>8556.4720052635312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7"/>
        <v>6</v>
      </c>
      <c r="F25" s="93">
        <v>0</v>
      </c>
      <c r="G25" s="93">
        <v>0</v>
      </c>
      <c r="H25" s="93">
        <v>0</v>
      </c>
      <c r="I25" s="93">
        <v>1</v>
      </c>
      <c r="J25" s="93">
        <v>5</v>
      </c>
      <c r="K25" s="93">
        <v>117.24</v>
      </c>
      <c r="L25" s="92">
        <f t="shared" si="31"/>
        <v>703.43999999999994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>AA25/$AA$131</f>
        <v>0</v>
      </c>
      <c r="AD25" s="92">
        <f t="shared" si="18"/>
        <v>0</v>
      </c>
      <c r="AE25" s="93">
        <v>0</v>
      </c>
      <c r="AF25" s="234">
        <f t="shared" si="19"/>
        <v>0</v>
      </c>
      <c r="AG25" s="93">
        <v>0</v>
      </c>
      <c r="AH25" s="93"/>
      <c r="AI25" s="93">
        <v>0</v>
      </c>
      <c r="AJ25" s="93">
        <v>0</v>
      </c>
      <c r="AK25" s="93"/>
      <c r="AL25" s="122">
        <f>IFERROR($AL$131*H25/$H$131,0)</f>
        <v>0</v>
      </c>
      <c r="AM25" s="93">
        <v>0</v>
      </c>
      <c r="AN25" s="94">
        <f t="shared" si="20"/>
        <v>0</v>
      </c>
      <c r="AO25" s="95">
        <f t="shared" si="21"/>
        <v>0</v>
      </c>
      <c r="AP25" s="96"/>
      <c r="AQ25" s="97">
        <f t="shared" si="5"/>
        <v>0</v>
      </c>
      <c r="AR25" s="98">
        <f t="shared" si="32"/>
        <v>117.24</v>
      </c>
      <c r="AS25" s="98">
        <f t="shared" si="7"/>
        <v>0</v>
      </c>
      <c r="AT25" s="98">
        <f t="shared" si="8"/>
        <v>0</v>
      </c>
      <c r="AU25" s="98">
        <f t="shared" si="22"/>
        <v>0</v>
      </c>
      <c r="AV25" s="98">
        <f t="array" ref="AV25">_xlfn.IFS(U25=0,AO25,U25&lt;0,AO25/-U25,U25&gt;0,AO25/U25)</f>
        <v>0</v>
      </c>
      <c r="AW25" s="234">
        <f t="shared" si="29"/>
        <v>0</v>
      </c>
      <c r="AX25" s="234">
        <f t="shared" si="30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7"/>
        <v>771</v>
      </c>
      <c r="F26" s="93">
        <v>5</v>
      </c>
      <c r="G26" s="93">
        <v>1</v>
      </c>
      <c r="H26" s="93">
        <v>353</v>
      </c>
      <c r="I26" s="93">
        <v>376</v>
      </c>
      <c r="J26" s="93">
        <v>36</v>
      </c>
      <c r="K26" s="93">
        <v>123.09</v>
      </c>
      <c r="L26" s="92">
        <f t="shared" si="31"/>
        <v>94902.39</v>
      </c>
      <c r="M26" s="89">
        <v>999</v>
      </c>
      <c r="N26" s="89">
        <v>5</v>
      </c>
      <c r="O26" s="89">
        <v>1240</v>
      </c>
      <c r="P26" s="89">
        <v>50</v>
      </c>
      <c r="Q26" s="233">
        <f t="shared" si="12"/>
        <v>0.7142857142857143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4460</v>
      </c>
      <c r="W26" s="93">
        <v>0</v>
      </c>
      <c r="X26" s="92">
        <f t="shared" si="15"/>
        <v>4460</v>
      </c>
      <c r="Y26" s="93">
        <v>6200</v>
      </c>
      <c r="Z26" s="93">
        <v>0</v>
      </c>
      <c r="AA26" s="92">
        <f t="shared" si="16"/>
        <v>6200</v>
      </c>
      <c r="AB26" s="92">
        <f t="shared" si="17"/>
        <v>3100</v>
      </c>
      <c r="AC26" s="234">
        <f>AA26/$AA$131</f>
        <v>2.5119853811526372E-3</v>
      </c>
      <c r="AD26" s="92">
        <f t="shared" si="18"/>
        <v>615.45000000000005</v>
      </c>
      <c r="AE26" s="93">
        <v>2363.9000000000005</v>
      </c>
      <c r="AF26" s="234">
        <f t="shared" si="19"/>
        <v>0.38127419354838721</v>
      </c>
      <c r="AG26" s="93">
        <v>415.70000000000005</v>
      </c>
      <c r="AH26" s="93">
        <v>46</v>
      </c>
      <c r="AI26" s="93">
        <v>52</v>
      </c>
      <c r="AJ26" s="93">
        <v>0</v>
      </c>
      <c r="AK26" s="93"/>
      <c r="AL26" s="122">
        <f>IFERROR($AL$131*H26/$H$131,0)</f>
        <v>373.45175356789599</v>
      </c>
      <c r="AM26" s="93">
        <v>0</v>
      </c>
      <c r="AN26" s="94">
        <f t="shared" si="20"/>
        <v>254.666</v>
      </c>
      <c r="AO26" s="95">
        <f t="shared" si="21"/>
        <v>2078.8322464321036</v>
      </c>
      <c r="AP26" s="96"/>
      <c r="AQ26" s="97">
        <f t="shared" si="5"/>
        <v>1240</v>
      </c>
      <c r="AR26" s="98">
        <f t="shared" si="32"/>
        <v>123.09</v>
      </c>
      <c r="AS26" s="98">
        <f t="shared" si="7"/>
        <v>472.78000000000009</v>
      </c>
      <c r="AT26" s="98">
        <f t="shared" si="8"/>
        <v>83.140000000000015</v>
      </c>
      <c r="AU26" s="98">
        <f t="shared" si="22"/>
        <v>19.600000000000001</v>
      </c>
      <c r="AV26" s="98">
        <f t="array" ref="AV26">_xlfn.IFS(U26=0,AO26,U26&lt;0,AO26/-U26,U26&gt;0,AO26/U26)</f>
        <v>415.76644928642071</v>
      </c>
      <c r="AW26" s="234">
        <f t="shared" si="29"/>
        <v>0.33529552361808124</v>
      </c>
      <c r="AX26" s="234">
        <f t="shared" si="30"/>
        <v>3.3777435152036777</v>
      </c>
      <c r="AY26" s="99"/>
      <c r="AZ26" s="94">
        <f t="shared" si="11"/>
        <v>320555.93239983037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7"/>
        <v>701</v>
      </c>
      <c r="F27" s="93">
        <v>1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1"/>
        <v>127294.59</v>
      </c>
      <c r="M27" s="89">
        <v>8</v>
      </c>
      <c r="N27" s="89">
        <v>0</v>
      </c>
      <c r="O27" s="89">
        <v>0</v>
      </c>
      <c r="P27" s="89">
        <v>0</v>
      </c>
      <c r="Q27" s="233">
        <f t="shared" si="12"/>
        <v>0</v>
      </c>
      <c r="R27" s="92">
        <f t="shared" si="13"/>
        <v>0</v>
      </c>
      <c r="S27" s="93">
        <v>0</v>
      </c>
      <c r="T27" s="93">
        <v>0</v>
      </c>
      <c r="U27" s="92">
        <f t="shared" si="14"/>
        <v>0</v>
      </c>
      <c r="V27" s="93">
        <v>0</v>
      </c>
      <c r="W27" s="93">
        <v>0</v>
      </c>
      <c r="X27" s="92">
        <f t="shared" si="15"/>
        <v>0</v>
      </c>
      <c r="Y27" s="93">
        <v>0</v>
      </c>
      <c r="Z27" s="93">
        <v>0</v>
      </c>
      <c r="AA27" s="92">
        <f t="shared" si="16"/>
        <v>0</v>
      </c>
      <c r="AB27" s="92">
        <f t="shared" si="17"/>
        <v>0</v>
      </c>
      <c r="AC27" s="234">
        <f>AA27/$AA$131</f>
        <v>0</v>
      </c>
      <c r="AD27" s="92">
        <f t="shared" si="18"/>
        <v>0</v>
      </c>
      <c r="AE27" s="93">
        <v>0</v>
      </c>
      <c r="AF27" s="234">
        <f t="shared" si="19"/>
        <v>0</v>
      </c>
      <c r="AG27" s="93">
        <v>149.18</v>
      </c>
      <c r="AH27" s="93"/>
      <c r="AI27" s="93">
        <v>0</v>
      </c>
      <c r="AJ27" s="93">
        <v>0</v>
      </c>
      <c r="AK27" s="93"/>
      <c r="AL27" s="122">
        <f>IFERROR($AL$131*H27/$H$131,0)</f>
        <v>1.057936978945881</v>
      </c>
      <c r="AM27" s="93">
        <v>0</v>
      </c>
      <c r="AN27" s="94">
        <f t="shared" si="20"/>
        <v>0</v>
      </c>
      <c r="AO27" s="95">
        <f t="shared" si="21"/>
        <v>-150.2379369789459</v>
      </c>
      <c r="AP27" s="96"/>
      <c r="AQ27" s="97">
        <f t="shared" si="5"/>
        <v>0</v>
      </c>
      <c r="AR27" s="98">
        <f t="shared" si="32"/>
        <v>181.59</v>
      </c>
      <c r="AS27" s="98">
        <f t="shared" si="7"/>
        <v>0</v>
      </c>
      <c r="AT27" s="98">
        <f t="shared" si="8"/>
        <v>149.18</v>
      </c>
      <c r="AU27" s="98">
        <f t="shared" si="22"/>
        <v>0</v>
      </c>
      <c r="AV27" s="98">
        <f t="array" ref="AV27">_xlfn.IFS(U27=0,AO27,U27&lt;0,AO27/-U27,U27&gt;0,AO27/U27)</f>
        <v>-150.2379369789459</v>
      </c>
      <c r="AW27" s="234">
        <f t="shared" si="29"/>
        <v>0</v>
      </c>
      <c r="AX27" s="234">
        <f t="shared" si="30"/>
        <v>-0.82734697383636702</v>
      </c>
      <c r="AY27" s="99"/>
      <c r="AZ27" s="94">
        <f t="shared" si="11"/>
        <v>-105316.79382224107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3">SUM(F28:J28)</f>
        <v>790</v>
      </c>
      <c r="F28" s="93">
        <v>66</v>
      </c>
      <c r="G28" s="93">
        <v>17</v>
      </c>
      <c r="H28" s="93">
        <v>585</v>
      </c>
      <c r="I28" s="93">
        <v>0</v>
      </c>
      <c r="J28" s="93">
        <v>122</v>
      </c>
      <c r="K28" s="93">
        <v>133.62</v>
      </c>
      <c r="L28" s="92">
        <f t="shared" si="31"/>
        <v>105559.8</v>
      </c>
      <c r="M28" s="89">
        <v>199</v>
      </c>
      <c r="N28" s="89">
        <v>86</v>
      </c>
      <c r="O28" s="89">
        <v>1499</v>
      </c>
      <c r="P28" s="89">
        <v>31</v>
      </c>
      <c r="Q28" s="233">
        <f t="shared" si="12"/>
        <v>12.285714285714286</v>
      </c>
      <c r="R28" s="92">
        <f t="shared" si="13"/>
        <v>2.8571428571428572</v>
      </c>
      <c r="S28" s="93">
        <v>20</v>
      </c>
      <c r="T28" s="93">
        <v>0</v>
      </c>
      <c r="U28" s="92">
        <f t="shared" si="14"/>
        <v>20</v>
      </c>
      <c r="V28" s="93">
        <v>21721.59</v>
      </c>
      <c r="W28" s="93">
        <v>0</v>
      </c>
      <c r="X28" s="92">
        <f t="shared" si="15"/>
        <v>21721.59</v>
      </c>
      <c r="Y28" s="93">
        <v>30167.8</v>
      </c>
      <c r="Z28" s="93">
        <v>0</v>
      </c>
      <c r="AA28" s="92">
        <f t="shared" si="16"/>
        <v>30167.8</v>
      </c>
      <c r="AB28" s="92">
        <f t="shared" si="17"/>
        <v>39963.339999999997</v>
      </c>
      <c r="AC28" s="234">
        <f>AA28/$AA$131</f>
        <v>1.2222753642183311E-2</v>
      </c>
      <c r="AD28" s="92">
        <f t="shared" si="18"/>
        <v>2672.4</v>
      </c>
      <c r="AE28" s="93">
        <v>11513.869999999999</v>
      </c>
      <c r="AF28" s="234">
        <f t="shared" si="19"/>
        <v>0.38166090997686275</v>
      </c>
      <c r="AG28" s="93">
        <v>6022.4500000000044</v>
      </c>
      <c r="AH28" s="93"/>
      <c r="AI28" s="93">
        <v>377</v>
      </c>
      <c r="AJ28" s="93">
        <v>5258</v>
      </c>
      <c r="AK28" s="93"/>
      <c r="AL28" s="122">
        <f>IFERROR($AL$131*H28/$H$131,0)</f>
        <v>618.89313268334047</v>
      </c>
      <c r="AM28" s="93">
        <v>0</v>
      </c>
      <c r="AN28" s="94">
        <f t="shared" si="20"/>
        <v>1240.3027890000001</v>
      </c>
      <c r="AO28" s="95">
        <f t="shared" si="21"/>
        <v>2464.8840783166543</v>
      </c>
      <c r="AP28" s="96"/>
      <c r="AQ28" s="97">
        <f t="shared" si="5"/>
        <v>1508.3899999999999</v>
      </c>
      <c r="AR28" s="98">
        <f t="shared" si="32"/>
        <v>133.62</v>
      </c>
      <c r="AS28" s="98">
        <f t="shared" si="7"/>
        <v>575.69349999999997</v>
      </c>
      <c r="AT28" s="98">
        <f t="shared" si="8"/>
        <v>301.12250000000023</v>
      </c>
      <c r="AU28" s="98">
        <f t="shared" si="22"/>
        <v>281.75</v>
      </c>
      <c r="AV28" s="98">
        <f>_xlfn.IFS(U28=0,AO28,U28&lt;0,AO28/-U28,U28&gt;0,AO28/U28)</f>
        <v>123.24420391583271</v>
      </c>
      <c r="AW28" s="234">
        <f t="shared" si="29"/>
        <v>8.1705794864612422E-2</v>
      </c>
      <c r="AX28" s="234">
        <f t="shared" si="30"/>
        <v>0.92234848013645199</v>
      </c>
      <c r="AY28" s="99"/>
      <c r="AZ28" s="94">
        <f t="shared" si="11"/>
        <v>97362.921093507844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>AA29/$AA$131</f>
        <v>0</v>
      </c>
      <c r="AD29" s="92">
        <f t="shared" si="18"/>
        <v>0</v>
      </c>
      <c r="AE29" s="93">
        <v>0</v>
      </c>
      <c r="AF29" s="234">
        <f t="shared" si="19"/>
        <v>0</v>
      </c>
      <c r="AG29" s="93">
        <v>0</v>
      </c>
      <c r="AH29" s="93"/>
      <c r="AI29" s="93">
        <v>0</v>
      </c>
      <c r="AJ29" s="93">
        <v>0</v>
      </c>
      <c r="AK29" s="93"/>
      <c r="AL29" s="122">
        <f>IFERROR($AL$131*H29/$H$131,0)</f>
        <v>0</v>
      </c>
      <c r="AM29" s="93">
        <v>0</v>
      </c>
      <c r="AN29" s="94">
        <f t="shared" si="20"/>
        <v>0</v>
      </c>
      <c r="AO29" s="95">
        <f t="shared" si="21"/>
        <v>0</v>
      </c>
      <c r="AP29" s="96"/>
      <c r="AQ29" s="97">
        <f t="shared" si="5"/>
        <v>0</v>
      </c>
      <c r="AR29" s="98">
        <f t="shared" si="32"/>
        <v>111.39</v>
      </c>
      <c r="AS29" s="98">
        <f t="shared" si="7"/>
        <v>0</v>
      </c>
      <c r="AT29" s="98">
        <f t="shared" si="8"/>
        <v>0</v>
      </c>
      <c r="AU29" s="98">
        <f t="shared" si="22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>AA30/$AA$131</f>
        <v>0</v>
      </c>
      <c r="AD30" s="92">
        <f t="shared" si="18"/>
        <v>0</v>
      </c>
      <c r="AE30" s="93">
        <v>0</v>
      </c>
      <c r="AF30" s="234">
        <f t="shared" si="19"/>
        <v>0</v>
      </c>
      <c r="AG30" s="93">
        <v>0</v>
      </c>
      <c r="AH30" s="93"/>
      <c r="AI30" s="93">
        <v>0</v>
      </c>
      <c r="AJ30" s="93">
        <v>0</v>
      </c>
      <c r="AK30" s="93"/>
      <c r="AL30" s="122">
        <f>IFERROR($AL$131*H30/$H$131,0)</f>
        <v>0</v>
      </c>
      <c r="AM30" s="93">
        <v>0</v>
      </c>
      <c r="AN30" s="94">
        <f t="shared" si="20"/>
        <v>0</v>
      </c>
      <c r="AO30" s="95">
        <f t="shared" si="21"/>
        <v>0</v>
      </c>
      <c r="AP30" s="96"/>
      <c r="AQ30" s="97">
        <f t="shared" si="5"/>
        <v>0</v>
      </c>
      <c r="AR30" s="98">
        <f t="shared" si="32"/>
        <v>111.39</v>
      </c>
      <c r="AS30" s="98">
        <f t="shared" si="7"/>
        <v>0</v>
      </c>
      <c r="AT30" s="98">
        <f t="shared" si="8"/>
        <v>0</v>
      </c>
      <c r="AU30" s="98">
        <f t="shared" si="22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>AA31/$AA$131</f>
        <v>0</v>
      </c>
      <c r="AD31" s="92">
        <f t="shared" si="18"/>
        <v>0</v>
      </c>
      <c r="AE31" s="93">
        <v>0</v>
      </c>
      <c r="AF31" s="234">
        <f t="shared" si="19"/>
        <v>0</v>
      </c>
      <c r="AG31" s="93">
        <v>0</v>
      </c>
      <c r="AH31" s="93"/>
      <c r="AI31" s="93">
        <v>0</v>
      </c>
      <c r="AJ31" s="93">
        <v>0</v>
      </c>
      <c r="AK31" s="93"/>
      <c r="AL31" s="122">
        <f>IFERROR($AL$131*H31/$H$131,0)</f>
        <v>0</v>
      </c>
      <c r="AM31" s="93">
        <v>0</v>
      </c>
      <c r="AN31" s="94">
        <f t="shared" si="20"/>
        <v>0</v>
      </c>
      <c r="AO31" s="95">
        <f t="shared" si="21"/>
        <v>0</v>
      </c>
      <c r="AP31" s="96"/>
      <c r="AQ31" s="97">
        <f t="shared" si="5"/>
        <v>0</v>
      </c>
      <c r="AR31" s="98">
        <f t="shared" si="32"/>
        <v>105.54</v>
      </c>
      <c r="AS31" s="98">
        <f t="shared" si="7"/>
        <v>0</v>
      </c>
      <c r="AT31" s="98">
        <f t="shared" si="8"/>
        <v>0</v>
      </c>
      <c r="AU31" s="98">
        <f t="shared" si="22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4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5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>AA32/$AA$131</f>
        <v>0</v>
      </c>
      <c r="AD32" s="92">
        <f t="shared" si="18"/>
        <v>0</v>
      </c>
      <c r="AE32" s="93">
        <v>0</v>
      </c>
      <c r="AF32" s="234">
        <f t="shared" si="19"/>
        <v>0</v>
      </c>
      <c r="AG32" s="93">
        <v>0</v>
      </c>
      <c r="AH32" s="93"/>
      <c r="AI32" s="93">
        <v>0</v>
      </c>
      <c r="AJ32" s="93">
        <v>0</v>
      </c>
      <c r="AK32" s="93"/>
      <c r="AL32" s="122">
        <f>IFERROR($AL$131*H32/$H$131,0)</f>
        <v>0</v>
      </c>
      <c r="AM32" s="93">
        <v>0</v>
      </c>
      <c r="AN32" s="94">
        <f t="shared" si="20"/>
        <v>0</v>
      </c>
      <c r="AO32" s="95">
        <f t="shared" si="21"/>
        <v>0</v>
      </c>
      <c r="AP32" s="96"/>
      <c r="AQ32" s="97">
        <f t="shared" si="5"/>
        <v>0</v>
      </c>
      <c r="AR32" s="98">
        <f t="shared" si="32"/>
        <v>140.63999999999999</v>
      </c>
      <c r="AS32" s="98">
        <f t="shared" si="7"/>
        <v>0</v>
      </c>
      <c r="AT32" s="98">
        <f t="shared" si="8"/>
        <v>0</v>
      </c>
      <c r="AU32" s="98">
        <f t="shared" si="22"/>
        <v>0</v>
      </c>
      <c r="AV32" s="98">
        <f t="array" ref="AV32">_xlfn.IFS(U32=0,AO32,U32&lt;0,AO32/-U32,U32&gt;0,AO32/U32)</f>
        <v>0</v>
      </c>
      <c r="AW32" s="234">
        <f t="shared" ref="AW32" si="36">IF(AQ32=0,0,AV32/AQ32)</f>
        <v>0</v>
      </c>
      <c r="AX32" s="234">
        <f t="shared" ref="AX32" si="37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251</v>
      </c>
      <c r="F33" s="93">
        <v>5</v>
      </c>
      <c r="G33" s="93">
        <v>5</v>
      </c>
      <c r="H33" s="93">
        <v>100</v>
      </c>
      <c r="I33" s="93">
        <v>20</v>
      </c>
      <c r="J33" s="93">
        <v>121</v>
      </c>
      <c r="K33" s="93">
        <v>123.09</v>
      </c>
      <c r="L33" s="92">
        <f>E33*K33</f>
        <v>30895.59</v>
      </c>
      <c r="M33" s="89">
        <v>217</v>
      </c>
      <c r="N33" s="89">
        <v>7</v>
      </c>
      <c r="O33" s="89">
        <v>1300</v>
      </c>
      <c r="P33" s="89">
        <v>25</v>
      </c>
      <c r="Q33" s="233">
        <f t="shared" si="12"/>
        <v>1</v>
      </c>
      <c r="R33" s="92">
        <f t="shared" si="13"/>
        <v>0.8571428571428571</v>
      </c>
      <c r="S33" s="93">
        <v>6</v>
      </c>
      <c r="T33" s="93">
        <v>0</v>
      </c>
      <c r="U33" s="92">
        <f t="shared" si="14"/>
        <v>6</v>
      </c>
      <c r="V33" s="93">
        <v>5540</v>
      </c>
      <c r="W33" s="93">
        <v>0</v>
      </c>
      <c r="X33" s="92">
        <f t="shared" si="15"/>
        <v>5540</v>
      </c>
      <c r="Y33" s="93">
        <v>7800</v>
      </c>
      <c r="Z33" s="93">
        <v>0</v>
      </c>
      <c r="AA33" s="92">
        <f t="shared" si="16"/>
        <v>7800</v>
      </c>
      <c r="AB33" s="92">
        <f t="shared" si="17"/>
        <v>2275</v>
      </c>
      <c r="AC33" s="234">
        <f>AA33/$AA$131</f>
        <v>3.1602396730629951E-3</v>
      </c>
      <c r="AD33" s="92">
        <f t="shared" si="18"/>
        <v>738.54</v>
      </c>
      <c r="AE33" s="93">
        <v>2971.0999999999995</v>
      </c>
      <c r="AF33" s="234">
        <f t="shared" si="19"/>
        <v>0.38091025641025633</v>
      </c>
      <c r="AG33" s="93">
        <v>976.2</v>
      </c>
      <c r="AH33" s="93"/>
      <c r="AI33" s="93">
        <v>20</v>
      </c>
      <c r="AJ33" s="93">
        <v>1775</v>
      </c>
      <c r="AK33" s="93"/>
      <c r="AL33" s="122">
        <f>IFERROR($AL$131*H33/$H$131,0)</f>
        <v>105.79369789458811</v>
      </c>
      <c r="AM33" s="93">
        <v>0</v>
      </c>
      <c r="AN33" s="94">
        <f t="shared" si="20"/>
        <v>316.334</v>
      </c>
      <c r="AO33" s="95">
        <f t="shared" si="21"/>
        <v>897.03230210541255</v>
      </c>
      <c r="AP33" s="96"/>
      <c r="AQ33" s="97">
        <f t="shared" si="5"/>
        <v>1300</v>
      </c>
      <c r="AR33" s="98">
        <f t="shared" si="32"/>
        <v>123.09</v>
      </c>
      <c r="AS33" s="98">
        <f t="shared" si="7"/>
        <v>495.18333333333322</v>
      </c>
      <c r="AT33" s="98">
        <f t="shared" si="8"/>
        <v>162.70000000000002</v>
      </c>
      <c r="AU33" s="98">
        <f t="shared" si="22"/>
        <v>299.16666666666669</v>
      </c>
      <c r="AV33" s="98">
        <f t="array" ref="AV33">_xlfn.IFS(U33=0,AO33,U33&lt;0,AO33/-U33,U33&gt;0,AO33/U33)</f>
        <v>149.50538368423543</v>
      </c>
      <c r="AW33" s="234">
        <f>IF(AQ33=0,0,AV33/AQ33)</f>
        <v>0.11500414129556571</v>
      </c>
      <c r="AX33" s="234">
        <f>IF(AR33=0,0,AV33/AR33)</f>
        <v>1.2146021909516242</v>
      </c>
      <c r="AY33" s="99"/>
      <c r="AZ33" s="94">
        <f t="shared" si="11"/>
        <v>37525.85130474309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2"/>
        <v>0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>AA34/$AA$131</f>
        <v>0</v>
      </c>
      <c r="AD34" s="92">
        <f t="shared" si="18"/>
        <v>0</v>
      </c>
      <c r="AE34" s="93">
        <v>0</v>
      </c>
      <c r="AF34" s="234">
        <f t="shared" si="19"/>
        <v>0</v>
      </c>
      <c r="AG34" s="93">
        <v>0</v>
      </c>
      <c r="AH34" s="93"/>
      <c r="AI34" s="93">
        <v>0</v>
      </c>
      <c r="AJ34" s="93">
        <v>0</v>
      </c>
      <c r="AK34" s="93"/>
      <c r="AL34" s="122">
        <f>IFERROR($AL$131*H34/$H$131,0)</f>
        <v>0</v>
      </c>
      <c r="AM34" s="93">
        <v>0</v>
      </c>
      <c r="AN34" s="94">
        <f t="shared" si="20"/>
        <v>0</v>
      </c>
      <c r="AO34" s="95">
        <f t="shared" si="21"/>
        <v>0</v>
      </c>
      <c r="AP34" s="96"/>
      <c r="AQ34" s="97">
        <f t="shared" si="5"/>
        <v>0</v>
      </c>
      <c r="AR34" s="98">
        <f t="shared" si="32"/>
        <v>117.24</v>
      </c>
      <c r="AS34" s="98">
        <f t="shared" si="7"/>
        <v>0</v>
      </c>
      <c r="AT34" s="98">
        <f t="shared" si="8"/>
        <v>0</v>
      </c>
      <c r="AU34" s="98">
        <f t="shared" si="22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1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8">SUM(F35:J35)</f>
        <v>46</v>
      </c>
      <c r="F35" s="93">
        <v>0</v>
      </c>
      <c r="G35" s="93">
        <v>0</v>
      </c>
      <c r="H35" s="93">
        <v>0</v>
      </c>
      <c r="I35" s="93">
        <v>0</v>
      </c>
      <c r="J35" s="93">
        <v>46</v>
      </c>
      <c r="K35" s="93">
        <v>128.94</v>
      </c>
      <c r="L35" s="92">
        <f t="shared" ref="L35:L98" si="39">E35*K35</f>
        <v>5931.24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>AA35/$AA$131</f>
        <v>0</v>
      </c>
      <c r="AD35" s="92">
        <f t="shared" si="18"/>
        <v>0</v>
      </c>
      <c r="AE35" s="93">
        <v>0</v>
      </c>
      <c r="AF35" s="234">
        <f t="shared" si="19"/>
        <v>0</v>
      </c>
      <c r="AG35" s="93">
        <v>0</v>
      </c>
      <c r="AH35" s="93"/>
      <c r="AI35" s="93">
        <v>0</v>
      </c>
      <c r="AJ35" s="93">
        <v>0</v>
      </c>
      <c r="AK35" s="93"/>
      <c r="AL35" s="122">
        <f>IFERROR($AL$131*H35/$H$131,0)</f>
        <v>0</v>
      </c>
      <c r="AM35" s="93">
        <v>0</v>
      </c>
      <c r="AN35" s="94">
        <f t="shared" si="20"/>
        <v>0</v>
      </c>
      <c r="AO35" s="95">
        <f t="shared" si="21"/>
        <v>0</v>
      </c>
      <c r="AP35" s="96"/>
      <c r="AQ35" s="97">
        <f t="shared" si="5"/>
        <v>0</v>
      </c>
      <c r="AR35" s="98">
        <f t="shared" si="32"/>
        <v>128.94</v>
      </c>
      <c r="AS35" s="98">
        <f t="shared" si="7"/>
        <v>0</v>
      </c>
      <c r="AT35" s="98">
        <f t="shared" si="8"/>
        <v>0</v>
      </c>
      <c r="AU35" s="98">
        <f t="shared" si="22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8"/>
        <v>42</v>
      </c>
      <c r="F36" s="93">
        <v>0</v>
      </c>
      <c r="G36" s="93">
        <v>0</v>
      </c>
      <c r="H36" s="93">
        <v>0</v>
      </c>
      <c r="I36" s="93">
        <v>0</v>
      </c>
      <c r="J36" s="93">
        <v>42</v>
      </c>
      <c r="K36" s="93">
        <v>169.89</v>
      </c>
      <c r="L36" s="92">
        <f t="shared" si="39"/>
        <v>7135.3799999999992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>AA36/$AA$131</f>
        <v>0</v>
      </c>
      <c r="AD36" s="92">
        <f t="shared" si="18"/>
        <v>0</v>
      </c>
      <c r="AE36" s="93">
        <v>0</v>
      </c>
      <c r="AF36" s="234">
        <f t="shared" si="19"/>
        <v>0</v>
      </c>
      <c r="AG36" s="93">
        <v>0</v>
      </c>
      <c r="AH36" s="93"/>
      <c r="AI36" s="93">
        <v>0</v>
      </c>
      <c r="AJ36" s="93">
        <v>0</v>
      </c>
      <c r="AK36" s="93"/>
      <c r="AL36" s="122">
        <f>IFERROR($AL$131*H36/$H$131,0)</f>
        <v>0</v>
      </c>
      <c r="AM36" s="93">
        <v>0</v>
      </c>
      <c r="AN36" s="94">
        <f t="shared" si="20"/>
        <v>0</v>
      </c>
      <c r="AO36" s="95">
        <f t="shared" si="21"/>
        <v>0</v>
      </c>
      <c r="AP36" s="96"/>
      <c r="AQ36" s="97">
        <f t="shared" si="5"/>
        <v>0</v>
      </c>
      <c r="AR36" s="98">
        <f t="shared" si="32"/>
        <v>169.89</v>
      </c>
      <c r="AS36" s="98">
        <f t="shared" si="7"/>
        <v>0</v>
      </c>
      <c r="AT36" s="98">
        <f t="shared" si="8"/>
        <v>0</v>
      </c>
      <c r="AU36" s="98">
        <f t="shared" si="22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8"/>
        <v>28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27</v>
      </c>
      <c r="K37" s="93">
        <v>169.89</v>
      </c>
      <c r="L37" s="92">
        <f t="shared" si="39"/>
        <v>4756.92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2"/>
        <v>0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>AA37/$AA$131</f>
        <v>0</v>
      </c>
      <c r="AD37" s="92">
        <f t="shared" si="18"/>
        <v>0</v>
      </c>
      <c r="AE37" s="93">
        <v>0</v>
      </c>
      <c r="AF37" s="234">
        <f t="shared" si="19"/>
        <v>0</v>
      </c>
      <c r="AG37" s="93">
        <v>86.84</v>
      </c>
      <c r="AH37" s="93"/>
      <c r="AI37" s="93">
        <v>0</v>
      </c>
      <c r="AJ37" s="93">
        <v>0</v>
      </c>
      <c r="AK37" s="93"/>
      <c r="AL37" s="122">
        <f>IFERROR($AL$131*H37/$H$131,0)</f>
        <v>1.057936978945881</v>
      </c>
      <c r="AM37" s="93">
        <v>0</v>
      </c>
      <c r="AN37" s="94">
        <f t="shared" si="20"/>
        <v>0</v>
      </c>
      <c r="AO37" s="95">
        <f t="shared" si="21"/>
        <v>-87.897936978945879</v>
      </c>
      <c r="AP37" s="96"/>
      <c r="AQ37" s="97">
        <f t="shared" si="5"/>
        <v>0</v>
      </c>
      <c r="AR37" s="98">
        <f t="shared" si="32"/>
        <v>169.89</v>
      </c>
      <c r="AS37" s="98">
        <f t="shared" si="7"/>
        <v>0</v>
      </c>
      <c r="AT37" s="98">
        <f t="shared" si="8"/>
        <v>86.84</v>
      </c>
      <c r="AU37" s="98">
        <f t="shared" si="22"/>
        <v>0</v>
      </c>
      <c r="AV37" s="98">
        <f t="array" ref="AV37">_xlfn.IFS(U37=0,AO37,U37&lt;0,AO37/-U37,U37&gt;0,AO37/U37)</f>
        <v>-87.897936978945879</v>
      </c>
      <c r="AW37" s="234">
        <f t="shared" si="40"/>
        <v>0</v>
      </c>
      <c r="AX37" s="234">
        <f t="shared" si="41"/>
        <v>-0.51738146435308663</v>
      </c>
      <c r="AY37" s="99"/>
      <c r="AZ37" s="94">
        <f t="shared" si="11"/>
        <v>-2461.1422354104848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8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39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2"/>
        <v>0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>AA38/$AA$131</f>
        <v>0</v>
      </c>
      <c r="AD38" s="92">
        <f t="shared" si="18"/>
        <v>0</v>
      </c>
      <c r="AE38" s="93">
        <v>0</v>
      </c>
      <c r="AF38" s="234">
        <f t="shared" si="19"/>
        <v>0</v>
      </c>
      <c r="AG38" s="93">
        <v>0</v>
      </c>
      <c r="AH38" s="93"/>
      <c r="AI38" s="93">
        <v>0</v>
      </c>
      <c r="AJ38" s="93">
        <v>0</v>
      </c>
      <c r="AK38" s="93"/>
      <c r="AL38" s="122">
        <f>IFERROR($AL$131*H38/$H$131,0)</f>
        <v>45.491290094672891</v>
      </c>
      <c r="AM38" s="93">
        <v>0</v>
      </c>
      <c r="AN38" s="94">
        <f t="shared" si="20"/>
        <v>0</v>
      </c>
      <c r="AO38" s="95">
        <f t="shared" si="21"/>
        <v>-45.491290094672891</v>
      </c>
      <c r="AP38" s="96"/>
      <c r="AQ38" s="97">
        <f t="shared" si="5"/>
        <v>0</v>
      </c>
      <c r="AR38" s="98">
        <f t="shared" si="32"/>
        <v>105.54</v>
      </c>
      <c r="AS38" s="98">
        <f t="shared" si="7"/>
        <v>0</v>
      </c>
      <c r="AT38" s="98">
        <f t="shared" si="8"/>
        <v>0</v>
      </c>
      <c r="AU38" s="98">
        <f t="shared" si="22"/>
        <v>0</v>
      </c>
      <c r="AV38" s="98">
        <f t="array" ref="AV38">_xlfn.IFS(U38=0,AO38,U38&lt;0,AO38/-U38,U38&gt;0,AO38/U38)</f>
        <v>-45.491290094672891</v>
      </c>
      <c r="AW38" s="234">
        <f t="shared" si="40"/>
        <v>0</v>
      </c>
      <c r="AX38" s="234">
        <f t="shared" si="41"/>
        <v>-0.43103363743294382</v>
      </c>
      <c r="AY38" s="99"/>
      <c r="AZ38" s="94">
        <f t="shared" si="11"/>
        <v>-2001.6167641656073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8"/>
        <v>9</v>
      </c>
      <c r="F39" s="93">
        <v>2</v>
      </c>
      <c r="G39" s="93">
        <v>1</v>
      </c>
      <c r="H39" s="93">
        <v>5</v>
      </c>
      <c r="I39" s="93">
        <v>0</v>
      </c>
      <c r="J39" s="93">
        <v>1</v>
      </c>
      <c r="K39" s="92">
        <v>105.54</v>
      </c>
      <c r="L39" s="92">
        <f t="shared" si="39"/>
        <v>949.86</v>
      </c>
      <c r="M39" s="89">
        <v>999</v>
      </c>
      <c r="N39" s="89">
        <v>3</v>
      </c>
      <c r="O39" s="89">
        <v>1077</v>
      </c>
      <c r="P39" s="89">
        <v>100</v>
      </c>
      <c r="Q39" s="233">
        <f t="shared" si="12"/>
        <v>0.42857142857142855</v>
      </c>
      <c r="R39" s="92">
        <f t="shared" si="13"/>
        <v>0.14285714285714285</v>
      </c>
      <c r="S39" s="93">
        <v>1</v>
      </c>
      <c r="T39" s="93">
        <v>0</v>
      </c>
      <c r="U39" s="92">
        <f t="shared" si="14"/>
        <v>1</v>
      </c>
      <c r="V39" s="93">
        <v>764</v>
      </c>
      <c r="W39" s="93">
        <v>0</v>
      </c>
      <c r="X39" s="92">
        <f t="shared" si="15"/>
        <v>764</v>
      </c>
      <c r="Y39" s="93">
        <v>1077</v>
      </c>
      <c r="Z39" s="93">
        <v>0</v>
      </c>
      <c r="AA39" s="92">
        <f t="shared" si="16"/>
        <v>1077</v>
      </c>
      <c r="AB39" s="92">
        <f t="shared" si="17"/>
        <v>3231</v>
      </c>
      <c r="AC39" s="234">
        <f>AA39/$AA$131</f>
        <v>4.3635617024215972E-4</v>
      </c>
      <c r="AD39" s="92">
        <f t="shared" si="18"/>
        <v>105.54</v>
      </c>
      <c r="AE39" s="93">
        <v>410.20000000000005</v>
      </c>
      <c r="AF39" s="234">
        <f t="shared" si="19"/>
        <v>0.38087279480037145</v>
      </c>
      <c r="AG39" s="93">
        <v>135.31</v>
      </c>
      <c r="AH39" s="93"/>
      <c r="AI39" s="93">
        <v>0</v>
      </c>
      <c r="AJ39" s="93">
        <v>0</v>
      </c>
      <c r="AK39" s="93"/>
      <c r="AL39" s="122">
        <f>IFERROR($AL$131*H39/$H$131,0)</f>
        <v>5.2896848947294055</v>
      </c>
      <c r="AM39" s="93">
        <v>0</v>
      </c>
      <c r="AN39" s="94">
        <f t="shared" si="20"/>
        <v>43.624400000000001</v>
      </c>
      <c r="AO39" s="95">
        <f t="shared" si="21"/>
        <v>377.03591510527059</v>
      </c>
      <c r="AP39" s="96"/>
      <c r="AQ39" s="97">
        <f t="shared" si="5"/>
        <v>1077</v>
      </c>
      <c r="AR39" s="98">
        <f t="shared" si="32"/>
        <v>105.54</v>
      </c>
      <c r="AS39" s="98">
        <f t="shared" si="7"/>
        <v>410.20000000000005</v>
      </c>
      <c r="AT39" s="98">
        <f t="shared" si="8"/>
        <v>135.31</v>
      </c>
      <c r="AU39" s="98">
        <f t="shared" si="22"/>
        <v>0</v>
      </c>
      <c r="AV39" s="98">
        <f t="array" ref="AV39">_xlfn.IFS(U39=0,AO39,U39&lt;0,AO39/-U39,U39&gt;0,AO39/U39)</f>
        <v>377.03591510527059</v>
      </c>
      <c r="AW39" s="234">
        <f t="shared" si="40"/>
        <v>0.35007977261399315</v>
      </c>
      <c r="AX39" s="234">
        <f t="shared" si="41"/>
        <v>3.5724456614105606</v>
      </c>
      <c r="AY39" s="99"/>
      <c r="AZ39" s="94">
        <f t="shared" si="11"/>
        <v>3393.3232359474355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8"/>
        <v>29</v>
      </c>
      <c r="F40" s="93" t="s">
        <v>100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39"/>
        <v>3060.6600000000003</v>
      </c>
      <c r="M40" s="89">
        <v>999</v>
      </c>
      <c r="N40" s="89">
        <v>0</v>
      </c>
      <c r="O40" s="89">
        <v>0</v>
      </c>
      <c r="P40" s="89">
        <v>0</v>
      </c>
      <c r="Q40" s="233">
        <f t="shared" si="12"/>
        <v>0</v>
      </c>
      <c r="R40" s="92">
        <f t="shared" si="13"/>
        <v>0.14285714285714285</v>
      </c>
      <c r="S40" s="93">
        <v>1</v>
      </c>
      <c r="T40" s="93">
        <v>0</v>
      </c>
      <c r="U40" s="92">
        <f t="shared" si="14"/>
        <v>1</v>
      </c>
      <c r="V40" s="93">
        <v>888</v>
      </c>
      <c r="W40" s="93">
        <v>0</v>
      </c>
      <c r="X40" s="92">
        <f t="shared" si="15"/>
        <v>888</v>
      </c>
      <c r="Y40" s="93">
        <v>1197</v>
      </c>
      <c r="Z40" s="93">
        <v>0</v>
      </c>
      <c r="AA40" s="92">
        <f t="shared" si="16"/>
        <v>1197</v>
      </c>
      <c r="AB40" s="92">
        <f t="shared" si="17"/>
        <v>0</v>
      </c>
      <c r="AC40" s="234">
        <f>AA40/$AA$131</f>
        <v>4.849752421354366E-4</v>
      </c>
      <c r="AD40" s="92">
        <f t="shared" si="18"/>
        <v>105.54</v>
      </c>
      <c r="AE40" s="93">
        <v>465.27</v>
      </c>
      <c r="AF40" s="234">
        <f t="shared" si="19"/>
        <v>0.3886967418546366</v>
      </c>
      <c r="AG40" s="93">
        <v>59.55</v>
      </c>
      <c r="AH40" s="93"/>
      <c r="AI40" s="93">
        <v>0</v>
      </c>
      <c r="AJ40" s="93">
        <v>0</v>
      </c>
      <c r="AK40" s="93"/>
      <c r="AL40" s="122">
        <f>IFERROR($AL$131*H40/$H$131,0)</f>
        <v>29.622235410484667</v>
      </c>
      <c r="AM40" s="93">
        <v>0</v>
      </c>
      <c r="AN40" s="94">
        <f t="shared" si="20"/>
        <v>50.704799999999999</v>
      </c>
      <c r="AO40" s="95">
        <f t="shared" si="21"/>
        <v>486.31296458951545</v>
      </c>
      <c r="AP40" s="96"/>
      <c r="AQ40" s="97">
        <f t="shared" si="5"/>
        <v>1197</v>
      </c>
      <c r="AR40" s="98">
        <f t="shared" si="32"/>
        <v>105.54</v>
      </c>
      <c r="AS40" s="98">
        <f t="shared" si="7"/>
        <v>465.27</v>
      </c>
      <c r="AT40" s="98">
        <f t="shared" si="8"/>
        <v>59.55</v>
      </c>
      <c r="AU40" s="98">
        <f t="shared" si="22"/>
        <v>0</v>
      </c>
      <c r="AV40" s="98">
        <f t="array" ref="AV40">_xlfn.IFS(U40=0,AO40,U40&lt;0,AO40/-U40,U40&gt;0,AO40/U40)</f>
        <v>486.31296458951545</v>
      </c>
      <c r="AW40" s="234">
        <f t="shared" si="40"/>
        <v>0.40627649506225183</v>
      </c>
      <c r="AX40" s="234">
        <f t="shared" si="41"/>
        <v>4.6078545062489615</v>
      </c>
      <c r="AY40" s="99"/>
      <c r="AZ40" s="94">
        <f t="shared" si="11"/>
        <v>14103.075973095947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8"/>
        <v>41</v>
      </c>
      <c r="F41" s="93" t="s">
        <v>100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39"/>
        <v>5046.6900000000005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2"/>
        <v>0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>AA41/$AA$131</f>
        <v>0</v>
      </c>
      <c r="AD41" s="92">
        <f t="shared" si="18"/>
        <v>0</v>
      </c>
      <c r="AE41" s="93">
        <v>0</v>
      </c>
      <c r="AF41" s="234">
        <f t="shared" si="19"/>
        <v>0</v>
      </c>
      <c r="AG41" s="93">
        <v>0</v>
      </c>
      <c r="AH41" s="93"/>
      <c r="AI41" s="93">
        <v>0</v>
      </c>
      <c r="AJ41" s="93">
        <v>0</v>
      </c>
      <c r="AK41" s="93"/>
      <c r="AL41" s="122">
        <f>IFERROR($AL$131*H41/$H$131,0)</f>
        <v>42.317479157835244</v>
      </c>
      <c r="AM41" s="93">
        <v>0</v>
      </c>
      <c r="AN41" s="94">
        <f t="shared" si="20"/>
        <v>0</v>
      </c>
      <c r="AO41" s="95">
        <f t="shared" si="21"/>
        <v>-42.317479157835244</v>
      </c>
      <c r="AP41" s="96"/>
      <c r="AQ41" s="97">
        <f t="shared" si="5"/>
        <v>0</v>
      </c>
      <c r="AR41" s="98">
        <f t="shared" si="32"/>
        <v>123.09</v>
      </c>
      <c r="AS41" s="98">
        <f t="shared" si="7"/>
        <v>0</v>
      </c>
      <c r="AT41" s="98">
        <f t="shared" si="8"/>
        <v>0</v>
      </c>
      <c r="AU41" s="98">
        <f t="shared" si="22"/>
        <v>0</v>
      </c>
      <c r="AV41" s="98">
        <f t="array" ref="AV41">_xlfn.IFS(U41=0,AO41,U41&lt;0,AO41/-U41,U41&gt;0,AO41/U41)</f>
        <v>-42.317479157835244</v>
      </c>
      <c r="AW41" s="234">
        <f t="shared" si="40"/>
        <v>0</v>
      </c>
      <c r="AX41" s="234">
        <f t="shared" si="41"/>
        <v>-0.34379299015220766</v>
      </c>
      <c r="AY41" s="99"/>
      <c r="AZ41" s="94">
        <f t="shared" si="11"/>
        <v>-1735.0166454712451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8"/>
        <v>28</v>
      </c>
      <c r="F42" s="93" t="s">
        <v>100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39"/>
        <v>3446.52</v>
      </c>
      <c r="M42" s="89">
        <v>999</v>
      </c>
      <c r="N42" s="89">
        <v>0</v>
      </c>
      <c r="O42" s="89">
        <v>0</v>
      </c>
      <c r="P42" s="89">
        <v>0</v>
      </c>
      <c r="Q42" s="233">
        <f t="shared" si="12"/>
        <v>0</v>
      </c>
      <c r="R42" s="92">
        <f t="shared" si="13"/>
        <v>0</v>
      </c>
      <c r="S42" s="93">
        <v>0</v>
      </c>
      <c r="T42" s="93">
        <v>0</v>
      </c>
      <c r="U42" s="92">
        <f t="shared" si="14"/>
        <v>0</v>
      </c>
      <c r="V42" s="93">
        <v>0</v>
      </c>
      <c r="W42" s="93">
        <v>0</v>
      </c>
      <c r="X42" s="92">
        <f t="shared" si="15"/>
        <v>0</v>
      </c>
      <c r="Y42" s="93">
        <v>0</v>
      </c>
      <c r="Z42" s="93">
        <v>0</v>
      </c>
      <c r="AA42" s="92">
        <f t="shared" si="16"/>
        <v>0</v>
      </c>
      <c r="AB42" s="92">
        <f t="shared" si="17"/>
        <v>0</v>
      </c>
      <c r="AC42" s="234">
        <f>AA42/$AA$131</f>
        <v>0</v>
      </c>
      <c r="AD42" s="92">
        <f t="shared" si="18"/>
        <v>0</v>
      </c>
      <c r="AE42" s="93">
        <v>0</v>
      </c>
      <c r="AF42" s="234">
        <f t="shared" si="19"/>
        <v>0</v>
      </c>
      <c r="AG42" s="93">
        <v>59.519999999999996</v>
      </c>
      <c r="AH42" s="93"/>
      <c r="AI42" s="93">
        <v>0</v>
      </c>
      <c r="AJ42" s="93">
        <v>0</v>
      </c>
      <c r="AK42" s="93"/>
      <c r="AL42" s="122">
        <f>IFERROR($AL$131*H42/$H$131,0)</f>
        <v>27.506361452592909</v>
      </c>
      <c r="AM42" s="93">
        <v>0</v>
      </c>
      <c r="AN42" s="94">
        <f t="shared" si="20"/>
        <v>0</v>
      </c>
      <c r="AO42" s="95">
        <f t="shared" si="21"/>
        <v>-87.026361452592909</v>
      </c>
      <c r="AP42" s="96"/>
      <c r="AQ42" s="97">
        <f t="shared" si="5"/>
        <v>0</v>
      </c>
      <c r="AR42" s="98">
        <f t="shared" si="32"/>
        <v>123.09</v>
      </c>
      <c r="AS42" s="98">
        <f t="shared" si="7"/>
        <v>0</v>
      </c>
      <c r="AT42" s="98">
        <f t="shared" si="8"/>
        <v>59.519999999999996</v>
      </c>
      <c r="AU42" s="98">
        <f t="shared" si="22"/>
        <v>0</v>
      </c>
      <c r="AV42" s="98">
        <f t="array" ref="AV42">_xlfn.IFS(U42=0,AO42,U42&lt;0,AO42/-U42,U42&gt;0,AO42/U42)</f>
        <v>-87.026361452592909</v>
      </c>
      <c r="AW42" s="234">
        <f t="shared" si="40"/>
        <v>0</v>
      </c>
      <c r="AX42" s="234">
        <f t="shared" si="41"/>
        <v>-0.70701406655774557</v>
      </c>
      <c r="AY42" s="99"/>
      <c r="AZ42" s="94">
        <f t="shared" si="11"/>
        <v>-2436.7381206726013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8"/>
        <v>2</v>
      </c>
      <c r="F43" s="93">
        <v>1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39"/>
        <v>246.18</v>
      </c>
      <c r="M43" s="89">
        <v>20</v>
      </c>
      <c r="N43" s="89">
        <v>2</v>
      </c>
      <c r="O43" s="89">
        <v>1102</v>
      </c>
      <c r="P43" s="89">
        <v>100</v>
      </c>
      <c r="Q43" s="233">
        <f t="shared" si="12"/>
        <v>0.2857142857142857</v>
      </c>
      <c r="R43" s="92">
        <f t="shared" si="13"/>
        <v>0.2857142857142857</v>
      </c>
      <c r="S43" s="93">
        <v>2</v>
      </c>
      <c r="T43" s="93">
        <v>0</v>
      </c>
      <c r="U43" s="92">
        <f t="shared" si="14"/>
        <v>2</v>
      </c>
      <c r="V43" s="93">
        <v>1524</v>
      </c>
      <c r="W43" s="93">
        <v>0</v>
      </c>
      <c r="X43" s="92">
        <f t="shared" si="15"/>
        <v>1524</v>
      </c>
      <c r="Y43" s="93">
        <v>2204</v>
      </c>
      <c r="Z43" s="93">
        <v>0</v>
      </c>
      <c r="AA43" s="92">
        <f t="shared" si="16"/>
        <v>2204</v>
      </c>
      <c r="AB43" s="92">
        <f t="shared" si="17"/>
        <v>2204</v>
      </c>
      <c r="AC43" s="234">
        <f>AA43/$AA$131</f>
        <v>8.9297028710651812E-4</v>
      </c>
      <c r="AD43" s="92">
        <f t="shared" si="18"/>
        <v>246.18</v>
      </c>
      <c r="AE43" s="93">
        <v>837.88000000000011</v>
      </c>
      <c r="AF43" s="234">
        <f t="shared" si="19"/>
        <v>0.38016333938294017</v>
      </c>
      <c r="AG43" s="93">
        <v>189.12</v>
      </c>
      <c r="AH43" s="93"/>
      <c r="AI43" s="93">
        <v>0</v>
      </c>
      <c r="AJ43" s="93">
        <v>0</v>
      </c>
      <c r="AK43" s="93"/>
      <c r="AL43" s="122">
        <f>IFERROR($AL$131*H43/$H$131,0)</f>
        <v>0</v>
      </c>
      <c r="AM43" s="93">
        <v>0</v>
      </c>
      <c r="AN43" s="94">
        <f t="shared" si="20"/>
        <v>87.020399999999995</v>
      </c>
      <c r="AO43" s="95">
        <f t="shared" si="21"/>
        <v>843.79959999999983</v>
      </c>
      <c r="AP43" s="96"/>
      <c r="AQ43" s="97">
        <f t="shared" si="5"/>
        <v>1102</v>
      </c>
      <c r="AR43" s="98">
        <f t="shared" si="32"/>
        <v>123.09</v>
      </c>
      <c r="AS43" s="98">
        <f t="shared" si="7"/>
        <v>418.94000000000005</v>
      </c>
      <c r="AT43" s="98">
        <f t="shared" si="8"/>
        <v>94.56</v>
      </c>
      <c r="AU43" s="98">
        <f t="shared" si="22"/>
        <v>0</v>
      </c>
      <c r="AV43" s="98">
        <f t="array" ref="AV43">_xlfn.IFS(U43=0,AO43,U43&lt;0,AO43/-U43,U43&gt;0,AO43/U43)</f>
        <v>421.89979999999991</v>
      </c>
      <c r="AW43" s="234">
        <f t="shared" si="40"/>
        <v>0.38284918330308521</v>
      </c>
      <c r="AX43" s="234">
        <f t="shared" si="41"/>
        <v>3.4275716955073516</v>
      </c>
      <c r="AY43" s="99"/>
      <c r="AZ43" s="94">
        <f t="shared" si="11"/>
        <v>843.79959999999983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8"/>
        <v>162</v>
      </c>
      <c r="F44" s="93">
        <v>17</v>
      </c>
      <c r="G44" s="93">
        <v>13</v>
      </c>
      <c r="H44" s="93">
        <v>57</v>
      </c>
      <c r="I44" s="93">
        <v>0</v>
      </c>
      <c r="J44" s="93">
        <v>75</v>
      </c>
      <c r="K44" s="92">
        <v>111.39</v>
      </c>
      <c r="L44" s="92">
        <f t="shared" si="39"/>
        <v>18045.18</v>
      </c>
      <c r="M44" s="89">
        <v>48</v>
      </c>
      <c r="N44" s="89">
        <v>36</v>
      </c>
      <c r="O44" s="89">
        <v>1260</v>
      </c>
      <c r="P44" s="89">
        <v>55</v>
      </c>
      <c r="Q44" s="233">
        <f t="shared" si="12"/>
        <v>5.1428571428571432</v>
      </c>
      <c r="R44" s="92">
        <f t="shared" si="13"/>
        <v>2.4285714285714284</v>
      </c>
      <c r="S44" s="93">
        <v>18</v>
      </c>
      <c r="T44" s="93">
        <v>-1</v>
      </c>
      <c r="U44" s="92">
        <f t="shared" si="14"/>
        <v>17</v>
      </c>
      <c r="V44" s="93">
        <v>16299.02</v>
      </c>
      <c r="W44" s="93">
        <v>-903</v>
      </c>
      <c r="X44" s="92">
        <f t="shared" si="15"/>
        <v>15396.02</v>
      </c>
      <c r="Y44" s="93">
        <v>22594.01</v>
      </c>
      <c r="Z44" s="93">
        <v>-1260</v>
      </c>
      <c r="AA44" s="92">
        <f t="shared" si="16"/>
        <v>21334.01</v>
      </c>
      <c r="AB44" s="92">
        <f t="shared" si="17"/>
        <v>24948</v>
      </c>
      <c r="AC44" s="234">
        <f>AA44/$AA$131</f>
        <v>8.6436647163490605E-3</v>
      </c>
      <c r="AD44" s="92">
        <f t="shared" si="18"/>
        <v>1893.63</v>
      </c>
      <c r="AE44" s="93">
        <v>8104.8299999999981</v>
      </c>
      <c r="AF44" s="234">
        <f t="shared" si="19"/>
        <v>0.37990185623799738</v>
      </c>
      <c r="AG44" s="93">
        <v>3007.2399999999993</v>
      </c>
      <c r="AH44" s="93"/>
      <c r="AI44" s="93">
        <v>0</v>
      </c>
      <c r="AJ44" s="93">
        <v>0</v>
      </c>
      <c r="AK44" s="93"/>
      <c r="AL44" s="122">
        <f>IFERROR($AL$131*H44/$H$131,0)</f>
        <v>60.302407799915223</v>
      </c>
      <c r="AM44" s="93">
        <v>0</v>
      </c>
      <c r="AN44" s="94">
        <f t="shared" si="20"/>
        <v>879.11274200000003</v>
      </c>
      <c r="AO44" s="95">
        <f t="shared" si="21"/>
        <v>7388.8948502000849</v>
      </c>
      <c r="AP44" s="96"/>
      <c r="AQ44" s="97">
        <f t="shared" si="5"/>
        <v>1254.9417647058822</v>
      </c>
      <c r="AR44" s="98">
        <f t="shared" si="32"/>
        <v>111.39</v>
      </c>
      <c r="AS44" s="98">
        <f t="shared" si="7"/>
        <v>476.75470588235282</v>
      </c>
      <c r="AT44" s="98">
        <f t="shared" si="8"/>
        <v>167.06888888888886</v>
      </c>
      <c r="AU44" s="98">
        <f t="shared" si="22"/>
        <v>0</v>
      </c>
      <c r="AV44" s="98">
        <f t="array" ref="AV44">_xlfn.IFS(U44=0,AO44,U44&lt;0,AO44/-U44,U44&gt;0,AO44/U44)</f>
        <v>434.64087354118146</v>
      </c>
      <c r="AW44" s="234">
        <f t="shared" si="40"/>
        <v>0.34634346052149062</v>
      </c>
      <c r="AX44" s="234">
        <f t="shared" si="41"/>
        <v>3.9019739073631516</v>
      </c>
      <c r="AY44" s="99"/>
      <c r="AZ44" s="94">
        <f t="shared" si="11"/>
        <v>70411.821513671399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8"/>
        <v>79</v>
      </c>
      <c r="F45" s="93">
        <v>48</v>
      </c>
      <c r="G45" s="93">
        <v>28</v>
      </c>
      <c r="H45" s="93">
        <v>1</v>
      </c>
      <c r="I45" s="93">
        <v>0</v>
      </c>
      <c r="J45" s="93">
        <v>2</v>
      </c>
      <c r="K45" s="92">
        <v>107.88</v>
      </c>
      <c r="L45" s="92">
        <f t="shared" si="39"/>
        <v>8522.52</v>
      </c>
      <c r="M45" s="89">
        <v>21</v>
      </c>
      <c r="N45" s="89">
        <v>95</v>
      </c>
      <c r="O45" s="89">
        <v>1530</v>
      </c>
      <c r="P45" s="89">
        <v>42</v>
      </c>
      <c r="Q45" s="233">
        <f t="shared" si="12"/>
        <v>13.571428571428571</v>
      </c>
      <c r="R45" s="92">
        <f t="shared" si="13"/>
        <v>4.5714285714285712</v>
      </c>
      <c r="S45" s="93">
        <v>33</v>
      </c>
      <c r="T45" s="93">
        <v>-1</v>
      </c>
      <c r="U45" s="92">
        <f t="shared" si="14"/>
        <v>32</v>
      </c>
      <c r="V45" s="93">
        <v>36991.279999999999</v>
      </c>
      <c r="W45" s="93">
        <v>-1000</v>
      </c>
      <c r="X45" s="92">
        <f t="shared" si="15"/>
        <v>35991.279999999999</v>
      </c>
      <c r="Y45" s="93">
        <v>51049.63</v>
      </c>
      <c r="Z45" s="93">
        <v>-1497</v>
      </c>
      <c r="AA45" s="92">
        <f t="shared" si="16"/>
        <v>49552.63</v>
      </c>
      <c r="AB45" s="92">
        <f t="shared" si="17"/>
        <v>61047</v>
      </c>
      <c r="AC45" s="234">
        <f>AA45/$AA$131</f>
        <v>2.0076690670591226E-2</v>
      </c>
      <c r="AD45" s="92">
        <f t="shared" si="18"/>
        <v>3452.16</v>
      </c>
      <c r="AE45" s="93">
        <v>18913.27</v>
      </c>
      <c r="AF45" s="234">
        <f t="shared" si="19"/>
        <v>0.381680447637189</v>
      </c>
      <c r="AG45" s="93">
        <v>6235.3499999999985</v>
      </c>
      <c r="AH45" s="93"/>
      <c r="AI45" s="93">
        <v>90</v>
      </c>
      <c r="AJ45" s="93">
        <v>7475</v>
      </c>
      <c r="AK45" s="93"/>
      <c r="AL45" s="122">
        <f>IFERROR($AL$131*H45/$H$131,0)</f>
        <v>1.057936978945881</v>
      </c>
      <c r="AM45" s="93">
        <v>0</v>
      </c>
      <c r="AN45" s="94">
        <f t="shared" si="20"/>
        <v>2055.1020879999996</v>
      </c>
      <c r="AO45" s="95">
        <f t="shared" si="21"/>
        <v>11330.689975021056</v>
      </c>
      <c r="AP45" s="96"/>
      <c r="AQ45" s="97">
        <f t="shared" si="5"/>
        <v>1548.5196874999999</v>
      </c>
      <c r="AR45" s="98">
        <f t="shared" si="32"/>
        <v>107.88</v>
      </c>
      <c r="AS45" s="98">
        <f t="shared" si="7"/>
        <v>591.03968750000001</v>
      </c>
      <c r="AT45" s="98">
        <f t="shared" si="8"/>
        <v>188.94999999999996</v>
      </c>
      <c r="AU45" s="98">
        <f t="shared" si="22"/>
        <v>229.24242424242425</v>
      </c>
      <c r="AV45" s="98">
        <f t="array" ref="AV45">_xlfn.IFS(U45=0,AO45,U45&lt;0,AO45/-U45,U45&gt;0,AO45/U45)</f>
        <v>354.084061719408</v>
      </c>
      <c r="AW45" s="234">
        <f t="shared" si="40"/>
        <v>0.22865970938416502</v>
      </c>
      <c r="AX45" s="234">
        <f t="shared" si="41"/>
        <v>3.2822030192751948</v>
      </c>
      <c r="AY45" s="99"/>
      <c r="AZ45" s="94">
        <f t="shared" si="11"/>
        <v>27972.640875833233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8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39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>AA46/$AA$131</f>
        <v>0</v>
      </c>
      <c r="AD46" s="92">
        <f t="shared" si="18"/>
        <v>0</v>
      </c>
      <c r="AE46" s="93">
        <v>0</v>
      </c>
      <c r="AF46" s="234">
        <f t="shared" si="19"/>
        <v>0</v>
      </c>
      <c r="AG46" s="93">
        <v>0</v>
      </c>
      <c r="AH46" s="93"/>
      <c r="AI46" s="93">
        <v>0</v>
      </c>
      <c r="AJ46" s="93">
        <v>0</v>
      </c>
      <c r="AK46" s="93"/>
      <c r="AL46" s="122">
        <f>IFERROR($AL$131*H46/$H$131,0)</f>
        <v>0</v>
      </c>
      <c r="AM46" s="93">
        <v>0</v>
      </c>
      <c r="AN46" s="94">
        <f t="shared" si="20"/>
        <v>0</v>
      </c>
      <c r="AO46" s="95">
        <f t="shared" si="21"/>
        <v>0</v>
      </c>
      <c r="AP46" s="96"/>
      <c r="AQ46" s="97">
        <f t="shared" si="5"/>
        <v>0</v>
      </c>
      <c r="AR46" s="98">
        <f t="shared" si="32"/>
        <v>107.88</v>
      </c>
      <c r="AS46" s="98">
        <f t="shared" si="7"/>
        <v>0</v>
      </c>
      <c r="AT46" s="98">
        <f t="shared" si="8"/>
        <v>0</v>
      </c>
      <c r="AU46" s="98">
        <f t="shared" si="22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8"/>
        <v>33</v>
      </c>
      <c r="F47" s="93">
        <v>7</v>
      </c>
      <c r="G47" s="93">
        <v>7</v>
      </c>
      <c r="H47" s="93">
        <v>12</v>
      </c>
      <c r="I47" s="93">
        <v>0</v>
      </c>
      <c r="J47" s="93">
        <v>7</v>
      </c>
      <c r="K47" s="92">
        <v>123.09</v>
      </c>
      <c r="L47" s="92">
        <f t="shared" si="39"/>
        <v>4061.9700000000003</v>
      </c>
      <c r="M47" s="89">
        <v>29</v>
      </c>
      <c r="N47" s="89">
        <v>18</v>
      </c>
      <c r="O47" s="89">
        <v>1404</v>
      </c>
      <c r="P47" s="89">
        <v>50</v>
      </c>
      <c r="Q47" s="233">
        <f t="shared" si="12"/>
        <v>2.5714285714285716</v>
      </c>
      <c r="R47" s="92">
        <f t="shared" si="13"/>
        <v>1.4285714285714286</v>
      </c>
      <c r="S47" s="93">
        <v>10</v>
      </c>
      <c r="T47" s="93">
        <v>0</v>
      </c>
      <c r="U47" s="92">
        <f t="shared" si="14"/>
        <v>10</v>
      </c>
      <c r="V47" s="93">
        <v>10166.200000000001</v>
      </c>
      <c r="W47" s="93">
        <v>0</v>
      </c>
      <c r="X47" s="92">
        <f t="shared" si="15"/>
        <v>10166.200000000001</v>
      </c>
      <c r="Y47" s="93">
        <v>14008.11</v>
      </c>
      <c r="Z47" s="93">
        <v>0</v>
      </c>
      <c r="AA47" s="92">
        <f t="shared" si="16"/>
        <v>14008.11</v>
      </c>
      <c r="AB47" s="92">
        <f t="shared" si="17"/>
        <v>12636</v>
      </c>
      <c r="AC47" s="234">
        <f>AA47/$AA$131</f>
        <v>5.6755108931577534E-3</v>
      </c>
      <c r="AD47" s="92">
        <f t="shared" si="18"/>
        <v>1230.9000000000001</v>
      </c>
      <c r="AE47" s="93">
        <v>5354.0300000000007</v>
      </c>
      <c r="AF47" s="234">
        <f t="shared" si="19"/>
        <v>0.38220930589494234</v>
      </c>
      <c r="AG47" s="93">
        <v>1587.71</v>
      </c>
      <c r="AH47" s="93"/>
      <c r="AI47" s="93">
        <v>569</v>
      </c>
      <c r="AJ47" s="93">
        <v>263</v>
      </c>
      <c r="AK47" s="93"/>
      <c r="AL47" s="122">
        <f>IFERROR($AL$131*H47/$H$131,0)</f>
        <v>12.695243747350572</v>
      </c>
      <c r="AM47" s="93">
        <v>0</v>
      </c>
      <c r="AN47" s="94">
        <f t="shared" si="20"/>
        <v>580.49002000000007</v>
      </c>
      <c r="AO47" s="95">
        <f t="shared" si="21"/>
        <v>4410.2847362526491</v>
      </c>
      <c r="AP47" s="96"/>
      <c r="AQ47" s="97">
        <f t="shared" si="5"/>
        <v>1400.8110000000001</v>
      </c>
      <c r="AR47" s="98">
        <f t="shared" si="32"/>
        <v>123.09</v>
      </c>
      <c r="AS47" s="98">
        <f t="shared" si="7"/>
        <v>535.40300000000002</v>
      </c>
      <c r="AT47" s="98">
        <f t="shared" si="8"/>
        <v>158.77100000000002</v>
      </c>
      <c r="AU47" s="98">
        <f t="shared" si="22"/>
        <v>83.2</v>
      </c>
      <c r="AV47" s="98">
        <f t="array" ref="AV47">_xlfn.IFS(U47=0,AO47,U47&lt;0,AO47/-U47,U47&gt;0,AO47/U47)</f>
        <v>441.02847362526489</v>
      </c>
      <c r="AW47" s="234">
        <f t="shared" si="40"/>
        <v>0.31483795717285545</v>
      </c>
      <c r="AX47" s="234">
        <f t="shared" si="41"/>
        <v>3.5829756570417164</v>
      </c>
      <c r="AY47" s="99"/>
      <c r="AZ47" s="94">
        <f t="shared" si="11"/>
        <v>14553.939629633742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8"/>
        <v>189</v>
      </c>
      <c r="F48" s="93">
        <v>57</v>
      </c>
      <c r="G48" s="93">
        <v>21</v>
      </c>
      <c r="H48" s="93">
        <v>109</v>
      </c>
      <c r="I48" s="93">
        <v>0</v>
      </c>
      <c r="J48" s="93">
        <v>2</v>
      </c>
      <c r="K48" s="92">
        <v>107.88</v>
      </c>
      <c r="L48" s="92">
        <f t="shared" si="39"/>
        <v>20389.32</v>
      </c>
      <c r="M48" s="89">
        <v>44</v>
      </c>
      <c r="N48" s="89">
        <v>103</v>
      </c>
      <c r="O48" s="89">
        <v>1412</v>
      </c>
      <c r="P48" s="89">
        <v>47</v>
      </c>
      <c r="Q48" s="233">
        <f t="shared" si="12"/>
        <v>14.714285714285714</v>
      </c>
      <c r="R48" s="92">
        <f t="shared" si="13"/>
        <v>5.8571428571428568</v>
      </c>
      <c r="S48" s="93">
        <v>44</v>
      </c>
      <c r="T48" s="93">
        <v>-3</v>
      </c>
      <c r="U48" s="92">
        <f t="shared" si="14"/>
        <v>41</v>
      </c>
      <c r="V48" s="93">
        <v>44839.79</v>
      </c>
      <c r="W48" s="93">
        <v>-3017</v>
      </c>
      <c r="X48" s="92">
        <f t="shared" si="15"/>
        <v>41822.79</v>
      </c>
      <c r="Y48" s="93">
        <v>61855.929999999993</v>
      </c>
      <c r="Z48" s="93">
        <v>-4236</v>
      </c>
      <c r="AA48" s="92">
        <f t="shared" si="16"/>
        <v>57619.929999999993</v>
      </c>
      <c r="AB48" s="92">
        <f t="shared" si="17"/>
        <v>68354.92</v>
      </c>
      <c r="AC48" s="234">
        <f>AA48/$AA$131</f>
        <v>2.3345229326296492E-2</v>
      </c>
      <c r="AD48" s="92">
        <f t="shared" si="18"/>
        <v>4423.08</v>
      </c>
      <c r="AE48" s="93">
        <v>21832.509999999987</v>
      </c>
      <c r="AF48" s="234">
        <f t="shared" si="19"/>
        <v>0.37890552800046773</v>
      </c>
      <c r="AG48" s="93">
        <v>6613.1899999999951</v>
      </c>
      <c r="AH48" s="93"/>
      <c r="AI48" s="93">
        <v>723</v>
      </c>
      <c r="AJ48" s="93">
        <v>7794</v>
      </c>
      <c r="AK48" s="93"/>
      <c r="AL48" s="122">
        <f>IFERROR($AL$131*H48/$H$131,0)</f>
        <v>115.31513070510104</v>
      </c>
      <c r="AM48" s="93">
        <v>0</v>
      </c>
      <c r="AN48" s="94">
        <f t="shared" si="20"/>
        <v>2388.0813090000001</v>
      </c>
      <c r="AO48" s="95">
        <f t="shared" si="21"/>
        <v>13730.753560294906</v>
      </c>
      <c r="AP48" s="96"/>
      <c r="AQ48" s="97">
        <f t="shared" si="5"/>
        <v>1405.3641463414633</v>
      </c>
      <c r="AR48" s="98">
        <f t="shared" si="32"/>
        <v>107.88</v>
      </c>
      <c r="AS48" s="98">
        <f t="shared" si="7"/>
        <v>532.50024390243868</v>
      </c>
      <c r="AT48" s="98">
        <f t="shared" si="8"/>
        <v>150.29977272727263</v>
      </c>
      <c r="AU48" s="98">
        <f t="shared" si="22"/>
        <v>193.56818181818181</v>
      </c>
      <c r="AV48" s="98">
        <f t="array" ref="AV48">_xlfn.IFS(U48=0,AO48,U48&lt;0,AO48/-U48,U48&gt;0,AO48/U48)</f>
        <v>334.89642829987577</v>
      </c>
      <c r="AW48" s="234">
        <f t="shared" si="40"/>
        <v>0.23829868519963332</v>
      </c>
      <c r="AX48" s="234">
        <f t="shared" si="41"/>
        <v>3.1043421236547624</v>
      </c>
      <c r="AY48" s="99"/>
      <c r="AZ48" s="94">
        <f t="shared" si="11"/>
        <v>63295.424948676518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8"/>
        <v>172</v>
      </c>
      <c r="F49" s="93">
        <v>79</v>
      </c>
      <c r="G49" s="93">
        <v>29</v>
      </c>
      <c r="H49" s="93">
        <v>7</v>
      </c>
      <c r="I49" s="93">
        <v>0</v>
      </c>
      <c r="J49" s="93">
        <v>57</v>
      </c>
      <c r="K49" s="92">
        <v>123.09</v>
      </c>
      <c r="L49" s="92">
        <f t="shared" si="39"/>
        <v>21171.48</v>
      </c>
      <c r="M49" s="89">
        <v>24</v>
      </c>
      <c r="N49" s="89">
        <v>115</v>
      </c>
      <c r="O49" s="89">
        <v>1524</v>
      </c>
      <c r="P49" s="89">
        <v>36</v>
      </c>
      <c r="Q49" s="233">
        <f t="shared" si="12"/>
        <v>16.428571428571427</v>
      </c>
      <c r="R49" s="92">
        <f t="shared" si="13"/>
        <v>4.8571428571428568</v>
      </c>
      <c r="S49" s="93">
        <v>39</v>
      </c>
      <c r="T49" s="93">
        <v>-5</v>
      </c>
      <c r="U49" s="92">
        <f t="shared" si="14"/>
        <v>34</v>
      </c>
      <c r="V49" s="93">
        <v>42372.299999999996</v>
      </c>
      <c r="W49" s="93">
        <v>-5475</v>
      </c>
      <c r="X49" s="92">
        <f t="shared" si="15"/>
        <v>36897.299999999996</v>
      </c>
      <c r="Y49" s="93">
        <v>58144.2</v>
      </c>
      <c r="Z49" s="93">
        <v>-7455</v>
      </c>
      <c r="AA49" s="92">
        <f t="shared" si="16"/>
        <v>50689.2</v>
      </c>
      <c r="AB49" s="92">
        <f t="shared" si="17"/>
        <v>63093.599999999999</v>
      </c>
      <c r="AC49" s="234">
        <f>AA49/$AA$131</f>
        <v>2.0537182158439072E-2</v>
      </c>
      <c r="AD49" s="92">
        <f t="shared" si="18"/>
        <v>4185.0600000000004</v>
      </c>
      <c r="AE49" s="93">
        <v>19204.580000000002</v>
      </c>
      <c r="AF49" s="234">
        <f t="shared" si="19"/>
        <v>0.37886926603694676</v>
      </c>
      <c r="AG49" s="93">
        <v>6437.6099999999979</v>
      </c>
      <c r="AH49" s="93"/>
      <c r="AI49" s="93">
        <v>1061</v>
      </c>
      <c r="AJ49" s="93">
        <v>7399</v>
      </c>
      <c r="AK49" s="93"/>
      <c r="AL49" s="122">
        <f>IFERROR($AL$131*H49/$H$131,0)</f>
        <v>7.4055588526211666</v>
      </c>
      <c r="AM49" s="93">
        <v>0</v>
      </c>
      <c r="AN49" s="94">
        <f t="shared" si="20"/>
        <v>2106.8358299999995</v>
      </c>
      <c r="AO49" s="95">
        <f t="shared" si="21"/>
        <v>10287.70861114738</v>
      </c>
      <c r="AP49" s="96"/>
      <c r="AQ49" s="97">
        <f t="shared" si="5"/>
        <v>1490.8588235294117</v>
      </c>
      <c r="AR49" s="98">
        <f t="shared" si="32"/>
        <v>123.09</v>
      </c>
      <c r="AS49" s="98">
        <f t="shared" si="7"/>
        <v>564.84058823529415</v>
      </c>
      <c r="AT49" s="98">
        <f t="shared" si="8"/>
        <v>165.06692307692302</v>
      </c>
      <c r="AU49" s="98">
        <f t="shared" si="22"/>
        <v>216.92307692307693</v>
      </c>
      <c r="AV49" s="98">
        <f t="array" ref="AV49">_xlfn.IFS(U49=0,AO49,U49&lt;0,AO49/-U49,U49&gt;0,AO49/U49)</f>
        <v>302.57966503374649</v>
      </c>
      <c r="AW49" s="234">
        <f t="shared" si="40"/>
        <v>0.20295661819771038</v>
      </c>
      <c r="AX49" s="234">
        <f t="shared" si="41"/>
        <v>2.458198594798493</v>
      </c>
      <c r="AY49" s="99"/>
      <c r="AZ49" s="94">
        <f t="shared" si="11"/>
        <v>52043.702385804398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8"/>
        <v>311</v>
      </c>
      <c r="F50" s="93">
        <v>31</v>
      </c>
      <c r="G50" s="93">
        <v>5</v>
      </c>
      <c r="H50" s="93">
        <v>34</v>
      </c>
      <c r="I50" s="93">
        <v>0</v>
      </c>
      <c r="J50" s="93">
        <v>241</v>
      </c>
      <c r="K50" s="92">
        <v>134.79</v>
      </c>
      <c r="L50" s="92">
        <f t="shared" si="39"/>
        <v>41919.689999999995</v>
      </c>
      <c r="M50" s="89">
        <v>23</v>
      </c>
      <c r="N50" s="89">
        <v>49</v>
      </c>
      <c r="O50" s="89">
        <v>1406</v>
      </c>
      <c r="P50" s="89">
        <v>57</v>
      </c>
      <c r="Q50" s="233">
        <f t="shared" si="12"/>
        <v>7</v>
      </c>
      <c r="R50" s="92">
        <f t="shared" si="13"/>
        <v>3.4285714285714284</v>
      </c>
      <c r="S50" s="93">
        <v>25</v>
      </c>
      <c r="T50" s="93">
        <v>-1</v>
      </c>
      <c r="U50" s="92">
        <f t="shared" si="14"/>
        <v>24</v>
      </c>
      <c r="V50" s="93">
        <v>25264.89</v>
      </c>
      <c r="W50" s="93">
        <v>-977</v>
      </c>
      <c r="X50" s="92">
        <f t="shared" si="15"/>
        <v>24287.89</v>
      </c>
      <c r="Y50" s="93">
        <v>34988.870000000003</v>
      </c>
      <c r="Z50" s="93">
        <v>-1406</v>
      </c>
      <c r="AA50" s="92">
        <f t="shared" si="16"/>
        <v>33582.870000000003</v>
      </c>
      <c r="AB50" s="92">
        <f t="shared" si="17"/>
        <v>39269.58</v>
      </c>
      <c r="AC50" s="234">
        <f>AA50/$AA$131</f>
        <v>1.3606399757604753E-2</v>
      </c>
      <c r="AD50" s="92">
        <f t="shared" si="18"/>
        <v>3234.96</v>
      </c>
      <c r="AE50" s="93">
        <v>12746.710000000003</v>
      </c>
      <c r="AF50" s="234">
        <f t="shared" si="19"/>
        <v>0.37955987680624087</v>
      </c>
      <c r="AG50" s="93">
        <v>3000.6900000000005</v>
      </c>
      <c r="AH50" s="93"/>
      <c r="AI50" s="93">
        <v>442</v>
      </c>
      <c r="AJ50" s="93">
        <v>2305</v>
      </c>
      <c r="AK50" s="93"/>
      <c r="AL50" s="122">
        <f>IFERROR($AL$131*H50/$H$131,0)</f>
        <v>35.969857284159957</v>
      </c>
      <c r="AM50" s="93">
        <v>0</v>
      </c>
      <c r="AN50" s="94">
        <f t="shared" si="20"/>
        <v>1386.8385189999999</v>
      </c>
      <c r="AO50" s="95">
        <f t="shared" si="21"/>
        <v>10430.701623715839</v>
      </c>
      <c r="AP50" s="96"/>
      <c r="AQ50" s="97">
        <f t="shared" si="5"/>
        <v>1399.2862500000001</v>
      </c>
      <c r="AR50" s="98">
        <f t="shared" si="32"/>
        <v>134.79</v>
      </c>
      <c r="AS50" s="98">
        <f t="shared" si="7"/>
        <v>531.11291666666682</v>
      </c>
      <c r="AT50" s="98">
        <f t="shared" si="8"/>
        <v>120.02760000000002</v>
      </c>
      <c r="AU50" s="98">
        <f t="shared" si="22"/>
        <v>109.88</v>
      </c>
      <c r="AV50" s="98">
        <f t="array" ref="AV50">_xlfn.IFS(U50=0,AO50,U50&lt;0,AO50/-U50,U50&gt;0,AO50/U50)</f>
        <v>434.61256765482659</v>
      </c>
      <c r="AW50" s="234">
        <f t="shared" si="40"/>
        <v>0.31059589676867516</v>
      </c>
      <c r="AX50" s="234">
        <f t="shared" si="41"/>
        <v>3.2243680366112222</v>
      </c>
      <c r="AY50" s="99"/>
      <c r="AZ50" s="94">
        <f t="shared" si="11"/>
        <v>135164.50854065106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8"/>
        <v>127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126</v>
      </c>
      <c r="K51" s="92">
        <v>144.15</v>
      </c>
      <c r="L51" s="92">
        <f t="shared" si="39"/>
        <v>18307.05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>AA51/$AA$131</f>
        <v>0</v>
      </c>
      <c r="AD51" s="92">
        <f t="shared" si="18"/>
        <v>0</v>
      </c>
      <c r="AE51" s="93">
        <v>0</v>
      </c>
      <c r="AF51" s="234">
        <f t="shared" si="19"/>
        <v>0</v>
      </c>
      <c r="AG51" s="93">
        <v>0</v>
      </c>
      <c r="AH51" s="93"/>
      <c r="AI51" s="93">
        <v>0</v>
      </c>
      <c r="AJ51" s="93">
        <v>0</v>
      </c>
      <c r="AK51" s="93"/>
      <c r="AL51" s="122">
        <f>IFERROR($AL$131*H51/$H$131,0)</f>
        <v>1.057936978945881</v>
      </c>
      <c r="AM51" s="93">
        <v>0</v>
      </c>
      <c r="AN51" s="94">
        <f t="shared" si="20"/>
        <v>0</v>
      </c>
      <c r="AO51" s="95">
        <f t="shared" si="21"/>
        <v>-1.057936978945881</v>
      </c>
      <c r="AP51" s="96"/>
      <c r="AQ51" s="97">
        <f t="shared" si="5"/>
        <v>0</v>
      </c>
      <c r="AR51" s="98">
        <f t="shared" si="32"/>
        <v>144.15</v>
      </c>
      <c r="AS51" s="98">
        <f t="shared" si="7"/>
        <v>0</v>
      </c>
      <c r="AT51" s="98">
        <f t="shared" si="8"/>
        <v>0</v>
      </c>
      <c r="AU51" s="98">
        <f t="shared" si="22"/>
        <v>0</v>
      </c>
      <c r="AV51" s="98">
        <f t="array" ref="AV51">_xlfn.IFS(U51=0,AO51,U51&lt;0,AO51/-U51,U51&gt;0,AO51/U51)</f>
        <v>-1.057936978945881</v>
      </c>
      <c r="AW51" s="234">
        <f t="shared" si="40"/>
        <v>0</v>
      </c>
      <c r="AX51" s="234">
        <f t="shared" si="41"/>
        <v>-7.339139638889219E-3</v>
      </c>
      <c r="AY51" s="99"/>
      <c r="AZ51" s="94">
        <f t="shared" si="11"/>
        <v>-134.35799632612688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8"/>
        <v>21</v>
      </c>
      <c r="F52" s="93">
        <v>11</v>
      </c>
      <c r="G52" s="93">
        <v>9</v>
      </c>
      <c r="H52" s="93" t="s">
        <v>100</v>
      </c>
      <c r="I52" s="93">
        <v>0</v>
      </c>
      <c r="J52" s="93">
        <v>1</v>
      </c>
      <c r="K52" s="92">
        <v>96.18</v>
      </c>
      <c r="L52" s="92">
        <f t="shared" si="39"/>
        <v>2019.7800000000002</v>
      </c>
      <c r="M52" s="89">
        <v>24</v>
      </c>
      <c r="N52" s="89">
        <v>20</v>
      </c>
      <c r="O52" s="89">
        <v>1302</v>
      </c>
      <c r="P52" s="89">
        <v>25</v>
      </c>
      <c r="Q52" s="233">
        <f t="shared" si="12"/>
        <v>2.8571428571428572</v>
      </c>
      <c r="R52" s="92">
        <f t="shared" si="13"/>
        <v>0.42857142857142855</v>
      </c>
      <c r="S52" s="93">
        <v>3</v>
      </c>
      <c r="T52" s="93">
        <v>0</v>
      </c>
      <c r="U52" s="92">
        <f t="shared" si="14"/>
        <v>3</v>
      </c>
      <c r="V52" s="93">
        <v>2780</v>
      </c>
      <c r="W52" s="93">
        <v>0</v>
      </c>
      <c r="X52" s="92">
        <f t="shared" si="15"/>
        <v>2780</v>
      </c>
      <c r="Y52" s="93">
        <v>3906</v>
      </c>
      <c r="Z52" s="93">
        <v>0</v>
      </c>
      <c r="AA52" s="92">
        <f t="shared" si="16"/>
        <v>3906</v>
      </c>
      <c r="AB52" s="92">
        <f t="shared" si="17"/>
        <v>6510</v>
      </c>
      <c r="AC52" s="234">
        <f>AA52/$AA$131</f>
        <v>1.5825507901261614E-3</v>
      </c>
      <c r="AD52" s="92">
        <f t="shared" si="18"/>
        <v>288.54000000000002</v>
      </c>
      <c r="AE52" s="93">
        <v>1496.0600000000004</v>
      </c>
      <c r="AF52" s="234">
        <f t="shared" si="19"/>
        <v>0.38301587301587314</v>
      </c>
      <c r="AG52" s="93">
        <v>946.79000000000008</v>
      </c>
      <c r="AH52" s="93"/>
      <c r="AI52" s="93">
        <v>20</v>
      </c>
      <c r="AJ52" s="93">
        <v>1652</v>
      </c>
      <c r="AK52" s="93"/>
      <c r="AL52" s="122">
        <f>IFERROR($AL$131*H52/$H$131,0)</f>
        <v>0</v>
      </c>
      <c r="AM52" s="93">
        <v>0</v>
      </c>
      <c r="AN52" s="94">
        <f t="shared" si="20"/>
        <v>158.738</v>
      </c>
      <c r="AO52" s="95">
        <f t="shared" si="21"/>
        <v>-656.12800000000038</v>
      </c>
      <c r="AP52" s="96"/>
      <c r="AQ52" s="97">
        <f t="shared" si="5"/>
        <v>1302</v>
      </c>
      <c r="AR52" s="98">
        <f t="shared" si="32"/>
        <v>96.18</v>
      </c>
      <c r="AS52" s="98">
        <f t="shared" si="7"/>
        <v>498.68666666666678</v>
      </c>
      <c r="AT52" s="98">
        <f t="shared" si="8"/>
        <v>315.59666666666669</v>
      </c>
      <c r="AU52" s="98">
        <f t="shared" si="22"/>
        <v>557.33333333333337</v>
      </c>
      <c r="AV52" s="98">
        <f t="array" ref="AV52">_xlfn.IFS(U52=0,AO52,U52&lt;0,AO52/-U52,U52&gt;0,AO52/U52)</f>
        <v>-218.70933333333346</v>
      </c>
      <c r="AW52" s="234">
        <f t="shared" si="40"/>
        <v>-0.16797951868919619</v>
      </c>
      <c r="AX52" s="234">
        <f t="shared" si="41"/>
        <v>-2.2739585499410837</v>
      </c>
      <c r="AY52" s="99"/>
      <c r="AZ52" s="94">
        <f t="shared" si="11"/>
        <v>-4592.8960000000025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8"/>
        <v>35</v>
      </c>
      <c r="F53" s="93">
        <v>2</v>
      </c>
      <c r="G53" s="93">
        <v>2</v>
      </c>
      <c r="H53" s="93">
        <v>30</v>
      </c>
      <c r="I53" s="93">
        <v>0</v>
      </c>
      <c r="J53" s="93">
        <v>1</v>
      </c>
      <c r="K53" s="92">
        <v>96.18</v>
      </c>
      <c r="L53" s="92">
        <f t="shared" si="39"/>
        <v>3366.3</v>
      </c>
      <c r="M53" s="89">
        <v>999</v>
      </c>
      <c r="N53" s="89">
        <v>7</v>
      </c>
      <c r="O53" s="89">
        <v>1106</v>
      </c>
      <c r="P53" s="89">
        <v>0</v>
      </c>
      <c r="Q53" s="233">
        <f t="shared" si="12"/>
        <v>1</v>
      </c>
      <c r="R53" s="92">
        <f t="shared" si="13"/>
        <v>0.14285714285714285</v>
      </c>
      <c r="S53" s="93">
        <v>2</v>
      </c>
      <c r="T53" s="93">
        <v>-1</v>
      </c>
      <c r="U53" s="92">
        <f t="shared" si="14"/>
        <v>1</v>
      </c>
      <c r="V53" s="93">
        <v>1606</v>
      </c>
      <c r="W53" s="93">
        <v>-808</v>
      </c>
      <c r="X53" s="92">
        <f t="shared" si="15"/>
        <v>798</v>
      </c>
      <c r="Y53" s="93">
        <v>2212</v>
      </c>
      <c r="Z53" s="93">
        <v>-1106</v>
      </c>
      <c r="AA53" s="92">
        <f t="shared" si="16"/>
        <v>1106</v>
      </c>
      <c r="AB53" s="92">
        <f t="shared" si="17"/>
        <v>0</v>
      </c>
      <c r="AC53" s="234">
        <f>AA53/$AA$131</f>
        <v>4.4810577928303499E-4</v>
      </c>
      <c r="AD53" s="92">
        <f t="shared" si="18"/>
        <v>96.18</v>
      </c>
      <c r="AE53" s="93">
        <v>428.80999999999995</v>
      </c>
      <c r="AF53" s="234">
        <f t="shared" si="19"/>
        <v>0.38771247739602166</v>
      </c>
      <c r="AG53" s="93">
        <v>485.35</v>
      </c>
      <c r="AH53" s="93"/>
      <c r="AI53" s="93">
        <v>20</v>
      </c>
      <c r="AJ53" s="93">
        <v>1980</v>
      </c>
      <c r="AK53" s="93"/>
      <c r="AL53" s="122">
        <f>IFERROR($AL$131*H53/$H$131,0)</f>
        <v>31.738109368376431</v>
      </c>
      <c r="AM53" s="93">
        <v>0</v>
      </c>
      <c r="AN53" s="94">
        <f t="shared" si="20"/>
        <v>45.565799999999996</v>
      </c>
      <c r="AO53" s="95">
        <f t="shared" si="21"/>
        <v>-1981.6439093683766</v>
      </c>
      <c r="AP53" s="96"/>
      <c r="AQ53" s="97">
        <f t="shared" si="5"/>
        <v>1106</v>
      </c>
      <c r="AR53" s="98">
        <f t="shared" si="32"/>
        <v>96.18</v>
      </c>
      <c r="AS53" s="98">
        <f t="shared" si="7"/>
        <v>428.80999999999995</v>
      </c>
      <c r="AT53" s="98">
        <f t="shared" si="8"/>
        <v>242.67500000000001</v>
      </c>
      <c r="AU53" s="98">
        <f t="shared" si="22"/>
        <v>1000</v>
      </c>
      <c r="AV53" s="98">
        <f t="array" ref="AV53">_xlfn.IFS(U53=0,AO53,U53&lt;0,AO53/-U53,U53&gt;0,AO53/U53)</f>
        <v>-1981.6439093683766</v>
      </c>
      <c r="AW53" s="234">
        <f t="shared" si="40"/>
        <v>-1.7917214370419319</v>
      </c>
      <c r="AX53" s="234">
        <f t="shared" si="41"/>
        <v>-20.603492507469085</v>
      </c>
      <c r="AY53" s="99"/>
      <c r="AZ53" s="94">
        <f t="shared" si="11"/>
        <v>-69357.536827893186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8" si="42">SUM(F54:J54)</f>
        <v>20</v>
      </c>
      <c r="F54" s="93" t="s">
        <v>100</v>
      </c>
      <c r="G54" s="93">
        <v>2</v>
      </c>
      <c r="H54" s="93">
        <v>16</v>
      </c>
      <c r="I54" s="93">
        <v>0</v>
      </c>
      <c r="J54" s="93">
        <v>2</v>
      </c>
      <c r="K54" s="93">
        <v>123.09</v>
      </c>
      <c r="L54" s="92">
        <f t="shared" si="39"/>
        <v>2461.8000000000002</v>
      </c>
      <c r="M54" s="89">
        <v>150</v>
      </c>
      <c r="N54" s="89">
        <v>5</v>
      </c>
      <c r="O54" s="89">
        <v>998</v>
      </c>
      <c r="P54" s="89">
        <v>25</v>
      </c>
      <c r="Q54" s="233">
        <f t="shared" si="12"/>
        <v>0.7142857142857143</v>
      </c>
      <c r="R54" s="92">
        <f t="shared" si="13"/>
        <v>0.2857142857142857</v>
      </c>
      <c r="S54" s="93">
        <v>2</v>
      </c>
      <c r="T54" s="93">
        <v>0</v>
      </c>
      <c r="U54" s="92">
        <f t="shared" si="14"/>
        <v>2</v>
      </c>
      <c r="V54" s="93">
        <v>1479</v>
      </c>
      <c r="W54" s="93">
        <v>0</v>
      </c>
      <c r="X54" s="92">
        <f t="shared" si="15"/>
        <v>1479</v>
      </c>
      <c r="Y54" s="93">
        <v>1996</v>
      </c>
      <c r="Z54" s="93">
        <v>0</v>
      </c>
      <c r="AA54" s="92">
        <f t="shared" si="16"/>
        <v>1996</v>
      </c>
      <c r="AB54" s="92">
        <f t="shared" si="17"/>
        <v>1247.5</v>
      </c>
      <c r="AC54" s="234">
        <f>AA54/$AA$131</f>
        <v>8.0869722915817165E-4</v>
      </c>
      <c r="AD54" s="92">
        <f t="shared" si="18"/>
        <v>246.18</v>
      </c>
      <c r="AE54" s="93">
        <v>762.76</v>
      </c>
      <c r="AF54" s="234">
        <f t="shared" si="19"/>
        <v>0.38214428857715432</v>
      </c>
      <c r="AG54" s="93">
        <v>334.58</v>
      </c>
      <c r="AH54" s="93"/>
      <c r="AI54" s="93">
        <v>0</v>
      </c>
      <c r="AJ54" s="93">
        <v>0</v>
      </c>
      <c r="AK54" s="93"/>
      <c r="AL54" s="122">
        <f>IFERROR($AL$131*H54/$H$131,0)</f>
        <v>16.926991663134096</v>
      </c>
      <c r="AM54" s="93">
        <v>0</v>
      </c>
      <c r="AN54" s="94">
        <f t="shared" si="20"/>
        <v>84.45089999999999</v>
      </c>
      <c r="AO54" s="95">
        <f t="shared" si="21"/>
        <v>551.10210833686597</v>
      </c>
      <c r="AP54" s="96"/>
      <c r="AQ54" s="97">
        <f t="shared" si="5"/>
        <v>998</v>
      </c>
      <c r="AR54" s="98">
        <f t="shared" si="32"/>
        <v>123.09</v>
      </c>
      <c r="AS54" s="98">
        <f t="shared" si="7"/>
        <v>381.38</v>
      </c>
      <c r="AT54" s="98">
        <f t="shared" si="8"/>
        <v>167.29</v>
      </c>
      <c r="AU54" s="98">
        <f t="shared" si="22"/>
        <v>0</v>
      </c>
      <c r="AV54" s="98">
        <f t="array" ref="AV54">_xlfn.IFS(U54=0,AO54,U54&lt;0,AO54/-U54,U54&gt;0,AO54/U54)</f>
        <v>275.55105416843298</v>
      </c>
      <c r="AW54" s="234">
        <f t="shared" si="40"/>
        <v>0.27610326068981261</v>
      </c>
      <c r="AX54" s="234">
        <f t="shared" si="41"/>
        <v>2.2386144623318951</v>
      </c>
      <c r="AY54" s="99"/>
      <c r="AZ54" s="94">
        <f t="shared" si="11"/>
        <v>5511.0210833686597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39"/>
        <v>316.38</v>
      </c>
      <c r="M55" s="89">
        <v>21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>AA55/$AA$131</f>
        <v>0</v>
      </c>
      <c r="AD55" s="92">
        <f t="shared" si="18"/>
        <v>0</v>
      </c>
      <c r="AE55" s="93">
        <v>0</v>
      </c>
      <c r="AF55" s="234">
        <f t="shared" si="19"/>
        <v>0</v>
      </c>
      <c r="AG55" s="93">
        <v>0</v>
      </c>
      <c r="AH55" s="93"/>
      <c r="AI55" s="93">
        <v>0</v>
      </c>
      <c r="AJ55" s="93">
        <v>0</v>
      </c>
      <c r="AK55" s="93"/>
      <c r="AL55" s="122">
        <f>IFERROR($AL$131*H55/$H$131,0)</f>
        <v>0</v>
      </c>
      <c r="AM55" s="93">
        <v>0</v>
      </c>
      <c r="AN55" s="94">
        <f t="shared" si="20"/>
        <v>0</v>
      </c>
      <c r="AO55" s="95">
        <f t="shared" si="21"/>
        <v>0</v>
      </c>
      <c r="AP55" s="96"/>
      <c r="AQ55" s="97">
        <f t="shared" si="5"/>
        <v>0</v>
      </c>
      <c r="AR55" s="98">
        <f t="shared" si="32"/>
        <v>158.19</v>
      </c>
      <c r="AS55" s="98">
        <f t="shared" si="7"/>
        <v>0</v>
      </c>
      <c r="AT55" s="98">
        <f t="shared" si="8"/>
        <v>0</v>
      </c>
      <c r="AU55" s="98">
        <f t="shared" si="22"/>
        <v>0</v>
      </c>
      <c r="AV55" s="98">
        <f t="array" ref="AV55">_xlfn.IFS(U55=0,AO55,U55&lt;0,AO55/-U55,U55&gt;0,AO55/U55)</f>
        <v>0</v>
      </c>
      <c r="AW55" s="234">
        <f t="shared" si="40"/>
        <v>0</v>
      </c>
      <c r="AX55" s="234">
        <f t="shared" si="41"/>
        <v>0</v>
      </c>
      <c r="AY55" s="99"/>
      <c r="AZ55" s="94">
        <f t="shared" si="11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39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>AA56/$AA$131</f>
        <v>0</v>
      </c>
      <c r="AD56" s="92">
        <f t="shared" si="18"/>
        <v>0</v>
      </c>
      <c r="AE56" s="93">
        <v>0</v>
      </c>
      <c r="AF56" s="234">
        <f t="shared" si="19"/>
        <v>0</v>
      </c>
      <c r="AG56" s="93">
        <v>0</v>
      </c>
      <c r="AH56" s="93"/>
      <c r="AI56" s="93">
        <v>0</v>
      </c>
      <c r="AJ56" s="93">
        <v>0</v>
      </c>
      <c r="AK56" s="93"/>
      <c r="AL56" s="122">
        <f>IFERROR($AL$131*H56/$H$131,0)</f>
        <v>0</v>
      </c>
      <c r="AM56" s="93">
        <v>0</v>
      </c>
      <c r="AN56" s="94">
        <f t="shared" si="20"/>
        <v>0</v>
      </c>
      <c r="AO56" s="95">
        <f t="shared" si="21"/>
        <v>0</v>
      </c>
      <c r="AP56" s="96"/>
      <c r="AQ56" s="97">
        <f t="shared" si="5"/>
        <v>0</v>
      </c>
      <c r="AR56" s="98">
        <f t="shared" si="32"/>
        <v>152.34</v>
      </c>
      <c r="AS56" s="98">
        <f t="shared" si="7"/>
        <v>0</v>
      </c>
      <c r="AT56" s="98">
        <f t="shared" si="8"/>
        <v>0</v>
      </c>
      <c r="AU56" s="98">
        <f t="shared" si="22"/>
        <v>0</v>
      </c>
      <c r="AV56" s="98">
        <f t="array" ref="AV56">_xlfn.IFS(U56=0,AO56,U56&lt;0,AO56/-U56,U56&gt;0,AO56/U56)</f>
        <v>0</v>
      </c>
      <c r="AW56" s="234">
        <f t="shared" si="40"/>
        <v>0</v>
      </c>
      <c r="AX56" s="234">
        <f t="shared" si="41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39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>AA57/$AA$131</f>
        <v>0</v>
      </c>
      <c r="AD57" s="92">
        <f t="shared" si="18"/>
        <v>0</v>
      </c>
      <c r="AE57" s="93">
        <v>0</v>
      </c>
      <c r="AF57" s="234">
        <f t="shared" si="19"/>
        <v>0</v>
      </c>
      <c r="AG57" s="93">
        <v>0</v>
      </c>
      <c r="AH57" s="93"/>
      <c r="AI57" s="93">
        <v>0</v>
      </c>
      <c r="AJ57" s="93">
        <v>0</v>
      </c>
      <c r="AK57" s="93"/>
      <c r="AL57" s="122">
        <f>IFERROR($AL$131*H57/$H$131,0)</f>
        <v>0</v>
      </c>
      <c r="AM57" s="93">
        <v>0</v>
      </c>
      <c r="AN57" s="94">
        <f t="shared" si="20"/>
        <v>0</v>
      </c>
      <c r="AO57" s="95">
        <f t="shared" si="21"/>
        <v>0</v>
      </c>
      <c r="AP57" s="96"/>
      <c r="AQ57" s="97">
        <f t="shared" si="5"/>
        <v>0</v>
      </c>
      <c r="AR57" s="98">
        <f t="shared" si="32"/>
        <v>93.84</v>
      </c>
      <c r="AS57" s="98">
        <f t="shared" si="7"/>
        <v>0</v>
      </c>
      <c r="AT57" s="98">
        <f t="shared" si="8"/>
        <v>0</v>
      </c>
      <c r="AU57" s="98">
        <f t="shared" si="22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20</v>
      </c>
      <c r="F58" s="93">
        <v>5</v>
      </c>
      <c r="G58" s="93">
        <v>1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39"/>
        <v>3397.7999999999997</v>
      </c>
      <c r="M58" s="89">
        <v>84</v>
      </c>
      <c r="N58" s="89">
        <v>5</v>
      </c>
      <c r="O58" s="89">
        <v>936</v>
      </c>
      <c r="P58" s="89">
        <v>0</v>
      </c>
      <c r="Q58" s="233">
        <f t="shared" si="12"/>
        <v>0.7142857142857143</v>
      </c>
      <c r="R58" s="92">
        <f t="shared" si="13"/>
        <v>0</v>
      </c>
      <c r="S58" s="93">
        <v>0</v>
      </c>
      <c r="T58" s="93">
        <v>0</v>
      </c>
      <c r="U58" s="92">
        <f t="shared" si="14"/>
        <v>0</v>
      </c>
      <c r="V58" s="93">
        <v>0</v>
      </c>
      <c r="W58" s="93">
        <v>0</v>
      </c>
      <c r="X58" s="92">
        <f t="shared" si="15"/>
        <v>0</v>
      </c>
      <c r="Y58" s="93">
        <v>0</v>
      </c>
      <c r="Z58" s="93">
        <v>0</v>
      </c>
      <c r="AA58" s="92">
        <f t="shared" si="16"/>
        <v>0</v>
      </c>
      <c r="AB58" s="92">
        <f t="shared" si="17"/>
        <v>0</v>
      </c>
      <c r="AC58" s="234">
        <f>AA58/$AA$131</f>
        <v>0</v>
      </c>
      <c r="AD58" s="92">
        <f t="shared" si="18"/>
        <v>0</v>
      </c>
      <c r="AE58" s="93">
        <v>0</v>
      </c>
      <c r="AF58" s="234">
        <f t="shared" si="19"/>
        <v>0</v>
      </c>
      <c r="AG58" s="93">
        <v>520.30999999999995</v>
      </c>
      <c r="AH58" s="93"/>
      <c r="AI58" s="93">
        <v>10</v>
      </c>
      <c r="AJ58" s="93">
        <v>360</v>
      </c>
      <c r="AK58" s="93"/>
      <c r="AL58" s="122">
        <f>IFERROR($AL$131*H58/$H$131,0)</f>
        <v>13.753180726296454</v>
      </c>
      <c r="AM58" s="93">
        <v>0</v>
      </c>
      <c r="AN58" s="94">
        <f t="shared" si="20"/>
        <v>0</v>
      </c>
      <c r="AO58" s="95">
        <f t="shared" si="21"/>
        <v>-904.06318072629642</v>
      </c>
      <c r="AP58" s="96"/>
      <c r="AQ58" s="97">
        <f t="shared" si="5"/>
        <v>0</v>
      </c>
      <c r="AR58" s="98">
        <f t="shared" si="32"/>
        <v>169.89</v>
      </c>
      <c r="AS58" s="98">
        <f t="shared" si="7"/>
        <v>0</v>
      </c>
      <c r="AT58" s="98">
        <f t="shared" si="8"/>
        <v>520.30999999999995</v>
      </c>
      <c r="AU58" s="98">
        <f t="shared" si="22"/>
        <v>0</v>
      </c>
      <c r="AV58" s="98">
        <f t="array" ref="AV58">_xlfn.IFS(U58=0,AO58,U58&lt;0,AO58/-U58,U58&gt;0,AO58/U58)</f>
        <v>-904.06318072629642</v>
      </c>
      <c r="AW58" s="234">
        <f t="shared" si="40"/>
        <v>0</v>
      </c>
      <c r="AX58" s="234">
        <f t="shared" si="41"/>
        <v>-5.3214620091017508</v>
      </c>
      <c r="AY58" s="99"/>
      <c r="AZ58" s="94">
        <f t="shared" si="11"/>
        <v>-18081.263614525928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36</v>
      </c>
      <c r="F59" s="93">
        <v>0</v>
      </c>
      <c r="G59" s="93">
        <v>0</v>
      </c>
      <c r="H59" s="93">
        <v>0</v>
      </c>
      <c r="I59" s="93">
        <v>0</v>
      </c>
      <c r="J59" s="93">
        <v>36</v>
      </c>
      <c r="K59" s="93">
        <v>158.19</v>
      </c>
      <c r="L59" s="92">
        <f t="shared" si="39"/>
        <v>5694.84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>AA59/$AA$131</f>
        <v>0</v>
      </c>
      <c r="AD59" s="92">
        <f t="shared" si="18"/>
        <v>0</v>
      </c>
      <c r="AE59" s="93">
        <v>0</v>
      </c>
      <c r="AF59" s="234">
        <f t="shared" si="19"/>
        <v>0</v>
      </c>
      <c r="AG59" s="93">
        <v>0</v>
      </c>
      <c r="AH59" s="93"/>
      <c r="AI59" s="93">
        <v>0</v>
      </c>
      <c r="AJ59" s="93">
        <v>0</v>
      </c>
      <c r="AK59" s="93"/>
      <c r="AL59" s="122">
        <f>IFERROR($AL$131*H59/$H$131,0)</f>
        <v>0</v>
      </c>
      <c r="AM59" s="93">
        <v>0</v>
      </c>
      <c r="AN59" s="94">
        <f t="shared" si="20"/>
        <v>0</v>
      </c>
      <c r="AO59" s="95">
        <f t="shared" si="21"/>
        <v>0</v>
      </c>
      <c r="AP59" s="96"/>
      <c r="AQ59" s="97">
        <f t="shared" si="5"/>
        <v>0</v>
      </c>
      <c r="AR59" s="98">
        <f t="shared" si="32"/>
        <v>158.19</v>
      </c>
      <c r="AS59" s="98">
        <f t="shared" si="7"/>
        <v>0</v>
      </c>
      <c r="AT59" s="98">
        <f t="shared" si="8"/>
        <v>0</v>
      </c>
      <c r="AU59" s="98">
        <f t="shared" si="22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64</v>
      </c>
      <c r="F60" s="93" t="s">
        <v>100</v>
      </c>
      <c r="G60" s="93">
        <v>1</v>
      </c>
      <c r="H60" s="93">
        <v>19</v>
      </c>
      <c r="I60" s="93">
        <v>0</v>
      </c>
      <c r="J60" s="93">
        <v>44</v>
      </c>
      <c r="K60" s="93">
        <v>158.19</v>
      </c>
      <c r="L60" s="92">
        <f t="shared" si="39"/>
        <v>10124.16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2"/>
        <v>0.14285714285714285</v>
      </c>
      <c r="R60" s="92">
        <f t="shared" si="13"/>
        <v>0</v>
      </c>
      <c r="S60" s="93">
        <v>0</v>
      </c>
      <c r="T60" s="93">
        <v>0</v>
      </c>
      <c r="U60" s="92">
        <f t="shared" si="14"/>
        <v>0</v>
      </c>
      <c r="V60" s="93">
        <v>0</v>
      </c>
      <c r="W60" s="93">
        <v>0</v>
      </c>
      <c r="X60" s="92">
        <f t="shared" si="15"/>
        <v>0</v>
      </c>
      <c r="Y60" s="93">
        <v>0</v>
      </c>
      <c r="Z60" s="93">
        <v>0</v>
      </c>
      <c r="AA60" s="92">
        <f t="shared" si="16"/>
        <v>0</v>
      </c>
      <c r="AB60" s="92">
        <f t="shared" si="17"/>
        <v>0</v>
      </c>
      <c r="AC60" s="234">
        <f>AA60/$AA$131</f>
        <v>0</v>
      </c>
      <c r="AD60" s="92">
        <f t="shared" si="18"/>
        <v>0</v>
      </c>
      <c r="AE60" s="93">
        <v>0</v>
      </c>
      <c r="AF60" s="234">
        <f t="shared" si="19"/>
        <v>0</v>
      </c>
      <c r="AG60" s="93">
        <v>77.22</v>
      </c>
      <c r="AH60" s="93"/>
      <c r="AI60" s="93">
        <v>0</v>
      </c>
      <c r="AJ60" s="93">
        <v>0</v>
      </c>
      <c r="AK60" s="93"/>
      <c r="AL60" s="122">
        <f>IFERROR($AL$131*H60/$H$131,0)</f>
        <v>20.10080259997174</v>
      </c>
      <c r="AM60" s="93">
        <v>0</v>
      </c>
      <c r="AN60" s="94">
        <f t="shared" si="20"/>
        <v>0</v>
      </c>
      <c r="AO60" s="95">
        <f t="shared" si="21"/>
        <v>-97.320802599971742</v>
      </c>
      <c r="AP60" s="96"/>
      <c r="AQ60" s="97">
        <f t="shared" si="5"/>
        <v>0</v>
      </c>
      <c r="AR60" s="98">
        <f t="shared" si="32"/>
        <v>158.19</v>
      </c>
      <c r="AS60" s="98">
        <f t="shared" si="7"/>
        <v>0</v>
      </c>
      <c r="AT60" s="98">
        <f t="shared" si="8"/>
        <v>77.22</v>
      </c>
      <c r="AU60" s="98">
        <f t="shared" si="22"/>
        <v>0</v>
      </c>
      <c r="AV60" s="98">
        <f t="array" ref="AV60">_xlfn.IFS(U60=0,AO60,U60&lt;0,AO60/-U60,U60&gt;0,AO60/U60)</f>
        <v>-97.320802599971742</v>
      </c>
      <c r="AW60" s="234">
        <f t="shared" si="40"/>
        <v>0</v>
      </c>
      <c r="AX60" s="234">
        <f t="shared" si="41"/>
        <v>-0.61521463177174118</v>
      </c>
      <c r="AY60" s="99"/>
      <c r="AZ60" s="94">
        <f t="shared" si="11"/>
        <v>-6228.5313663981915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478</v>
      </c>
      <c r="F61" s="93">
        <v>1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39"/>
        <v>61633.32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2"/>
        <v>0.14285714285714285</v>
      </c>
      <c r="R61" s="92">
        <f t="shared" si="13"/>
        <v>0</v>
      </c>
      <c r="S61" s="93">
        <v>0</v>
      </c>
      <c r="T61" s="93">
        <v>0</v>
      </c>
      <c r="U61" s="92">
        <f t="shared" si="14"/>
        <v>0</v>
      </c>
      <c r="V61" s="93">
        <v>0</v>
      </c>
      <c r="W61" s="93">
        <v>0</v>
      </c>
      <c r="X61" s="92">
        <f t="shared" si="15"/>
        <v>0</v>
      </c>
      <c r="Y61" s="93">
        <v>0</v>
      </c>
      <c r="Z61" s="93">
        <v>0</v>
      </c>
      <c r="AA61" s="92">
        <f t="shared" si="16"/>
        <v>0</v>
      </c>
      <c r="AB61" s="92">
        <f t="shared" si="17"/>
        <v>0</v>
      </c>
      <c r="AC61" s="234">
        <f>AA61/$AA$131</f>
        <v>0</v>
      </c>
      <c r="AD61" s="92">
        <f t="shared" si="18"/>
        <v>0</v>
      </c>
      <c r="AE61" s="93">
        <v>0</v>
      </c>
      <c r="AF61" s="234">
        <f t="shared" si="19"/>
        <v>0</v>
      </c>
      <c r="AG61" s="93">
        <v>0</v>
      </c>
      <c r="AH61" s="93"/>
      <c r="AI61" s="93">
        <v>0</v>
      </c>
      <c r="AJ61" s="93">
        <v>0</v>
      </c>
      <c r="AK61" s="93"/>
      <c r="AL61" s="122">
        <f>IFERROR($AL$131*H61/$H$131,0)</f>
        <v>165.03816871555745</v>
      </c>
      <c r="AM61" s="93">
        <v>0</v>
      </c>
      <c r="AN61" s="94">
        <f t="shared" si="20"/>
        <v>0</v>
      </c>
      <c r="AO61" s="95">
        <f t="shared" si="21"/>
        <v>-165.03816871555745</v>
      </c>
      <c r="AP61" s="96"/>
      <c r="AQ61" s="97">
        <f t="shared" si="5"/>
        <v>0</v>
      </c>
      <c r="AR61" s="98">
        <f t="shared" si="32"/>
        <v>128.94</v>
      </c>
      <c r="AS61" s="98">
        <f t="shared" si="7"/>
        <v>0</v>
      </c>
      <c r="AT61" s="98">
        <f t="shared" si="8"/>
        <v>0</v>
      </c>
      <c r="AU61" s="98">
        <f t="shared" si="22"/>
        <v>0</v>
      </c>
      <c r="AV61" s="98">
        <f t="array" ref="AV61">_xlfn.IFS(U61=0,AO61,U61&lt;0,AO61/-U61,U61&gt;0,AO61/U61)</f>
        <v>-165.03816871555745</v>
      </c>
      <c r="AW61" s="234">
        <f t="shared" si="40"/>
        <v>0</v>
      </c>
      <c r="AX61" s="234">
        <f t="shared" si="41"/>
        <v>-1.2799609796460172</v>
      </c>
      <c r="AY61" s="99"/>
      <c r="AZ61" s="94">
        <f t="shared" si="11"/>
        <v>-78888.244646036459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39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>AA62/$AA$131</f>
        <v>0</v>
      </c>
      <c r="AD62" s="92">
        <f t="shared" si="18"/>
        <v>0</v>
      </c>
      <c r="AE62" s="93">
        <v>0</v>
      </c>
      <c r="AF62" s="234">
        <f t="shared" si="19"/>
        <v>0</v>
      </c>
      <c r="AG62" s="93">
        <v>0</v>
      </c>
      <c r="AH62" s="93"/>
      <c r="AI62" s="93">
        <v>0</v>
      </c>
      <c r="AJ62" s="93">
        <v>0</v>
      </c>
      <c r="AK62" s="93"/>
      <c r="AL62" s="122">
        <f>IFERROR($AL$131*H62/$H$131,0)</f>
        <v>0</v>
      </c>
      <c r="AM62" s="93">
        <v>0</v>
      </c>
      <c r="AN62" s="94">
        <f t="shared" si="20"/>
        <v>0</v>
      </c>
      <c r="AO62" s="95">
        <f t="shared" si="21"/>
        <v>0</v>
      </c>
      <c r="AP62" s="96"/>
      <c r="AQ62" s="97">
        <f t="shared" si="5"/>
        <v>0</v>
      </c>
      <c r="AR62" s="98">
        <f t="shared" si="32"/>
        <v>175.74</v>
      </c>
      <c r="AS62" s="98">
        <f t="shared" si="7"/>
        <v>0</v>
      </c>
      <c r="AT62" s="98">
        <f t="shared" si="8"/>
        <v>0</v>
      </c>
      <c r="AU62" s="98">
        <f t="shared" si="22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39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>AA63/$AA$131</f>
        <v>0</v>
      </c>
      <c r="AD63" s="92">
        <f t="shared" si="18"/>
        <v>0</v>
      </c>
      <c r="AE63" s="93">
        <v>0</v>
      </c>
      <c r="AF63" s="234">
        <f t="shared" si="19"/>
        <v>0</v>
      </c>
      <c r="AG63" s="93">
        <v>0</v>
      </c>
      <c r="AH63" s="93"/>
      <c r="AI63" s="93">
        <v>0</v>
      </c>
      <c r="AJ63" s="93">
        <v>0</v>
      </c>
      <c r="AK63" s="93"/>
      <c r="AL63" s="122">
        <f>IFERROR($AL$131*H63/$H$131,0)</f>
        <v>0</v>
      </c>
      <c r="AM63" s="93">
        <v>0</v>
      </c>
      <c r="AN63" s="94">
        <f t="shared" si="20"/>
        <v>0</v>
      </c>
      <c r="AO63" s="95">
        <f t="shared" si="21"/>
        <v>0</v>
      </c>
      <c r="AP63" s="96"/>
      <c r="AQ63" s="97">
        <f t="shared" si="5"/>
        <v>0</v>
      </c>
      <c r="AR63" s="98">
        <f t="shared" si="32"/>
        <v>140.63999999999999</v>
      </c>
      <c r="AS63" s="98">
        <f t="shared" si="7"/>
        <v>0</v>
      </c>
      <c r="AT63" s="98">
        <f t="shared" si="8"/>
        <v>0</v>
      </c>
      <c r="AU63" s="98">
        <f t="shared" si="22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39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>AA64/$AA$131</f>
        <v>0</v>
      </c>
      <c r="AD64" s="92">
        <f t="shared" si="18"/>
        <v>0</v>
      </c>
      <c r="AE64" s="93">
        <v>0</v>
      </c>
      <c r="AF64" s="234">
        <f t="shared" si="19"/>
        <v>0</v>
      </c>
      <c r="AG64" s="93">
        <v>0</v>
      </c>
      <c r="AH64" s="93"/>
      <c r="AI64" s="93">
        <v>0</v>
      </c>
      <c r="AJ64" s="93">
        <v>0</v>
      </c>
      <c r="AK64" s="93"/>
      <c r="AL64" s="122">
        <f>IFERROR($AL$131*H64/$H$131,0)</f>
        <v>0</v>
      </c>
      <c r="AM64" s="93">
        <v>0</v>
      </c>
      <c r="AN64" s="94">
        <f t="shared" si="20"/>
        <v>0</v>
      </c>
      <c r="AO64" s="95">
        <f t="shared" si="21"/>
        <v>0</v>
      </c>
      <c r="AP64" s="96"/>
      <c r="AQ64" s="97">
        <f t="shared" si="5"/>
        <v>0</v>
      </c>
      <c r="AR64" s="98">
        <f t="shared" si="32"/>
        <v>99.69</v>
      </c>
      <c r="AS64" s="98">
        <f t="shared" si="7"/>
        <v>0</v>
      </c>
      <c r="AT64" s="98">
        <f t="shared" si="8"/>
        <v>0</v>
      </c>
      <c r="AU64" s="98">
        <f t="shared" si="22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94</v>
      </c>
      <c r="F65" s="93">
        <v>0</v>
      </c>
      <c r="G65" s="93">
        <v>0</v>
      </c>
      <c r="H65" s="93">
        <v>0</v>
      </c>
      <c r="I65" s="93">
        <v>0</v>
      </c>
      <c r="J65" s="93">
        <v>94</v>
      </c>
      <c r="K65" s="93">
        <v>99.69</v>
      </c>
      <c r="L65" s="92">
        <f t="shared" si="39"/>
        <v>9370.86</v>
      </c>
      <c r="M65" s="89">
        <v>22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0.14285714285714285</v>
      </c>
      <c r="S65" s="93">
        <v>1</v>
      </c>
      <c r="T65" s="93">
        <v>0</v>
      </c>
      <c r="U65" s="92">
        <f t="shared" si="14"/>
        <v>1</v>
      </c>
      <c r="V65" s="93">
        <v>795</v>
      </c>
      <c r="W65" s="93">
        <v>0</v>
      </c>
      <c r="X65" s="92">
        <f t="shared" si="15"/>
        <v>795</v>
      </c>
      <c r="Y65" s="93">
        <v>998</v>
      </c>
      <c r="Z65" s="93">
        <v>0</v>
      </c>
      <c r="AA65" s="92">
        <f t="shared" si="16"/>
        <v>998</v>
      </c>
      <c r="AB65" s="92">
        <f t="shared" si="17"/>
        <v>0</v>
      </c>
      <c r="AC65" s="234">
        <f>AA65/$AA$131</f>
        <v>4.0434861457908582E-4</v>
      </c>
      <c r="AD65" s="92">
        <f t="shared" si="18"/>
        <v>99.69</v>
      </c>
      <c r="AE65" s="93">
        <v>390.6</v>
      </c>
      <c r="AF65" s="234">
        <f t="shared" si="19"/>
        <v>0.39138276553106216</v>
      </c>
      <c r="AG65" s="93">
        <v>38.99</v>
      </c>
      <c r="AH65" s="93"/>
      <c r="AI65" s="93">
        <v>0</v>
      </c>
      <c r="AJ65" s="93">
        <v>0</v>
      </c>
      <c r="AK65" s="93"/>
      <c r="AL65" s="122">
        <f>IFERROR($AL$131*H65/$H$131,0)</f>
        <v>0</v>
      </c>
      <c r="AM65" s="93">
        <v>0</v>
      </c>
      <c r="AN65" s="94">
        <f t="shared" si="20"/>
        <v>45.394500000000001</v>
      </c>
      <c r="AO65" s="95">
        <f t="shared" si="21"/>
        <v>423.32549999999992</v>
      </c>
      <c r="AP65" s="96"/>
      <c r="AQ65" s="97">
        <f t="shared" si="5"/>
        <v>998</v>
      </c>
      <c r="AR65" s="98">
        <f t="shared" si="32"/>
        <v>99.69</v>
      </c>
      <c r="AS65" s="98">
        <f t="shared" si="7"/>
        <v>390.6</v>
      </c>
      <c r="AT65" s="98">
        <f t="shared" si="8"/>
        <v>38.99</v>
      </c>
      <c r="AU65" s="98">
        <f t="shared" si="22"/>
        <v>0</v>
      </c>
      <c r="AV65" s="98">
        <f t="array" ref="AV65">_xlfn.IFS(U65=0,AO65,U65&lt;0,AO65/-U65,U65&gt;0,AO65/U65)</f>
        <v>423.32549999999992</v>
      </c>
      <c r="AW65" s="234">
        <f t="shared" si="40"/>
        <v>0.42417384769539068</v>
      </c>
      <c r="AX65" s="234">
        <f t="shared" si="41"/>
        <v>4.2464188985856151</v>
      </c>
      <c r="AY65" s="99"/>
      <c r="AZ65" s="94">
        <f t="shared" si="11"/>
        <v>39792.596999999994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39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>AA66/$AA$131</f>
        <v>0</v>
      </c>
      <c r="AD66" s="92">
        <f t="shared" si="18"/>
        <v>0</v>
      </c>
      <c r="AE66" s="93">
        <v>0</v>
      </c>
      <c r="AF66" s="234">
        <f t="shared" si="19"/>
        <v>0</v>
      </c>
      <c r="AG66" s="93">
        <v>0</v>
      </c>
      <c r="AH66" s="93"/>
      <c r="AI66" s="93">
        <v>0</v>
      </c>
      <c r="AJ66" s="93">
        <v>0</v>
      </c>
      <c r="AK66" s="93"/>
      <c r="AL66" s="122">
        <f>IFERROR($AL$131*H66/$H$131,0)</f>
        <v>2.115873957891762</v>
      </c>
      <c r="AM66" s="93">
        <v>0</v>
      </c>
      <c r="AN66" s="94">
        <f t="shared" si="20"/>
        <v>0</v>
      </c>
      <c r="AO66" s="95">
        <f t="shared" si="21"/>
        <v>-2.115873957891762</v>
      </c>
      <c r="AP66" s="96"/>
      <c r="AQ66" s="97">
        <f t="shared" si="5"/>
        <v>0</v>
      </c>
      <c r="AR66" s="98">
        <f t="shared" si="32"/>
        <v>97.35</v>
      </c>
      <c r="AS66" s="98">
        <f t="shared" si="7"/>
        <v>0</v>
      </c>
      <c r="AT66" s="98">
        <f t="shared" si="8"/>
        <v>0</v>
      </c>
      <c r="AU66" s="98">
        <f t="shared" si="22"/>
        <v>0</v>
      </c>
      <c r="AV66" s="98">
        <f t="array" ref="AV66">_xlfn.IFS(U66=0,AO66,U66&lt;0,AO66/-U66,U66&gt;0,AO66/U66)</f>
        <v>-2.115873957891762</v>
      </c>
      <c r="AW66" s="234">
        <f t="shared" si="40"/>
        <v>0</v>
      </c>
      <c r="AX66" s="234">
        <f t="shared" si="41"/>
        <v>-2.1734709377419233E-2</v>
      </c>
      <c r="AY66" s="99"/>
      <c r="AZ66" s="94">
        <f t="shared" si="11"/>
        <v>-201.0080259997174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2</v>
      </c>
      <c r="F67" s="93">
        <v>0</v>
      </c>
      <c r="G67" s="93">
        <v>0</v>
      </c>
      <c r="H67" s="93">
        <v>0</v>
      </c>
      <c r="I67" s="93">
        <v>0</v>
      </c>
      <c r="J67" s="93">
        <v>2</v>
      </c>
      <c r="K67" s="93">
        <v>161.69999999999999</v>
      </c>
      <c r="L67" s="92">
        <f t="shared" si="39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>AA67/$AA$131</f>
        <v>0</v>
      </c>
      <c r="AD67" s="92">
        <f t="shared" si="18"/>
        <v>0</v>
      </c>
      <c r="AE67" s="93">
        <v>0</v>
      </c>
      <c r="AF67" s="234">
        <f t="shared" si="19"/>
        <v>0</v>
      </c>
      <c r="AG67" s="93">
        <v>0</v>
      </c>
      <c r="AH67" s="93"/>
      <c r="AI67" s="93">
        <v>0</v>
      </c>
      <c r="AJ67" s="93">
        <v>0</v>
      </c>
      <c r="AK67" s="93"/>
      <c r="AL67" s="122">
        <f>IFERROR($AL$131*H67/$H$131,0)</f>
        <v>0</v>
      </c>
      <c r="AM67" s="93">
        <v>0</v>
      </c>
      <c r="AN67" s="94">
        <f t="shared" si="20"/>
        <v>0</v>
      </c>
      <c r="AO67" s="95">
        <f t="shared" si="21"/>
        <v>0</v>
      </c>
      <c r="AP67" s="96"/>
      <c r="AQ67" s="97">
        <f t="shared" si="5"/>
        <v>0</v>
      </c>
      <c r="AR67" s="98">
        <f t="shared" si="32"/>
        <v>161.69999999999999</v>
      </c>
      <c r="AS67" s="98">
        <f t="shared" si="7"/>
        <v>0</v>
      </c>
      <c r="AT67" s="98">
        <f t="shared" si="8"/>
        <v>0</v>
      </c>
      <c r="AU67" s="98">
        <f t="shared" si="22"/>
        <v>0</v>
      </c>
      <c r="AV67" s="98">
        <f t="array" ref="AV67">_xlfn.IFS(U67=0,AO67,U67&lt;0,AO67/-U67,U67&gt;0,AO67/U67)</f>
        <v>0</v>
      </c>
      <c r="AW67" s="234">
        <f t="shared" si="40"/>
        <v>0</v>
      </c>
      <c r="AX67" s="234">
        <f t="shared" si="41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5</v>
      </c>
      <c r="F68" s="93">
        <v>0</v>
      </c>
      <c r="G68" s="93">
        <v>0</v>
      </c>
      <c r="H68" s="93">
        <v>0</v>
      </c>
      <c r="I68" s="93">
        <v>0</v>
      </c>
      <c r="J68" s="93">
        <v>5</v>
      </c>
      <c r="K68" s="93">
        <v>161.69999999999999</v>
      </c>
      <c r="L68" s="92">
        <f t="shared" si="39"/>
        <v>808.5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3">N68/7</f>
        <v>0</v>
      </c>
      <c r="R68" s="92">
        <f t="shared" ref="R68:R104" si="44">U68/7</f>
        <v>0</v>
      </c>
      <c r="S68" s="93">
        <v>0</v>
      </c>
      <c r="T68" s="93">
        <v>0</v>
      </c>
      <c r="U68" s="92">
        <f t="shared" ref="U68:U108" si="45">S68+T68</f>
        <v>0</v>
      </c>
      <c r="V68" s="93">
        <v>0</v>
      </c>
      <c r="W68" s="93">
        <v>0</v>
      </c>
      <c r="X68" s="92">
        <f t="shared" ref="X68:X108" si="46">V68+W68</f>
        <v>0</v>
      </c>
      <c r="Y68" s="93">
        <v>0</v>
      </c>
      <c r="Z68" s="93">
        <v>0</v>
      </c>
      <c r="AA68" s="92">
        <f t="shared" ref="AA68:AA108" si="47">Y68+Z68</f>
        <v>0</v>
      </c>
      <c r="AB68" s="92">
        <f t="shared" ref="AB68:AB108" si="48">N68*O68*P68/100</f>
        <v>0</v>
      </c>
      <c r="AC68" s="234">
        <f>AA68/$AA$131</f>
        <v>0</v>
      </c>
      <c r="AD68" s="92">
        <f t="shared" ref="AD68:AD108" si="49">U68*K68</f>
        <v>0</v>
      </c>
      <c r="AE68" s="93">
        <v>0</v>
      </c>
      <c r="AF68" s="234">
        <f t="shared" ref="AF68:AF108" si="50">IF(AA68=0,0,AE68/AA68)</f>
        <v>0</v>
      </c>
      <c r="AG68" s="93">
        <v>0</v>
      </c>
      <c r="AH68" s="93"/>
      <c r="AI68" s="93">
        <v>0</v>
      </c>
      <c r="AJ68" s="93">
        <v>0</v>
      </c>
      <c r="AK68" s="93"/>
      <c r="AL68" s="122">
        <f>IFERROR($AL$131*H68/$H$131,0)</f>
        <v>0</v>
      </c>
      <c r="AM68" s="93">
        <v>0</v>
      </c>
      <c r="AN68" s="94">
        <f t="shared" ref="AN68:AN104" si="51">X68*5.71%</f>
        <v>0</v>
      </c>
      <c r="AO68" s="95">
        <f t="shared" ref="AO68:AO104" si="52">AA68-AD68-AE68-AG68-AH68-AI68-AJ68-AK68-AL68-AN68-AM68</f>
        <v>0</v>
      </c>
      <c r="AP68" s="96"/>
      <c r="AQ68" s="97">
        <f t="shared" si="5"/>
        <v>0</v>
      </c>
      <c r="AR68" s="98">
        <f t="shared" si="32"/>
        <v>161.69999999999999</v>
      </c>
      <c r="AS68" s="98">
        <f t="shared" si="7"/>
        <v>0</v>
      </c>
      <c r="AT68" s="98">
        <f t="shared" si="8"/>
        <v>0</v>
      </c>
      <c r="AU68" s="98">
        <f t="shared" si="22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4</v>
      </c>
      <c r="F69" s="93">
        <v>2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39"/>
        <v>562.55999999999995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3"/>
        <v>0.14285714285714285</v>
      </c>
      <c r="R69" s="92">
        <f t="shared" si="44"/>
        <v>0</v>
      </c>
      <c r="S69" s="93">
        <v>0</v>
      </c>
      <c r="T69" s="93">
        <v>0</v>
      </c>
      <c r="U69" s="92">
        <f t="shared" si="45"/>
        <v>0</v>
      </c>
      <c r="V69" s="93">
        <v>0</v>
      </c>
      <c r="W69" s="93">
        <v>0</v>
      </c>
      <c r="X69" s="92">
        <f t="shared" si="46"/>
        <v>0</v>
      </c>
      <c r="Y69" s="93">
        <v>0</v>
      </c>
      <c r="Z69" s="93">
        <v>0</v>
      </c>
      <c r="AA69" s="92">
        <f t="shared" si="47"/>
        <v>0</v>
      </c>
      <c r="AB69" s="92">
        <f t="shared" si="48"/>
        <v>0</v>
      </c>
      <c r="AC69" s="234">
        <f>AA69/$AA$131</f>
        <v>0</v>
      </c>
      <c r="AD69" s="92">
        <f t="shared" si="49"/>
        <v>0</v>
      </c>
      <c r="AE69" s="93">
        <v>0</v>
      </c>
      <c r="AF69" s="234">
        <f t="shared" si="50"/>
        <v>0</v>
      </c>
      <c r="AG69" s="93">
        <v>86.84</v>
      </c>
      <c r="AH69" s="93"/>
      <c r="AI69" s="93">
        <v>0</v>
      </c>
      <c r="AJ69" s="93">
        <v>0</v>
      </c>
      <c r="AK69" s="93"/>
      <c r="AL69" s="122">
        <f>IFERROR($AL$131*H69/$H$131,0)</f>
        <v>1.057936978945881</v>
      </c>
      <c r="AM69" s="93">
        <v>0</v>
      </c>
      <c r="AN69" s="94">
        <f t="shared" si="51"/>
        <v>0</v>
      </c>
      <c r="AO69" s="95">
        <f t="shared" si="52"/>
        <v>-87.897936978945879</v>
      </c>
      <c r="AP69" s="96"/>
      <c r="AQ69" s="97">
        <f t="shared" si="5"/>
        <v>0</v>
      </c>
      <c r="AR69" s="98">
        <f t="shared" si="32"/>
        <v>140.63999999999999</v>
      </c>
      <c r="AS69" s="98">
        <f t="shared" si="7"/>
        <v>0</v>
      </c>
      <c r="AT69" s="98">
        <f t="shared" si="8"/>
        <v>86.84</v>
      </c>
      <c r="AU69" s="98">
        <f t="shared" si="22"/>
        <v>0</v>
      </c>
      <c r="AV69" s="98">
        <f t="array" ref="AV69">_xlfn.IFS(U69=0,AO69,U69&lt;0,AO69/-U69,U69&gt;0,AO69/U69)</f>
        <v>-87.897936978945879</v>
      </c>
      <c r="AW69" s="234">
        <f t="shared" si="40"/>
        <v>0</v>
      </c>
      <c r="AX69" s="234">
        <f t="shared" si="41"/>
        <v>-0.62498533119273236</v>
      </c>
      <c r="AY69" s="99"/>
      <c r="AZ69" s="94">
        <f t="shared" si="11"/>
        <v>-351.59174791578351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39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3"/>
        <v>0</v>
      </c>
      <c r="R70" s="92">
        <f t="shared" si="44"/>
        <v>0</v>
      </c>
      <c r="S70" s="93">
        <v>0</v>
      </c>
      <c r="T70" s="93">
        <v>0</v>
      </c>
      <c r="U70" s="92">
        <f t="shared" si="45"/>
        <v>0</v>
      </c>
      <c r="V70" s="93">
        <v>0</v>
      </c>
      <c r="W70" s="93">
        <v>0</v>
      </c>
      <c r="X70" s="92">
        <f t="shared" si="46"/>
        <v>0</v>
      </c>
      <c r="Y70" s="93">
        <v>0</v>
      </c>
      <c r="Z70" s="93">
        <v>0</v>
      </c>
      <c r="AA70" s="92">
        <f t="shared" si="47"/>
        <v>0</v>
      </c>
      <c r="AB70" s="92">
        <f t="shared" si="48"/>
        <v>0</v>
      </c>
      <c r="AC70" s="234">
        <f>AA70/$AA$131</f>
        <v>0</v>
      </c>
      <c r="AD70" s="92">
        <f t="shared" si="49"/>
        <v>0</v>
      </c>
      <c r="AE70" s="93">
        <v>0</v>
      </c>
      <c r="AF70" s="234">
        <f t="shared" si="50"/>
        <v>0</v>
      </c>
      <c r="AG70" s="93">
        <v>0</v>
      </c>
      <c r="AH70" s="93"/>
      <c r="AI70" s="93">
        <v>0</v>
      </c>
      <c r="AJ70" s="93">
        <v>0</v>
      </c>
      <c r="AK70" s="93"/>
      <c r="AL70" s="122">
        <f>IFERROR($AL$131*H70/$H$131,0)</f>
        <v>0</v>
      </c>
      <c r="AM70" s="93">
        <v>0</v>
      </c>
      <c r="AN70" s="94">
        <f t="shared" si="51"/>
        <v>0</v>
      </c>
      <c r="AO70" s="95">
        <f t="shared" si="52"/>
        <v>0</v>
      </c>
      <c r="AP70" s="96"/>
      <c r="AQ70" s="97">
        <f t="shared" si="5"/>
        <v>0</v>
      </c>
      <c r="AR70" s="98">
        <f t="shared" si="32"/>
        <v>117.24</v>
      </c>
      <c r="AS70" s="98">
        <f t="shared" si="7"/>
        <v>0</v>
      </c>
      <c r="AT70" s="98">
        <f t="shared" si="8"/>
        <v>0</v>
      </c>
      <c r="AU70" s="98">
        <f t="shared" si="22"/>
        <v>0</v>
      </c>
      <c r="AV70" s="98">
        <f t="array" ref="AV70">_xlfn.IFS(U70=0,AO70,U70&lt;0,AO70/-U70,U70&gt;0,AO70/U70)</f>
        <v>0</v>
      </c>
      <c r="AW70" s="234">
        <f t="shared" si="40"/>
        <v>0</v>
      </c>
      <c r="AX70" s="234">
        <f t="shared" si="41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26</v>
      </c>
      <c r="F71" s="93" t="s">
        <v>100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39"/>
        <v>3200.34</v>
      </c>
      <c r="M71" s="89">
        <v>25</v>
      </c>
      <c r="N71" s="89">
        <v>0</v>
      </c>
      <c r="O71" s="89">
        <v>0</v>
      </c>
      <c r="P71" s="89">
        <v>0</v>
      </c>
      <c r="Q71" s="233">
        <f t="shared" si="43"/>
        <v>0</v>
      </c>
      <c r="R71" s="92">
        <f t="shared" si="44"/>
        <v>0.14285714285714285</v>
      </c>
      <c r="S71" s="93">
        <v>1</v>
      </c>
      <c r="T71" s="93">
        <v>0</v>
      </c>
      <c r="U71" s="92">
        <f t="shared" si="45"/>
        <v>1</v>
      </c>
      <c r="V71" s="93">
        <v>524</v>
      </c>
      <c r="W71" s="93">
        <v>0</v>
      </c>
      <c r="X71" s="92">
        <f t="shared" si="46"/>
        <v>524</v>
      </c>
      <c r="Y71" s="93">
        <v>702</v>
      </c>
      <c r="Z71" s="93">
        <v>0</v>
      </c>
      <c r="AA71" s="92">
        <f t="shared" si="47"/>
        <v>702</v>
      </c>
      <c r="AB71" s="92">
        <f t="shared" si="48"/>
        <v>0</v>
      </c>
      <c r="AC71" s="234">
        <f>AA71/$AA$131</f>
        <v>2.8442157057566959E-4</v>
      </c>
      <c r="AD71" s="92">
        <f t="shared" si="49"/>
        <v>123.09</v>
      </c>
      <c r="AE71" s="93">
        <v>268.42</v>
      </c>
      <c r="AF71" s="234">
        <f t="shared" si="50"/>
        <v>0.38236467236467236</v>
      </c>
      <c r="AG71" s="93">
        <v>213.05</v>
      </c>
      <c r="AH71" s="93"/>
      <c r="AI71" s="93">
        <v>0</v>
      </c>
      <c r="AJ71" s="93">
        <v>0</v>
      </c>
      <c r="AK71" s="93"/>
      <c r="AL71" s="122">
        <f>IFERROR($AL$131*H71/$H$131,0)</f>
        <v>1.057936978945881</v>
      </c>
      <c r="AM71" s="93">
        <v>0</v>
      </c>
      <c r="AN71" s="94">
        <f t="shared" si="51"/>
        <v>29.920399999999997</v>
      </c>
      <c r="AO71" s="95">
        <f t="shared" si="52"/>
        <v>66.461663021054065</v>
      </c>
      <c r="AP71" s="96"/>
      <c r="AQ71" s="97">
        <f t="shared" si="5"/>
        <v>702</v>
      </c>
      <c r="AR71" s="98">
        <f t="shared" si="32"/>
        <v>123.09</v>
      </c>
      <c r="AS71" s="98">
        <f t="shared" si="7"/>
        <v>268.42</v>
      </c>
      <c r="AT71" s="98">
        <f t="shared" si="8"/>
        <v>213.05</v>
      </c>
      <c r="AU71" s="98">
        <f t="shared" ref="AU71:AU104" si="53">IF(S71=0,0,(AH71+AI71+AJ71)/S71)</f>
        <v>0</v>
      </c>
      <c r="AV71" s="98">
        <f t="array" ref="AV71">_xlfn.IFS(U71=0,AO71,U71&lt;0,AO71/-U71,U71&gt;0,AO71/U71)</f>
        <v>66.461663021054065</v>
      </c>
      <c r="AW71" s="234">
        <f t="shared" si="40"/>
        <v>9.4674733648225165E-2</v>
      </c>
      <c r="AX71" s="234">
        <f t="shared" si="41"/>
        <v>0.53994364303399189</v>
      </c>
      <c r="AY71" s="99"/>
      <c r="AZ71" s="94">
        <f t="shared" si="11"/>
        <v>1728.0032385474058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2</v>
      </c>
      <c r="F72" s="93">
        <v>0</v>
      </c>
      <c r="G72" s="93">
        <v>0</v>
      </c>
      <c r="H72" s="93">
        <v>0</v>
      </c>
      <c r="I72" s="93">
        <v>0</v>
      </c>
      <c r="J72" s="93">
        <v>2</v>
      </c>
      <c r="K72" s="93">
        <v>123.09</v>
      </c>
      <c r="L72" s="92">
        <f t="shared" si="39"/>
        <v>246.18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3"/>
        <v>0</v>
      </c>
      <c r="R72" s="92">
        <f t="shared" si="44"/>
        <v>0</v>
      </c>
      <c r="S72" s="93">
        <v>0</v>
      </c>
      <c r="T72" s="93">
        <v>0</v>
      </c>
      <c r="U72" s="92">
        <f t="shared" si="45"/>
        <v>0</v>
      </c>
      <c r="V72" s="93">
        <v>0</v>
      </c>
      <c r="W72" s="93">
        <v>0</v>
      </c>
      <c r="X72" s="92">
        <f t="shared" si="46"/>
        <v>0</v>
      </c>
      <c r="Y72" s="93">
        <v>0</v>
      </c>
      <c r="Z72" s="93">
        <v>0</v>
      </c>
      <c r="AA72" s="92">
        <f t="shared" si="47"/>
        <v>0</v>
      </c>
      <c r="AB72" s="92">
        <f t="shared" si="48"/>
        <v>0</v>
      </c>
      <c r="AC72" s="234">
        <f>AA72/$AA$131</f>
        <v>0</v>
      </c>
      <c r="AD72" s="92">
        <f t="shared" si="49"/>
        <v>0</v>
      </c>
      <c r="AE72" s="93">
        <v>0</v>
      </c>
      <c r="AF72" s="234">
        <f t="shared" si="50"/>
        <v>0</v>
      </c>
      <c r="AG72" s="93">
        <v>0</v>
      </c>
      <c r="AH72" s="93"/>
      <c r="AI72" s="93">
        <v>0</v>
      </c>
      <c r="AJ72" s="93">
        <v>0</v>
      </c>
      <c r="AK72" s="93"/>
      <c r="AL72" s="122">
        <f>IFERROR($AL$131*H72/$H$131,0)</f>
        <v>0</v>
      </c>
      <c r="AM72" s="93">
        <v>0</v>
      </c>
      <c r="AN72" s="94">
        <f t="shared" si="51"/>
        <v>0</v>
      </c>
      <c r="AO72" s="95">
        <f t="shared" si="52"/>
        <v>0</v>
      </c>
      <c r="AP72" s="96"/>
      <c r="AQ72" s="97">
        <f t="shared" si="5"/>
        <v>0</v>
      </c>
      <c r="AR72" s="98">
        <f t="shared" si="32"/>
        <v>123.09</v>
      </c>
      <c r="AS72" s="98">
        <f t="shared" si="7"/>
        <v>0</v>
      </c>
      <c r="AT72" s="98">
        <f t="shared" si="8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40"/>
        <v>0</v>
      </c>
      <c r="AX72" s="234">
        <f t="shared" si="41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39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3"/>
        <v>0</v>
      </c>
      <c r="R73" s="92">
        <f t="shared" si="44"/>
        <v>0</v>
      </c>
      <c r="S73" s="93">
        <v>0</v>
      </c>
      <c r="T73" s="93">
        <v>0</v>
      </c>
      <c r="U73" s="92">
        <f t="shared" si="45"/>
        <v>0</v>
      </c>
      <c r="V73" s="93">
        <v>0</v>
      </c>
      <c r="W73" s="93">
        <v>0</v>
      </c>
      <c r="X73" s="92">
        <f t="shared" si="46"/>
        <v>0</v>
      </c>
      <c r="Y73" s="93">
        <v>0</v>
      </c>
      <c r="Z73" s="93">
        <v>0</v>
      </c>
      <c r="AA73" s="92">
        <f t="shared" si="47"/>
        <v>0</v>
      </c>
      <c r="AB73" s="92">
        <f t="shared" si="48"/>
        <v>0</v>
      </c>
      <c r="AC73" s="234">
        <f>AA73/$AA$131</f>
        <v>0</v>
      </c>
      <c r="AD73" s="92">
        <f t="shared" si="49"/>
        <v>0</v>
      </c>
      <c r="AE73" s="93">
        <v>0</v>
      </c>
      <c r="AF73" s="234">
        <f t="shared" si="50"/>
        <v>0</v>
      </c>
      <c r="AG73" s="93">
        <v>0</v>
      </c>
      <c r="AH73" s="93"/>
      <c r="AI73" s="93">
        <v>0</v>
      </c>
      <c r="AJ73" s="93">
        <v>0</v>
      </c>
      <c r="AK73" s="93"/>
      <c r="AL73" s="122">
        <f>IFERROR($AL$131*H73/$H$131,0)</f>
        <v>1.057936978945881</v>
      </c>
      <c r="AM73" s="93">
        <v>0</v>
      </c>
      <c r="AN73" s="94">
        <f t="shared" si="51"/>
        <v>0</v>
      </c>
      <c r="AO73" s="95">
        <f t="shared" si="52"/>
        <v>-1.057936978945881</v>
      </c>
      <c r="AP73" s="96"/>
      <c r="AQ73" s="97">
        <f t="shared" si="5"/>
        <v>0</v>
      </c>
      <c r="AR73" s="98">
        <f t="shared" si="32"/>
        <v>123.09</v>
      </c>
      <c r="AS73" s="98">
        <f t="shared" si="7"/>
        <v>0</v>
      </c>
      <c r="AT73" s="98">
        <f t="shared" si="8"/>
        <v>0</v>
      </c>
      <c r="AU73" s="98">
        <f t="shared" si="53"/>
        <v>0</v>
      </c>
      <c r="AV73" s="98">
        <f t="array" ref="AV73">_xlfn.IFS(U73=0,AO73,U73&lt;0,AO73/-U73,U73&gt;0,AO73/U73)</f>
        <v>-1.057936978945881</v>
      </c>
      <c r="AW73" s="234">
        <f t="shared" si="40"/>
        <v>0</v>
      </c>
      <c r="AX73" s="234">
        <f t="shared" si="41"/>
        <v>-8.5948247538051911E-3</v>
      </c>
      <c r="AY73" s="99"/>
      <c r="AZ73" s="94">
        <f t="shared" si="11"/>
        <v>-2.115873957891762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1</v>
      </c>
      <c r="F74" s="93">
        <v>0</v>
      </c>
      <c r="G74" s="93">
        <v>0</v>
      </c>
      <c r="H74" s="93">
        <v>0</v>
      </c>
      <c r="I74" s="93">
        <v>0</v>
      </c>
      <c r="J74" s="93">
        <v>1</v>
      </c>
      <c r="K74" s="93">
        <v>134.79</v>
      </c>
      <c r="L74" s="92">
        <f t="shared" si="39"/>
        <v>134.79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3"/>
        <v>0</v>
      </c>
      <c r="R74" s="92">
        <f t="shared" si="44"/>
        <v>0</v>
      </c>
      <c r="S74" s="93">
        <v>0</v>
      </c>
      <c r="T74" s="93">
        <v>0</v>
      </c>
      <c r="U74" s="92">
        <f t="shared" si="45"/>
        <v>0</v>
      </c>
      <c r="V74" s="93">
        <v>0</v>
      </c>
      <c r="W74" s="93">
        <v>0</v>
      </c>
      <c r="X74" s="92">
        <f t="shared" si="46"/>
        <v>0</v>
      </c>
      <c r="Y74" s="93">
        <v>0</v>
      </c>
      <c r="Z74" s="93">
        <v>0</v>
      </c>
      <c r="AA74" s="92">
        <f t="shared" si="47"/>
        <v>0</v>
      </c>
      <c r="AB74" s="92">
        <f t="shared" si="48"/>
        <v>0</v>
      </c>
      <c r="AC74" s="234">
        <f>AA74/$AA$131</f>
        <v>0</v>
      </c>
      <c r="AD74" s="92">
        <f t="shared" si="49"/>
        <v>0</v>
      </c>
      <c r="AE74" s="93">
        <v>0</v>
      </c>
      <c r="AF74" s="234">
        <f t="shared" si="50"/>
        <v>0</v>
      </c>
      <c r="AG74" s="93">
        <v>0</v>
      </c>
      <c r="AH74" s="93"/>
      <c r="AI74" s="93">
        <v>0</v>
      </c>
      <c r="AJ74" s="93">
        <v>0</v>
      </c>
      <c r="AK74" s="93"/>
      <c r="AL74" s="122">
        <f>IFERROR($AL$131*H74/$H$131,0)</f>
        <v>0</v>
      </c>
      <c r="AM74" s="93">
        <v>0</v>
      </c>
      <c r="AN74" s="94">
        <f t="shared" si="51"/>
        <v>0</v>
      </c>
      <c r="AO74" s="95">
        <f t="shared" si="52"/>
        <v>0</v>
      </c>
      <c r="AP74" s="96"/>
      <c r="AQ74" s="97">
        <f t="shared" si="5"/>
        <v>0</v>
      </c>
      <c r="AR74" s="98">
        <f t="shared" si="32"/>
        <v>134.79</v>
      </c>
      <c r="AS74" s="98">
        <f t="shared" si="7"/>
        <v>0</v>
      </c>
      <c r="AT74" s="98">
        <f t="shared" si="8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40"/>
        <v>0</v>
      </c>
      <c r="AX74" s="234">
        <f t="shared" si="41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8</v>
      </c>
      <c r="F75" s="93">
        <v>3</v>
      </c>
      <c r="G75" s="93">
        <v>1</v>
      </c>
      <c r="H75" s="93">
        <v>1</v>
      </c>
      <c r="I75" s="93">
        <v>0</v>
      </c>
      <c r="J75" s="93">
        <v>3</v>
      </c>
      <c r="K75" s="93">
        <v>134.79</v>
      </c>
      <c r="L75" s="92">
        <f t="shared" si="39"/>
        <v>1078.32</v>
      </c>
      <c r="M75" s="89">
        <v>20</v>
      </c>
      <c r="N75" s="89">
        <v>3</v>
      </c>
      <c r="O75" s="89">
        <v>763</v>
      </c>
      <c r="P75" s="89">
        <v>0</v>
      </c>
      <c r="Q75" s="233">
        <f t="shared" si="43"/>
        <v>0.42857142857142855</v>
      </c>
      <c r="R75" s="92">
        <f t="shared" si="44"/>
        <v>0.2857142857142857</v>
      </c>
      <c r="S75" s="93">
        <v>2</v>
      </c>
      <c r="T75" s="93">
        <v>0</v>
      </c>
      <c r="U75" s="92">
        <f t="shared" si="45"/>
        <v>2</v>
      </c>
      <c r="V75" s="93">
        <v>1144</v>
      </c>
      <c r="W75" s="93">
        <v>0</v>
      </c>
      <c r="X75" s="92">
        <f t="shared" si="46"/>
        <v>1144</v>
      </c>
      <c r="Y75" s="93">
        <v>1526</v>
      </c>
      <c r="Z75" s="93">
        <v>0</v>
      </c>
      <c r="AA75" s="92">
        <f t="shared" si="47"/>
        <v>1526</v>
      </c>
      <c r="AB75" s="92">
        <f t="shared" si="48"/>
        <v>0</v>
      </c>
      <c r="AC75" s="234">
        <f>AA75/$AA$131</f>
        <v>6.1827253090950397E-4</v>
      </c>
      <c r="AD75" s="92">
        <f t="shared" si="49"/>
        <v>269.58</v>
      </c>
      <c r="AE75" s="93">
        <v>583.66000000000008</v>
      </c>
      <c r="AF75" s="234">
        <f t="shared" si="50"/>
        <v>0.38247706422018352</v>
      </c>
      <c r="AG75" s="93">
        <v>171.29</v>
      </c>
      <c r="AH75" s="93"/>
      <c r="AI75" s="93">
        <v>0</v>
      </c>
      <c r="AJ75" s="93">
        <v>0</v>
      </c>
      <c r="AK75" s="93"/>
      <c r="AL75" s="122">
        <f>IFERROR($AL$131*H75/$H$131,0)</f>
        <v>1.057936978945881</v>
      </c>
      <c r="AM75" s="93">
        <v>0</v>
      </c>
      <c r="AN75" s="94">
        <f t="shared" si="51"/>
        <v>65.322400000000002</v>
      </c>
      <c r="AO75" s="95">
        <f t="shared" si="52"/>
        <v>435.08966302105415</v>
      </c>
      <c r="AP75" s="96"/>
      <c r="AQ75" s="97">
        <f t="shared" si="5"/>
        <v>763</v>
      </c>
      <c r="AR75" s="98">
        <f t="shared" si="32"/>
        <v>134.79</v>
      </c>
      <c r="AS75" s="98">
        <f t="shared" si="7"/>
        <v>291.83000000000004</v>
      </c>
      <c r="AT75" s="98">
        <f t="shared" si="8"/>
        <v>85.644999999999996</v>
      </c>
      <c r="AU75" s="98">
        <f t="shared" si="53"/>
        <v>0</v>
      </c>
      <c r="AV75" s="98">
        <f t="array" ref="AV75">_xlfn.IFS(U75=0,AO75,U75&lt;0,AO75/-U75,U75&gt;0,AO75/U75)</f>
        <v>217.54483151052708</v>
      </c>
      <c r="AW75" s="234">
        <f t="shared" si="40"/>
        <v>0.28511773461405909</v>
      </c>
      <c r="AX75" s="234">
        <f t="shared" si="41"/>
        <v>1.6139537911605244</v>
      </c>
      <c r="AY75" s="99"/>
      <c r="AZ75" s="94">
        <f t="shared" si="11"/>
        <v>1740.3586520842166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35</v>
      </c>
      <c r="F76" s="93">
        <v>5</v>
      </c>
      <c r="G76" s="93">
        <v>1</v>
      </c>
      <c r="H76" s="93">
        <v>28</v>
      </c>
      <c r="I76" s="93">
        <v>0</v>
      </c>
      <c r="J76" s="93">
        <v>1</v>
      </c>
      <c r="K76" s="93">
        <v>123.09</v>
      </c>
      <c r="L76" s="92">
        <f t="shared" si="39"/>
        <v>4308.1500000000005</v>
      </c>
      <c r="M76" s="89">
        <v>316</v>
      </c>
      <c r="N76" s="89">
        <v>8</v>
      </c>
      <c r="O76" s="89">
        <v>1050</v>
      </c>
      <c r="P76" s="89">
        <v>25</v>
      </c>
      <c r="Q76" s="233">
        <f t="shared" si="43"/>
        <v>1.1428571428571428</v>
      </c>
      <c r="R76" s="92">
        <f t="shared" si="44"/>
        <v>0.42857142857142855</v>
      </c>
      <c r="S76" s="93">
        <v>3</v>
      </c>
      <c r="T76" s="93">
        <v>0</v>
      </c>
      <c r="U76" s="92">
        <f t="shared" si="45"/>
        <v>3</v>
      </c>
      <c r="V76" s="93">
        <v>2306.91</v>
      </c>
      <c r="W76" s="93">
        <v>0</v>
      </c>
      <c r="X76" s="92">
        <f t="shared" si="46"/>
        <v>2306.91</v>
      </c>
      <c r="Y76" s="93">
        <v>3126.65</v>
      </c>
      <c r="Z76" s="93">
        <v>0</v>
      </c>
      <c r="AA76" s="92">
        <f t="shared" si="47"/>
        <v>3126.65</v>
      </c>
      <c r="AB76" s="92">
        <f t="shared" si="48"/>
        <v>2100</v>
      </c>
      <c r="AC76" s="234">
        <f>AA76/$AA$131</f>
        <v>1.2667901761259505E-3</v>
      </c>
      <c r="AD76" s="92">
        <f t="shared" si="49"/>
        <v>369.27</v>
      </c>
      <c r="AE76" s="93">
        <v>1187.19</v>
      </c>
      <c r="AF76" s="234">
        <f t="shared" si="50"/>
        <v>0.37970031823197353</v>
      </c>
      <c r="AG76" s="93">
        <v>601.68000000000006</v>
      </c>
      <c r="AH76" s="93"/>
      <c r="AI76" s="93">
        <v>819</v>
      </c>
      <c r="AJ76" s="93">
        <v>0</v>
      </c>
      <c r="AK76" s="93"/>
      <c r="AL76" s="122">
        <f>IFERROR($AL$131*H76/$H$131,0)</f>
        <v>29.622235410484667</v>
      </c>
      <c r="AM76" s="93">
        <v>0</v>
      </c>
      <c r="AN76" s="94">
        <f t="shared" si="51"/>
        <v>131.72456099999999</v>
      </c>
      <c r="AO76" s="95">
        <f t="shared" si="52"/>
        <v>-11.836796410484666</v>
      </c>
      <c r="AP76" s="96"/>
      <c r="AQ76" s="97">
        <f t="shared" si="5"/>
        <v>1042.2166666666667</v>
      </c>
      <c r="AR76" s="98">
        <f t="shared" si="32"/>
        <v>123.09</v>
      </c>
      <c r="AS76" s="98">
        <f t="shared" si="7"/>
        <v>395.73</v>
      </c>
      <c r="AT76" s="98">
        <f t="shared" si="8"/>
        <v>200.56000000000003</v>
      </c>
      <c r="AU76" s="98">
        <f t="shared" si="53"/>
        <v>273</v>
      </c>
      <c r="AV76" s="98">
        <f t="array" ref="AV76">_xlfn.IFS(U76=0,AO76,U76&lt;0,AO76/-U76,U76&gt;0,AO76/U76)</f>
        <v>-3.9455988034948888</v>
      </c>
      <c r="AW76" s="234">
        <f t="shared" si="40"/>
        <v>-3.7857759616473433E-3</v>
      </c>
      <c r="AX76" s="234">
        <f t="shared" si="41"/>
        <v>-3.2054584478795098E-2</v>
      </c>
      <c r="AY76" s="99"/>
      <c r="AZ76" s="94">
        <f t="shared" si="11"/>
        <v>-138.09595812232112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28</v>
      </c>
      <c r="F77" s="93">
        <v>2</v>
      </c>
      <c r="G77" s="93">
        <v>1</v>
      </c>
      <c r="H77" s="93">
        <v>20</v>
      </c>
      <c r="I77" s="93">
        <v>0</v>
      </c>
      <c r="J77" s="93">
        <v>5</v>
      </c>
      <c r="K77" s="93">
        <v>123.09</v>
      </c>
      <c r="L77" s="92">
        <f t="shared" si="39"/>
        <v>3446.52</v>
      </c>
      <c r="M77" s="89">
        <v>611</v>
      </c>
      <c r="N77" s="89">
        <v>6</v>
      </c>
      <c r="O77" s="89">
        <v>1150</v>
      </c>
      <c r="P77" s="89">
        <v>25</v>
      </c>
      <c r="Q77" s="233">
        <f t="shared" si="43"/>
        <v>0.8571428571428571</v>
      </c>
      <c r="R77" s="92">
        <f t="shared" si="44"/>
        <v>0.2857142857142857</v>
      </c>
      <c r="S77" s="93">
        <v>2</v>
      </c>
      <c r="T77" s="93">
        <v>0</v>
      </c>
      <c r="U77" s="92">
        <f t="shared" si="45"/>
        <v>2</v>
      </c>
      <c r="V77" s="93">
        <v>1719.96</v>
      </c>
      <c r="W77" s="93">
        <v>0</v>
      </c>
      <c r="X77" s="92">
        <f t="shared" si="46"/>
        <v>1719.96</v>
      </c>
      <c r="Y77" s="93">
        <v>2300.62</v>
      </c>
      <c r="Z77" s="93">
        <v>0</v>
      </c>
      <c r="AA77" s="92">
        <f t="shared" si="47"/>
        <v>2300.62</v>
      </c>
      <c r="AB77" s="92">
        <f t="shared" si="48"/>
        <v>1725</v>
      </c>
      <c r="AC77" s="234">
        <f>AA77/$AA$131</f>
        <v>9.3211674315925482E-4</v>
      </c>
      <c r="AD77" s="92">
        <f t="shared" si="49"/>
        <v>246.18</v>
      </c>
      <c r="AE77" s="93">
        <v>864.5</v>
      </c>
      <c r="AF77" s="234">
        <f t="shared" si="50"/>
        <v>0.37576827116168687</v>
      </c>
      <c r="AG77" s="93">
        <v>713.03000000000009</v>
      </c>
      <c r="AH77" s="93"/>
      <c r="AI77" s="93">
        <v>20</v>
      </c>
      <c r="AJ77" s="93">
        <v>1920</v>
      </c>
      <c r="AK77" s="93"/>
      <c r="AL77" s="122">
        <f>IFERROR($AL$131*H77/$H$131,0)</f>
        <v>21.158739578917622</v>
      </c>
      <c r="AM77" s="93">
        <v>0</v>
      </c>
      <c r="AN77" s="94">
        <f t="shared" si="51"/>
        <v>98.209716</v>
      </c>
      <c r="AO77" s="95">
        <f t="shared" si="52"/>
        <v>-1582.4584555789179</v>
      </c>
      <c r="AP77" s="96"/>
      <c r="AQ77" s="97">
        <f t="shared" si="5"/>
        <v>1150.31</v>
      </c>
      <c r="AR77" s="98">
        <f t="shared" si="32"/>
        <v>123.09</v>
      </c>
      <c r="AS77" s="98">
        <f t="shared" si="7"/>
        <v>432.25</v>
      </c>
      <c r="AT77" s="98">
        <f t="shared" si="8"/>
        <v>356.51500000000004</v>
      </c>
      <c r="AU77" s="98">
        <f t="shared" si="53"/>
        <v>970</v>
      </c>
      <c r="AV77" s="98">
        <f t="array" ref="AV77">_xlfn.IFS(U77=0,AO77,U77&lt;0,AO77/-U77,U77&gt;0,AO77/U77)</f>
        <v>-791.22922778945895</v>
      </c>
      <c r="AW77" s="234">
        <f t="shared" si="40"/>
        <v>-0.68783999773057614</v>
      </c>
      <c r="AX77" s="234">
        <f t="shared" si="41"/>
        <v>-6.4280544949992597</v>
      </c>
      <c r="AY77" s="99"/>
      <c r="AZ77" s="94">
        <f t="shared" si="11"/>
        <v>-22154.418378104849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15</v>
      </c>
      <c r="F78" s="93">
        <v>3</v>
      </c>
      <c r="G78" s="93">
        <v>2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39"/>
        <v>1846.3500000000001</v>
      </c>
      <c r="M78" s="89">
        <v>55</v>
      </c>
      <c r="N78" s="89">
        <v>5</v>
      </c>
      <c r="O78" s="89">
        <v>1000</v>
      </c>
      <c r="P78" s="89">
        <v>0</v>
      </c>
      <c r="Q78" s="233">
        <f t="shared" si="43"/>
        <v>0.7142857142857143</v>
      </c>
      <c r="R78" s="92">
        <f t="shared" si="44"/>
        <v>0.14285714285714285</v>
      </c>
      <c r="S78" s="93">
        <v>1</v>
      </c>
      <c r="T78" s="93">
        <v>0</v>
      </c>
      <c r="U78" s="92">
        <f t="shared" si="45"/>
        <v>1</v>
      </c>
      <c r="V78" s="93">
        <v>804.21</v>
      </c>
      <c r="W78" s="93">
        <v>0</v>
      </c>
      <c r="X78" s="92">
        <f t="shared" si="46"/>
        <v>804.21</v>
      </c>
      <c r="Y78" s="93">
        <v>1000.33</v>
      </c>
      <c r="Z78" s="93">
        <v>0</v>
      </c>
      <c r="AA78" s="92">
        <f t="shared" si="47"/>
        <v>1000.33</v>
      </c>
      <c r="AB78" s="92">
        <f t="shared" si="48"/>
        <v>0</v>
      </c>
      <c r="AC78" s="234">
        <f>AA78/$AA$131</f>
        <v>4.0529263489168027E-4</v>
      </c>
      <c r="AD78" s="92">
        <f t="shared" si="49"/>
        <v>123.09</v>
      </c>
      <c r="AE78" s="93">
        <v>372.71000000000004</v>
      </c>
      <c r="AF78" s="234">
        <f t="shared" si="50"/>
        <v>0.37258704627472938</v>
      </c>
      <c r="AG78" s="93">
        <v>469.02999999999986</v>
      </c>
      <c r="AH78" s="93"/>
      <c r="AI78" s="93">
        <v>0</v>
      </c>
      <c r="AJ78" s="93">
        <v>0</v>
      </c>
      <c r="AK78" s="93"/>
      <c r="AL78" s="122">
        <f>IFERROR($AL$131*H78/$H$131,0)</f>
        <v>9.5214328105129304</v>
      </c>
      <c r="AM78" s="93">
        <v>0</v>
      </c>
      <c r="AN78" s="94">
        <f t="shared" si="51"/>
        <v>45.920391000000002</v>
      </c>
      <c r="AO78" s="95">
        <f t="shared" si="52"/>
        <v>-19.941823810512819</v>
      </c>
      <c r="AP78" s="96"/>
      <c r="AQ78" s="97">
        <f t="shared" si="5"/>
        <v>1000.33</v>
      </c>
      <c r="AR78" s="98">
        <f t="shared" si="32"/>
        <v>123.09</v>
      </c>
      <c r="AS78" s="98">
        <f t="shared" si="7"/>
        <v>372.71000000000004</v>
      </c>
      <c r="AT78" s="98">
        <f t="shared" si="8"/>
        <v>469.02999999999986</v>
      </c>
      <c r="AU78" s="98">
        <f t="shared" si="53"/>
        <v>0</v>
      </c>
      <c r="AV78" s="98">
        <f t="array" ref="AV78">_xlfn.IFS(U78=0,AO78,U78&lt;0,AO78/-U78,U78&gt;0,AO78/U78)</f>
        <v>-19.941823810512819</v>
      </c>
      <c r="AW78" s="234">
        <f t="shared" si="40"/>
        <v>-1.9935245179603548E-2</v>
      </c>
      <c r="AX78" s="234">
        <f t="shared" si="41"/>
        <v>-0.16201010488677242</v>
      </c>
      <c r="AY78" s="99"/>
      <c r="AZ78" s="94">
        <f t="shared" si="11"/>
        <v>-299.1273571576923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25</v>
      </c>
      <c r="F79" s="93">
        <v>15</v>
      </c>
      <c r="G79" s="93">
        <v>9</v>
      </c>
      <c r="H79" s="93" t="s">
        <v>100</v>
      </c>
      <c r="I79" s="93">
        <v>0</v>
      </c>
      <c r="J79" s="93">
        <v>1</v>
      </c>
      <c r="K79" s="93">
        <v>164.04</v>
      </c>
      <c r="L79" s="92">
        <f t="shared" si="39"/>
        <v>4101</v>
      </c>
      <c r="M79" s="89">
        <v>16</v>
      </c>
      <c r="N79" s="89">
        <v>18</v>
      </c>
      <c r="O79" s="89">
        <v>1300</v>
      </c>
      <c r="P79" s="89">
        <v>40</v>
      </c>
      <c r="Q79" s="233">
        <f t="shared" si="43"/>
        <v>2.5714285714285716</v>
      </c>
      <c r="R79" s="92">
        <f t="shared" si="44"/>
        <v>1</v>
      </c>
      <c r="S79" s="93">
        <v>7</v>
      </c>
      <c r="T79" s="93">
        <v>0</v>
      </c>
      <c r="U79" s="92">
        <f t="shared" si="45"/>
        <v>7</v>
      </c>
      <c r="V79" s="93">
        <v>6603</v>
      </c>
      <c r="W79" s="93">
        <v>0</v>
      </c>
      <c r="X79" s="92">
        <f t="shared" si="46"/>
        <v>6603</v>
      </c>
      <c r="Y79" s="93">
        <v>9039</v>
      </c>
      <c r="Z79" s="93">
        <v>0</v>
      </c>
      <c r="AA79" s="92">
        <f t="shared" si="47"/>
        <v>9039</v>
      </c>
      <c r="AB79" s="92">
        <f t="shared" si="48"/>
        <v>9360</v>
      </c>
      <c r="AC79" s="234">
        <f>AA79/$AA$131</f>
        <v>3.6622315903610788E-3</v>
      </c>
      <c r="AD79" s="92">
        <f t="shared" si="49"/>
        <v>1148.28</v>
      </c>
      <c r="AE79" s="93">
        <v>3450.3599999999997</v>
      </c>
      <c r="AF79" s="234">
        <f t="shared" si="50"/>
        <v>0.38171921672751408</v>
      </c>
      <c r="AG79" s="93">
        <v>1729.6899999999998</v>
      </c>
      <c r="AH79" s="93"/>
      <c r="AI79" s="93">
        <v>0</v>
      </c>
      <c r="AJ79" s="93">
        <v>746</v>
      </c>
      <c r="AK79" s="93"/>
      <c r="AL79" s="122">
        <f>IFERROR($AL$131*H79/$H$131,0)</f>
        <v>0</v>
      </c>
      <c r="AM79" s="93">
        <v>0</v>
      </c>
      <c r="AN79" s="94">
        <f t="shared" si="51"/>
        <v>377.03129999999999</v>
      </c>
      <c r="AO79" s="95">
        <f t="shared" si="52"/>
        <v>1587.6387000000009</v>
      </c>
      <c r="AP79" s="96"/>
      <c r="AQ79" s="97">
        <f t="shared" si="5"/>
        <v>1291.2857142857142</v>
      </c>
      <c r="AR79" s="98">
        <f t="shared" si="32"/>
        <v>164.04</v>
      </c>
      <c r="AS79" s="98">
        <f t="shared" si="7"/>
        <v>492.90857142857141</v>
      </c>
      <c r="AT79" s="98">
        <f t="shared" si="8"/>
        <v>247.0985714285714</v>
      </c>
      <c r="AU79" s="98">
        <f t="shared" si="53"/>
        <v>106.57142857142857</v>
      </c>
      <c r="AV79" s="98">
        <f t="array" ref="AV79">_xlfn.IFS(U79=0,AO79,U79&lt;0,AO79/-U79,U79&gt;0,AO79/U79)</f>
        <v>226.80552857142871</v>
      </c>
      <c r="AW79" s="234">
        <f t="shared" si="40"/>
        <v>0.17564317955526065</v>
      </c>
      <c r="AX79" s="234">
        <f t="shared" si="41"/>
        <v>1.3826233148709384</v>
      </c>
      <c r="AY79" s="99"/>
      <c r="AZ79" s="94">
        <f t="shared" si="11"/>
        <v>5670.1382142857174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21</v>
      </c>
      <c r="F80" s="93">
        <v>1</v>
      </c>
      <c r="G80" s="93">
        <v>1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39"/>
        <v>3444.8399999999997</v>
      </c>
      <c r="M80" s="89">
        <v>254</v>
      </c>
      <c r="N80" s="89">
        <v>2</v>
      </c>
      <c r="O80" s="89">
        <v>987</v>
      </c>
      <c r="P80" s="89">
        <v>100</v>
      </c>
      <c r="Q80" s="233">
        <f t="shared" si="43"/>
        <v>0.2857142857142857</v>
      </c>
      <c r="R80" s="92">
        <f t="shared" si="44"/>
        <v>0.2857142857142857</v>
      </c>
      <c r="S80" s="93">
        <v>2</v>
      </c>
      <c r="T80" s="93">
        <v>0</v>
      </c>
      <c r="U80" s="92">
        <f t="shared" si="45"/>
        <v>2</v>
      </c>
      <c r="V80" s="93">
        <v>1453</v>
      </c>
      <c r="W80" s="93">
        <v>0</v>
      </c>
      <c r="X80" s="92">
        <f t="shared" si="46"/>
        <v>1453</v>
      </c>
      <c r="Y80" s="93">
        <v>1974</v>
      </c>
      <c r="Z80" s="93">
        <v>0</v>
      </c>
      <c r="AA80" s="92">
        <f t="shared" si="47"/>
        <v>1974</v>
      </c>
      <c r="AB80" s="92">
        <f t="shared" si="48"/>
        <v>1974</v>
      </c>
      <c r="AC80" s="234">
        <f>AA80/$AA$131</f>
        <v>7.9978373264440422E-4</v>
      </c>
      <c r="AD80" s="92">
        <f t="shared" si="49"/>
        <v>328.08</v>
      </c>
      <c r="AE80" s="93">
        <v>760.40000000000009</v>
      </c>
      <c r="AF80" s="234">
        <f t="shared" si="50"/>
        <v>0.38520770010131716</v>
      </c>
      <c r="AG80" s="93">
        <v>188.64000000000001</v>
      </c>
      <c r="AH80" s="93"/>
      <c r="AI80" s="93">
        <v>144</v>
      </c>
      <c r="AJ80" s="93">
        <v>0</v>
      </c>
      <c r="AK80" s="93"/>
      <c r="AL80" s="122">
        <f>IFERROR($AL$131*H80/$H$131,0)</f>
        <v>19.042865621025861</v>
      </c>
      <c r="AM80" s="93">
        <v>0</v>
      </c>
      <c r="AN80" s="94">
        <f t="shared" si="51"/>
        <v>82.966300000000004</v>
      </c>
      <c r="AO80" s="95">
        <f t="shared" si="52"/>
        <v>450.87083437897417</v>
      </c>
      <c r="AP80" s="96"/>
      <c r="AQ80" s="97">
        <f t="shared" si="5"/>
        <v>987</v>
      </c>
      <c r="AR80" s="98">
        <f t="shared" si="32"/>
        <v>164.04</v>
      </c>
      <c r="AS80" s="98">
        <f t="shared" si="7"/>
        <v>380.20000000000005</v>
      </c>
      <c r="AT80" s="98">
        <f t="shared" si="8"/>
        <v>94.320000000000007</v>
      </c>
      <c r="AU80" s="98">
        <f t="shared" si="53"/>
        <v>72</v>
      </c>
      <c r="AV80" s="98">
        <f t="array" ref="AV80">_xlfn.IFS(U80=0,AO80,U80&lt;0,AO80/-U80,U80&gt;0,AO80/U80)</f>
        <v>225.43541718948708</v>
      </c>
      <c r="AW80" s="234">
        <f t="shared" si="40"/>
        <v>0.22840467800353301</v>
      </c>
      <c r="AX80" s="234">
        <f t="shared" si="41"/>
        <v>1.3742710143226475</v>
      </c>
      <c r="AY80" s="99"/>
      <c r="AZ80" s="94">
        <f t="shared" si="11"/>
        <v>4734.1437609792283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39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3"/>
        <v>0</v>
      </c>
      <c r="R81" s="92">
        <f t="shared" si="44"/>
        <v>0</v>
      </c>
      <c r="S81" s="93">
        <v>0</v>
      </c>
      <c r="T81" s="93">
        <v>0</v>
      </c>
      <c r="U81" s="92">
        <f t="shared" si="45"/>
        <v>0</v>
      </c>
      <c r="V81" s="93">
        <v>0</v>
      </c>
      <c r="W81" s="93">
        <v>0</v>
      </c>
      <c r="X81" s="92">
        <f t="shared" si="46"/>
        <v>0</v>
      </c>
      <c r="Y81" s="93">
        <v>0</v>
      </c>
      <c r="Z81" s="93">
        <v>0</v>
      </c>
      <c r="AA81" s="92">
        <f t="shared" si="47"/>
        <v>0</v>
      </c>
      <c r="AB81" s="92">
        <f t="shared" si="48"/>
        <v>0</v>
      </c>
      <c r="AC81" s="234">
        <f>AA81/$AA$131</f>
        <v>0</v>
      </c>
      <c r="AD81" s="92">
        <f t="shared" si="49"/>
        <v>0</v>
      </c>
      <c r="AE81" s="93">
        <v>0</v>
      </c>
      <c r="AF81" s="234">
        <f t="shared" si="50"/>
        <v>0</v>
      </c>
      <c r="AG81" s="93">
        <v>0</v>
      </c>
      <c r="AH81" s="93"/>
      <c r="AI81" s="93">
        <v>0</v>
      </c>
      <c r="AJ81" s="93">
        <v>0</v>
      </c>
      <c r="AK81" s="93"/>
      <c r="AL81" s="122">
        <f>IFERROR($AL$131*H81/$H$131,0)</f>
        <v>13.753180726296454</v>
      </c>
      <c r="AM81" s="93">
        <v>0</v>
      </c>
      <c r="AN81" s="94">
        <f t="shared" si="51"/>
        <v>0</v>
      </c>
      <c r="AO81" s="95">
        <f t="shared" si="52"/>
        <v>-13.753180726296454</v>
      </c>
      <c r="AP81" s="96"/>
      <c r="AQ81" s="97">
        <f t="shared" si="5"/>
        <v>0</v>
      </c>
      <c r="AR81" s="98">
        <f t="shared" si="32"/>
        <v>128.94</v>
      </c>
      <c r="AS81" s="98">
        <f t="shared" si="7"/>
        <v>0</v>
      </c>
      <c r="AT81" s="98">
        <f t="shared" si="8"/>
        <v>0</v>
      </c>
      <c r="AU81" s="98">
        <f t="shared" si="53"/>
        <v>0</v>
      </c>
      <c r="AV81" s="98">
        <f t="array" ref="AV81">_xlfn.IFS(U81=0,AO81,U81&lt;0,AO81/-U81,U81&gt;0,AO81/U81)</f>
        <v>-13.753180726296454</v>
      </c>
      <c r="AW81" s="234">
        <f t="shared" si="40"/>
        <v>0</v>
      </c>
      <c r="AX81" s="234">
        <f t="shared" si="41"/>
        <v>-0.10666341497050143</v>
      </c>
      <c r="AY81" s="99"/>
      <c r="AZ81" s="94">
        <f t="shared" si="11"/>
        <v>-192.54453016815037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42</v>
      </c>
      <c r="F82" s="93" t="s">
        <v>100</v>
      </c>
      <c r="G82" s="93" t="s">
        <v>100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39"/>
        <v>5415.48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3"/>
        <v>0</v>
      </c>
      <c r="R82" s="92">
        <f t="shared" si="44"/>
        <v>0</v>
      </c>
      <c r="S82" s="93">
        <v>0</v>
      </c>
      <c r="T82" s="93">
        <v>0</v>
      </c>
      <c r="U82" s="92">
        <f t="shared" si="45"/>
        <v>0</v>
      </c>
      <c r="V82" s="93">
        <v>0</v>
      </c>
      <c r="W82" s="93">
        <v>0</v>
      </c>
      <c r="X82" s="92">
        <f t="shared" si="46"/>
        <v>0</v>
      </c>
      <c r="Y82" s="93">
        <v>0</v>
      </c>
      <c r="Z82" s="93">
        <v>0</v>
      </c>
      <c r="AA82" s="92">
        <f t="shared" si="47"/>
        <v>0</v>
      </c>
      <c r="AB82" s="92">
        <f t="shared" si="48"/>
        <v>0</v>
      </c>
      <c r="AC82" s="234">
        <f>AA82/$AA$131</f>
        <v>0</v>
      </c>
      <c r="AD82" s="92">
        <f t="shared" si="49"/>
        <v>0</v>
      </c>
      <c r="AE82" s="93">
        <v>0</v>
      </c>
      <c r="AF82" s="234">
        <f t="shared" si="50"/>
        <v>0</v>
      </c>
      <c r="AG82" s="93">
        <v>0</v>
      </c>
      <c r="AH82" s="93"/>
      <c r="AI82" s="93">
        <v>514</v>
      </c>
      <c r="AJ82" s="93">
        <v>0</v>
      </c>
      <c r="AK82" s="93"/>
      <c r="AL82" s="122">
        <f>IFERROR($AL$131*H82/$H$131,0)</f>
        <v>43.375416136781126</v>
      </c>
      <c r="AM82" s="93">
        <v>0</v>
      </c>
      <c r="AN82" s="94">
        <f t="shared" si="51"/>
        <v>0</v>
      </c>
      <c r="AO82" s="95">
        <f t="shared" si="52"/>
        <v>-557.37541613678115</v>
      </c>
      <c r="AP82" s="96"/>
      <c r="AQ82" s="97">
        <f t="shared" si="5"/>
        <v>0</v>
      </c>
      <c r="AR82" s="98">
        <f t="shared" si="32"/>
        <v>128.94</v>
      </c>
      <c r="AS82" s="98">
        <f t="shared" si="7"/>
        <v>0</v>
      </c>
      <c r="AT82" s="98">
        <f t="shared" si="8"/>
        <v>0</v>
      </c>
      <c r="AU82" s="98">
        <f t="shared" si="53"/>
        <v>0</v>
      </c>
      <c r="AV82" s="98">
        <f t="array" ref="AV82">_xlfn.IFS(U82=0,AO82,U82&lt;0,AO82/-U82,U82&gt;0,AO82/U82)</f>
        <v>-557.37541613678115</v>
      </c>
      <c r="AW82" s="234">
        <f t="shared" si="40"/>
        <v>0</v>
      </c>
      <c r="AX82" s="234">
        <f t="shared" si="41"/>
        <v>-4.3227502414827139</v>
      </c>
      <c r="AY82" s="99"/>
      <c r="AZ82" s="94">
        <f t="shared" si="11"/>
        <v>-23409.767477744808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43</v>
      </c>
      <c r="F83" s="93" t="s">
        <v>100</v>
      </c>
      <c r="G83" s="93" t="s">
        <v>100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39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3"/>
        <v>0</v>
      </c>
      <c r="R83" s="92">
        <f t="shared" si="44"/>
        <v>0</v>
      </c>
      <c r="S83" s="93">
        <v>0</v>
      </c>
      <c r="T83" s="93">
        <v>0</v>
      </c>
      <c r="U83" s="92">
        <f t="shared" si="45"/>
        <v>0</v>
      </c>
      <c r="V83" s="93">
        <v>0</v>
      </c>
      <c r="W83" s="93">
        <v>0</v>
      </c>
      <c r="X83" s="92">
        <f t="shared" si="46"/>
        <v>0</v>
      </c>
      <c r="Y83" s="93">
        <v>0</v>
      </c>
      <c r="Z83" s="93">
        <v>0</v>
      </c>
      <c r="AA83" s="92">
        <f t="shared" si="47"/>
        <v>0</v>
      </c>
      <c r="AB83" s="92">
        <f t="shared" si="48"/>
        <v>0</v>
      </c>
      <c r="AC83" s="234">
        <f>AA83/$AA$131</f>
        <v>0</v>
      </c>
      <c r="AD83" s="92">
        <f t="shared" si="49"/>
        <v>0</v>
      </c>
      <c r="AE83" s="93">
        <v>0</v>
      </c>
      <c r="AF83" s="234">
        <f t="shared" si="50"/>
        <v>0</v>
      </c>
      <c r="AG83" s="93">
        <v>0</v>
      </c>
      <c r="AH83" s="93"/>
      <c r="AI83" s="93">
        <v>0</v>
      </c>
      <c r="AJ83" s="93">
        <v>0</v>
      </c>
      <c r="AK83" s="93"/>
      <c r="AL83" s="122">
        <f>IFERROR($AL$131*H83/$H$131,0)</f>
        <v>44.433353115727009</v>
      </c>
      <c r="AM83" s="93">
        <v>0</v>
      </c>
      <c r="AN83" s="94">
        <f t="shared" si="51"/>
        <v>0</v>
      </c>
      <c r="AO83" s="95">
        <f t="shared" si="52"/>
        <v>-44.433353115727009</v>
      </c>
      <c r="AP83" s="96"/>
      <c r="AQ83" s="97">
        <f t="shared" si="5"/>
        <v>0</v>
      </c>
      <c r="AR83" s="98">
        <f t="shared" si="32"/>
        <v>123.09</v>
      </c>
      <c r="AS83" s="98">
        <f t="shared" si="7"/>
        <v>0</v>
      </c>
      <c r="AT83" s="98">
        <f t="shared" si="8"/>
        <v>0</v>
      </c>
      <c r="AU83" s="98">
        <f t="shared" si="53"/>
        <v>0</v>
      </c>
      <c r="AV83" s="98">
        <f t="array" ref="AV83">_xlfn.IFS(U83=0,AO83,U83&lt;0,AO83/-U83,U83&gt;0,AO83/U83)</f>
        <v>-44.433353115727009</v>
      </c>
      <c r="AW83" s="234">
        <f t="shared" si="40"/>
        <v>0</v>
      </c>
      <c r="AX83" s="234">
        <f t="shared" si="41"/>
        <v>-0.36098263965981808</v>
      </c>
      <c r="AY83" s="99"/>
      <c r="AZ83" s="94">
        <f t="shared" si="11"/>
        <v>-1910.6341839762613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40</v>
      </c>
      <c r="F84" s="93">
        <v>5</v>
      </c>
      <c r="G84" s="93">
        <v>1</v>
      </c>
      <c r="H84" s="93">
        <v>33</v>
      </c>
      <c r="I84" s="93">
        <v>0</v>
      </c>
      <c r="J84" s="93">
        <v>1</v>
      </c>
      <c r="K84" s="93">
        <v>146.49</v>
      </c>
      <c r="L84" s="92">
        <f t="shared" si="39"/>
        <v>5859.6</v>
      </c>
      <c r="M84" s="89">
        <v>999</v>
      </c>
      <c r="N84" s="89">
        <v>6</v>
      </c>
      <c r="O84" s="89">
        <v>1201</v>
      </c>
      <c r="P84" s="89">
        <v>0</v>
      </c>
      <c r="Q84" s="233">
        <f t="shared" si="43"/>
        <v>0.8571428571428571</v>
      </c>
      <c r="R84" s="92">
        <f t="shared" si="44"/>
        <v>0.14285714285714285</v>
      </c>
      <c r="S84" s="93">
        <v>1</v>
      </c>
      <c r="T84" s="93">
        <v>0</v>
      </c>
      <c r="U84" s="92">
        <f t="shared" si="45"/>
        <v>1</v>
      </c>
      <c r="V84" s="93">
        <v>865</v>
      </c>
      <c r="W84" s="93">
        <v>0</v>
      </c>
      <c r="X84" s="92">
        <f t="shared" si="46"/>
        <v>865</v>
      </c>
      <c r="Y84" s="93">
        <v>1201</v>
      </c>
      <c r="Z84" s="93">
        <v>0</v>
      </c>
      <c r="AA84" s="92">
        <f t="shared" si="47"/>
        <v>1201</v>
      </c>
      <c r="AB84" s="92">
        <f t="shared" si="48"/>
        <v>0</v>
      </c>
      <c r="AC84" s="234">
        <f>AA84/$AA$131</f>
        <v>4.8659587786521247E-4</v>
      </c>
      <c r="AD84" s="92">
        <f t="shared" si="49"/>
        <v>146.49</v>
      </c>
      <c r="AE84" s="93">
        <v>457.95000000000005</v>
      </c>
      <c r="AF84" s="234">
        <f t="shared" si="50"/>
        <v>0.38130724396336391</v>
      </c>
      <c r="AG84" s="93">
        <v>66.81</v>
      </c>
      <c r="AH84" s="93"/>
      <c r="AI84" s="93">
        <v>0</v>
      </c>
      <c r="AJ84" s="93">
        <v>0</v>
      </c>
      <c r="AK84" s="93"/>
      <c r="AL84" s="122">
        <f>IFERROR($AL$131*H84/$H$131,0)</f>
        <v>34.911920305214075</v>
      </c>
      <c r="AM84" s="93">
        <v>0</v>
      </c>
      <c r="AN84" s="94">
        <f t="shared" si="51"/>
        <v>49.391500000000001</v>
      </c>
      <c r="AO84" s="95">
        <f t="shared" si="52"/>
        <v>445.4465796947859</v>
      </c>
      <c r="AP84" s="96"/>
      <c r="AQ84" s="97">
        <f t="shared" si="5"/>
        <v>1201</v>
      </c>
      <c r="AR84" s="98">
        <f t="shared" si="32"/>
        <v>146.49</v>
      </c>
      <c r="AS84" s="98">
        <f t="shared" si="7"/>
        <v>457.95000000000005</v>
      </c>
      <c r="AT84" s="98">
        <f t="shared" si="8"/>
        <v>66.81</v>
      </c>
      <c r="AU84" s="98">
        <f t="shared" si="53"/>
        <v>0</v>
      </c>
      <c r="AV84" s="98">
        <f t="array" ref="AV84">_xlfn.IFS(U84=0,AO84,U84&lt;0,AO84/-U84,U84&gt;0,AO84/U84)</f>
        <v>445.4465796947859</v>
      </c>
      <c r="AW84" s="234">
        <f t="shared" si="40"/>
        <v>0.37089640274336877</v>
      </c>
      <c r="AX84" s="234">
        <f t="shared" si="41"/>
        <v>3.0407985507187241</v>
      </c>
      <c r="AY84" s="99"/>
      <c r="AZ84" s="94">
        <f t="shared" si="11"/>
        <v>17817.863187791438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34</v>
      </c>
      <c r="F85" s="93" t="s">
        <v>100</v>
      </c>
      <c r="G85" s="93" t="s">
        <v>100</v>
      </c>
      <c r="H85" s="93">
        <v>32</v>
      </c>
      <c r="I85" s="93">
        <v>0</v>
      </c>
      <c r="J85" s="93">
        <v>2</v>
      </c>
      <c r="K85" s="93">
        <v>103.2</v>
      </c>
      <c r="L85" s="92">
        <f t="shared" si="39"/>
        <v>3508.8</v>
      </c>
      <c r="M85" s="89">
        <v>966</v>
      </c>
      <c r="N85" s="89">
        <v>0</v>
      </c>
      <c r="O85" s="89">
        <v>0</v>
      </c>
      <c r="P85" s="89">
        <v>0</v>
      </c>
      <c r="Q85" s="233">
        <f t="shared" si="43"/>
        <v>0</v>
      </c>
      <c r="R85" s="92">
        <f t="shared" si="44"/>
        <v>0.14285714285714285</v>
      </c>
      <c r="S85" s="93">
        <v>1</v>
      </c>
      <c r="T85" s="93">
        <v>0</v>
      </c>
      <c r="U85" s="92">
        <f t="shared" si="45"/>
        <v>1</v>
      </c>
      <c r="V85" s="93">
        <v>686</v>
      </c>
      <c r="W85" s="93">
        <v>0</v>
      </c>
      <c r="X85" s="92">
        <f t="shared" si="46"/>
        <v>686</v>
      </c>
      <c r="Y85" s="93">
        <v>900</v>
      </c>
      <c r="Z85" s="93">
        <v>0</v>
      </c>
      <c r="AA85" s="92">
        <f t="shared" si="47"/>
        <v>900</v>
      </c>
      <c r="AB85" s="92">
        <f t="shared" si="48"/>
        <v>0</v>
      </c>
      <c r="AC85" s="234">
        <f>AA85/$AA$131</f>
        <v>3.6464303919957636E-4</v>
      </c>
      <c r="AD85" s="92">
        <f t="shared" si="49"/>
        <v>103.2</v>
      </c>
      <c r="AE85" s="93">
        <v>350.73</v>
      </c>
      <c r="AF85" s="234">
        <f t="shared" si="50"/>
        <v>0.38970000000000005</v>
      </c>
      <c r="AG85" s="93">
        <v>59.17</v>
      </c>
      <c r="AH85" s="93"/>
      <c r="AI85" s="93">
        <v>0</v>
      </c>
      <c r="AJ85" s="93">
        <v>408</v>
      </c>
      <c r="AK85" s="93"/>
      <c r="AL85" s="122">
        <f>IFERROR($AL$131*H85/$H$131,0)</f>
        <v>33.853983326268192</v>
      </c>
      <c r="AM85" s="93">
        <v>0</v>
      </c>
      <c r="AN85" s="94">
        <f t="shared" si="51"/>
        <v>39.1706</v>
      </c>
      <c r="AO85" s="95">
        <f t="shared" si="52"/>
        <v>-94.124583326268265</v>
      </c>
      <c r="AP85" s="96"/>
      <c r="AQ85" s="97">
        <f t="shared" si="5"/>
        <v>900</v>
      </c>
      <c r="AR85" s="98">
        <f t="shared" si="32"/>
        <v>103.2</v>
      </c>
      <c r="AS85" s="98">
        <f t="shared" si="7"/>
        <v>350.73</v>
      </c>
      <c r="AT85" s="98">
        <f t="shared" si="8"/>
        <v>59.17</v>
      </c>
      <c r="AU85" s="98">
        <f t="shared" si="53"/>
        <v>408</v>
      </c>
      <c r="AV85" s="98">
        <f t="array" ref="AV85">_xlfn.IFS(U85=0,AO85,U85&lt;0,AO85/-U85,U85&gt;0,AO85/U85)</f>
        <v>-94.124583326268265</v>
      </c>
      <c r="AW85" s="234">
        <f t="shared" si="40"/>
        <v>-0.1045828703625203</v>
      </c>
      <c r="AX85" s="234">
        <f t="shared" si="41"/>
        <v>-0.91205991595221181</v>
      </c>
      <c r="AY85" s="99"/>
      <c r="AZ85" s="94">
        <f t="shared" si="11"/>
        <v>-3200.2358330931211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33</v>
      </c>
      <c r="F86" s="93">
        <v>28</v>
      </c>
      <c r="G86" s="93">
        <v>4</v>
      </c>
      <c r="H86" s="93" t="s">
        <v>100</v>
      </c>
      <c r="I86" s="93">
        <v>0</v>
      </c>
      <c r="J86" s="93">
        <v>1</v>
      </c>
      <c r="K86" s="93">
        <v>150</v>
      </c>
      <c r="L86" s="92">
        <f t="shared" si="39"/>
        <v>4950</v>
      </c>
      <c r="M86" s="89">
        <v>25</v>
      </c>
      <c r="N86" s="89">
        <v>31</v>
      </c>
      <c r="O86" s="89">
        <v>1064</v>
      </c>
      <c r="P86" s="89">
        <v>25</v>
      </c>
      <c r="Q86" s="233">
        <f t="shared" si="43"/>
        <v>4.4285714285714288</v>
      </c>
      <c r="R86" s="92">
        <f t="shared" si="44"/>
        <v>0.42857142857142855</v>
      </c>
      <c r="S86" s="93">
        <v>5</v>
      </c>
      <c r="T86" s="93">
        <v>-2</v>
      </c>
      <c r="U86" s="92">
        <f t="shared" si="45"/>
        <v>3</v>
      </c>
      <c r="V86" s="93">
        <v>3819</v>
      </c>
      <c r="W86" s="93">
        <v>-1516</v>
      </c>
      <c r="X86" s="92">
        <f t="shared" si="46"/>
        <v>2303</v>
      </c>
      <c r="Y86" s="93">
        <v>5320</v>
      </c>
      <c r="Z86" s="93">
        <v>-2128</v>
      </c>
      <c r="AA86" s="92">
        <f t="shared" si="47"/>
        <v>3192</v>
      </c>
      <c r="AB86" s="92">
        <f t="shared" si="48"/>
        <v>8246</v>
      </c>
      <c r="AC86" s="234">
        <f>AA86/$AA$131</f>
        <v>1.2932673123611641E-3</v>
      </c>
      <c r="AD86" s="92">
        <f t="shared" si="49"/>
        <v>450</v>
      </c>
      <c r="AE86" s="93">
        <v>1224.01</v>
      </c>
      <c r="AF86" s="234">
        <f t="shared" si="50"/>
        <v>0.38346177944862153</v>
      </c>
      <c r="AG86" s="93">
        <v>813.59999999999991</v>
      </c>
      <c r="AH86" s="93"/>
      <c r="AI86" s="93">
        <v>10</v>
      </c>
      <c r="AJ86" s="93">
        <v>628</v>
      </c>
      <c r="AK86" s="93"/>
      <c r="AL86" s="122">
        <f>IFERROR($AL$131*H86/$H$131,0)</f>
        <v>0</v>
      </c>
      <c r="AM86" s="93">
        <v>0</v>
      </c>
      <c r="AN86" s="94">
        <f t="shared" si="51"/>
        <v>131.50129999999999</v>
      </c>
      <c r="AO86" s="95">
        <f t="shared" si="52"/>
        <v>-65.111299999999886</v>
      </c>
      <c r="AP86" s="96"/>
      <c r="AQ86" s="97">
        <f t="shared" si="5"/>
        <v>1064</v>
      </c>
      <c r="AR86" s="98">
        <f t="shared" si="32"/>
        <v>150</v>
      </c>
      <c r="AS86" s="98">
        <f t="shared" si="7"/>
        <v>408.00333333333333</v>
      </c>
      <c r="AT86" s="98">
        <f t="shared" si="8"/>
        <v>162.71999999999997</v>
      </c>
      <c r="AU86" s="98">
        <f t="shared" si="53"/>
        <v>127.6</v>
      </c>
      <c r="AV86" s="98">
        <f t="array" ref="AV86">_xlfn.IFS(U86=0,AO86,U86&lt;0,AO86/-U86,U86&gt;0,AO86/U86)</f>
        <v>-21.703766666666628</v>
      </c>
      <c r="AW86" s="234">
        <f t="shared" si="40"/>
        <v>-2.0398276942355853E-2</v>
      </c>
      <c r="AX86" s="234">
        <f t="shared" si="41"/>
        <v>-0.14469177777777753</v>
      </c>
      <c r="AY86" s="99"/>
      <c r="AZ86" s="94">
        <f t="shared" si="11"/>
        <v>-716.22429999999872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4</v>
      </c>
      <c r="F87" s="93">
        <v>1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39"/>
        <v>600</v>
      </c>
      <c r="M87" s="89">
        <v>41</v>
      </c>
      <c r="N87" s="89">
        <v>2</v>
      </c>
      <c r="O87" s="89">
        <v>1056</v>
      </c>
      <c r="P87" s="89">
        <v>0</v>
      </c>
      <c r="Q87" s="233">
        <f t="shared" si="43"/>
        <v>0.2857142857142857</v>
      </c>
      <c r="R87" s="92">
        <f t="shared" si="44"/>
        <v>0.14285714285714285</v>
      </c>
      <c r="S87" s="93">
        <v>1</v>
      </c>
      <c r="T87" s="93">
        <v>0</v>
      </c>
      <c r="U87" s="92">
        <f t="shared" si="45"/>
        <v>1</v>
      </c>
      <c r="V87" s="93">
        <v>804</v>
      </c>
      <c r="W87" s="93">
        <v>0</v>
      </c>
      <c r="X87" s="92">
        <f t="shared" si="46"/>
        <v>804</v>
      </c>
      <c r="Y87" s="93">
        <v>1056</v>
      </c>
      <c r="Z87" s="93">
        <v>0</v>
      </c>
      <c r="AA87" s="92">
        <f t="shared" si="47"/>
        <v>1056</v>
      </c>
      <c r="AB87" s="92">
        <f t="shared" si="48"/>
        <v>0</v>
      </c>
      <c r="AC87" s="234">
        <f>AA87/$AA$131</f>
        <v>4.278478326608363E-4</v>
      </c>
      <c r="AD87" s="92">
        <f t="shared" si="49"/>
        <v>150</v>
      </c>
      <c r="AE87" s="93">
        <v>404.4</v>
      </c>
      <c r="AF87" s="234">
        <f t="shared" si="50"/>
        <v>0.38295454545454544</v>
      </c>
      <c r="AG87" s="93">
        <v>202.23</v>
      </c>
      <c r="AH87" s="93"/>
      <c r="AI87" s="93">
        <v>0</v>
      </c>
      <c r="AJ87" s="93">
        <v>0</v>
      </c>
      <c r="AK87" s="93"/>
      <c r="AL87" s="122">
        <f>IFERROR($AL$131*H87/$H$131,0)</f>
        <v>0</v>
      </c>
      <c r="AM87" s="93">
        <v>0</v>
      </c>
      <c r="AN87" s="94">
        <f t="shared" si="51"/>
        <v>45.9084</v>
      </c>
      <c r="AO87" s="95">
        <f t="shared" si="52"/>
        <v>253.4616</v>
      </c>
      <c r="AP87" s="96"/>
      <c r="AQ87" s="97">
        <f t="shared" si="5"/>
        <v>1056</v>
      </c>
      <c r="AR87" s="98">
        <f t="shared" si="32"/>
        <v>150</v>
      </c>
      <c r="AS87" s="98">
        <f t="shared" si="7"/>
        <v>404.4</v>
      </c>
      <c r="AT87" s="98">
        <f t="shared" si="8"/>
        <v>202.23</v>
      </c>
      <c r="AU87" s="98">
        <f t="shared" si="53"/>
        <v>0</v>
      </c>
      <c r="AV87" s="98">
        <f t="array" ref="AV87">_xlfn.IFS(U87=0,AO87,U87&lt;0,AO87/-U87,U87&gt;0,AO87/U87)</f>
        <v>253.4616</v>
      </c>
      <c r="AW87" s="234">
        <f t="shared" si="40"/>
        <v>0.24002045454545454</v>
      </c>
      <c r="AX87" s="234">
        <f t="shared" si="41"/>
        <v>1.6897440000000001</v>
      </c>
      <c r="AY87" s="99"/>
      <c r="AZ87" s="94">
        <f t="shared" si="11"/>
        <v>1013.8464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5</v>
      </c>
      <c r="F88" s="93">
        <v>1</v>
      </c>
      <c r="G88" s="93">
        <v>1</v>
      </c>
      <c r="H88" s="93" t="s">
        <v>100</v>
      </c>
      <c r="I88" s="93">
        <v>0</v>
      </c>
      <c r="J88" s="93">
        <v>3</v>
      </c>
      <c r="K88" s="93">
        <v>150</v>
      </c>
      <c r="L88" s="92">
        <f t="shared" si="39"/>
        <v>750</v>
      </c>
      <c r="M88" s="89">
        <v>15</v>
      </c>
      <c r="N88" s="89">
        <v>1</v>
      </c>
      <c r="O88" s="89">
        <v>1257</v>
      </c>
      <c r="P88" s="89">
        <v>0</v>
      </c>
      <c r="Q88" s="233">
        <f t="shared" si="43"/>
        <v>0.14285714285714285</v>
      </c>
      <c r="R88" s="92">
        <f t="shared" si="44"/>
        <v>0</v>
      </c>
      <c r="S88" s="93">
        <v>0</v>
      </c>
      <c r="T88" s="93">
        <v>0</v>
      </c>
      <c r="U88" s="92">
        <f t="shared" si="45"/>
        <v>0</v>
      </c>
      <c r="V88" s="93">
        <v>0</v>
      </c>
      <c r="W88" s="93">
        <v>0</v>
      </c>
      <c r="X88" s="92">
        <f t="shared" si="46"/>
        <v>0</v>
      </c>
      <c r="Y88" s="93">
        <v>0</v>
      </c>
      <c r="Z88" s="93">
        <v>0</v>
      </c>
      <c r="AA88" s="92">
        <f t="shared" si="47"/>
        <v>0</v>
      </c>
      <c r="AB88" s="92">
        <f t="shared" si="48"/>
        <v>0</v>
      </c>
      <c r="AC88" s="234">
        <f>AA88/$AA$131</f>
        <v>0</v>
      </c>
      <c r="AD88" s="92">
        <f t="shared" si="49"/>
        <v>0</v>
      </c>
      <c r="AE88" s="93">
        <v>0</v>
      </c>
      <c r="AF88" s="234">
        <f t="shared" si="50"/>
        <v>0</v>
      </c>
      <c r="AG88" s="93">
        <v>154.02000000000001</v>
      </c>
      <c r="AH88" s="93"/>
      <c r="AI88" s="93">
        <v>0</v>
      </c>
      <c r="AJ88" s="93">
        <v>0</v>
      </c>
      <c r="AK88" s="93"/>
      <c r="AL88" s="122">
        <f>IFERROR($AL$131*H88/$H$131,0)</f>
        <v>0</v>
      </c>
      <c r="AM88" s="93">
        <v>0</v>
      </c>
      <c r="AN88" s="94">
        <f t="shared" si="51"/>
        <v>0</v>
      </c>
      <c r="AO88" s="95">
        <f t="shared" si="52"/>
        <v>-154.02000000000001</v>
      </c>
      <c r="AP88" s="96"/>
      <c r="AQ88" s="97">
        <f t="shared" si="5"/>
        <v>0</v>
      </c>
      <c r="AR88" s="98">
        <f t="shared" si="32"/>
        <v>150</v>
      </c>
      <c r="AS88" s="98">
        <f t="shared" si="7"/>
        <v>0</v>
      </c>
      <c r="AT88" s="98">
        <f t="shared" si="8"/>
        <v>154.02000000000001</v>
      </c>
      <c r="AU88" s="98">
        <f t="shared" si="53"/>
        <v>0</v>
      </c>
      <c r="AV88" s="98">
        <f t="array" ref="AV88">_xlfn.IFS(U88=0,AO88,U88&lt;0,AO88/-U88,U88&gt;0,AO88/U88)</f>
        <v>-154.02000000000001</v>
      </c>
      <c r="AW88" s="234">
        <f t="shared" si="40"/>
        <v>0</v>
      </c>
      <c r="AX88" s="234">
        <f t="shared" si="41"/>
        <v>-1.0268000000000002</v>
      </c>
      <c r="AY88" s="99"/>
      <c r="AZ88" s="94">
        <f t="shared" si="11"/>
        <v>-770.1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3</v>
      </c>
      <c r="F89" s="93">
        <v>1</v>
      </c>
      <c r="G89" s="93">
        <v>1</v>
      </c>
      <c r="H89" s="93" t="s">
        <v>100</v>
      </c>
      <c r="I89" s="93">
        <v>0</v>
      </c>
      <c r="J89" s="93">
        <v>1</v>
      </c>
      <c r="K89" s="93">
        <v>169.89</v>
      </c>
      <c r="L89" s="92">
        <f t="shared" si="39"/>
        <v>509.66999999999996</v>
      </c>
      <c r="M89" s="89">
        <v>13</v>
      </c>
      <c r="N89" s="89">
        <v>4</v>
      </c>
      <c r="O89" s="89">
        <v>1504</v>
      </c>
      <c r="P89" s="89">
        <v>100</v>
      </c>
      <c r="Q89" s="233">
        <f t="shared" si="43"/>
        <v>0.5714285714285714</v>
      </c>
      <c r="R89" s="92">
        <f t="shared" si="44"/>
        <v>0.5714285714285714</v>
      </c>
      <c r="S89" s="93">
        <v>4</v>
      </c>
      <c r="T89" s="93">
        <v>0</v>
      </c>
      <c r="U89" s="92">
        <f t="shared" si="45"/>
        <v>4</v>
      </c>
      <c r="V89" s="93">
        <v>4256</v>
      </c>
      <c r="W89" s="93">
        <v>0</v>
      </c>
      <c r="X89" s="92">
        <f t="shared" si="46"/>
        <v>4256</v>
      </c>
      <c r="Y89" s="93">
        <v>5982</v>
      </c>
      <c r="Z89" s="93">
        <v>0</v>
      </c>
      <c r="AA89" s="92">
        <f t="shared" si="47"/>
        <v>5982</v>
      </c>
      <c r="AB89" s="92">
        <f t="shared" si="48"/>
        <v>6016</v>
      </c>
      <c r="AC89" s="234">
        <f>AA89/$AA$131</f>
        <v>2.4236607338798508E-3</v>
      </c>
      <c r="AD89" s="92">
        <f t="shared" si="49"/>
        <v>679.56</v>
      </c>
      <c r="AE89" s="93">
        <v>2278.9</v>
      </c>
      <c r="AF89" s="234">
        <f t="shared" si="50"/>
        <v>0.38095954530257442</v>
      </c>
      <c r="AG89" s="93">
        <v>188.72</v>
      </c>
      <c r="AH89" s="93"/>
      <c r="AI89" s="93">
        <v>0</v>
      </c>
      <c r="AJ89" s="93">
        <v>0</v>
      </c>
      <c r="AK89" s="93"/>
      <c r="AL89" s="122">
        <f>IFERROR($AL$131*H89/$H$131,0)</f>
        <v>0</v>
      </c>
      <c r="AM89" s="93">
        <v>0</v>
      </c>
      <c r="AN89" s="94">
        <f t="shared" si="51"/>
        <v>243.01759999999999</v>
      </c>
      <c r="AO89" s="95">
        <f t="shared" si="52"/>
        <v>2591.8024000000005</v>
      </c>
      <c r="AP89" s="96"/>
      <c r="AQ89" s="97">
        <f t="shared" si="5"/>
        <v>1495.5</v>
      </c>
      <c r="AR89" s="98">
        <f t="shared" si="32"/>
        <v>169.89</v>
      </c>
      <c r="AS89" s="98">
        <f t="shared" si="7"/>
        <v>569.72500000000002</v>
      </c>
      <c r="AT89" s="98">
        <f t="shared" si="8"/>
        <v>47.18</v>
      </c>
      <c r="AU89" s="98">
        <f t="shared" si="53"/>
        <v>0</v>
      </c>
      <c r="AV89" s="98">
        <f t="array" ref="AV89">_xlfn.IFS(U89=0,AO89,U89&lt;0,AO89/-U89,U89&gt;0,AO89/U89)</f>
        <v>647.95060000000012</v>
      </c>
      <c r="AW89" s="234">
        <f t="shared" si="40"/>
        <v>0.43326686726847219</v>
      </c>
      <c r="AX89" s="234">
        <f t="shared" si="41"/>
        <v>3.8139419624462896</v>
      </c>
      <c r="AY89" s="99"/>
      <c r="AZ89" s="94">
        <f t="shared" si="11"/>
        <v>1943.8518000000004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39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3"/>
        <v>0</v>
      </c>
      <c r="R90" s="92">
        <f t="shared" si="44"/>
        <v>0</v>
      </c>
      <c r="S90" s="93">
        <v>0</v>
      </c>
      <c r="T90" s="93">
        <v>0</v>
      </c>
      <c r="U90" s="92">
        <f t="shared" si="45"/>
        <v>0</v>
      </c>
      <c r="V90" s="93">
        <v>0</v>
      </c>
      <c r="W90" s="93">
        <v>0</v>
      </c>
      <c r="X90" s="92">
        <f t="shared" si="46"/>
        <v>0</v>
      </c>
      <c r="Y90" s="93">
        <v>0</v>
      </c>
      <c r="Z90" s="93">
        <v>0</v>
      </c>
      <c r="AA90" s="92">
        <f t="shared" si="47"/>
        <v>0</v>
      </c>
      <c r="AB90" s="92">
        <f t="shared" si="48"/>
        <v>0</v>
      </c>
      <c r="AC90" s="234">
        <f>AA90/$AA$131</f>
        <v>0</v>
      </c>
      <c r="AD90" s="92">
        <f t="shared" si="49"/>
        <v>0</v>
      </c>
      <c r="AE90" s="93">
        <v>0</v>
      </c>
      <c r="AF90" s="234">
        <f t="shared" si="50"/>
        <v>0</v>
      </c>
      <c r="AG90" s="93">
        <v>0</v>
      </c>
      <c r="AH90" s="93"/>
      <c r="AI90" s="93">
        <v>0</v>
      </c>
      <c r="AJ90" s="93">
        <v>0</v>
      </c>
      <c r="AK90" s="93"/>
      <c r="AL90" s="122">
        <f>IFERROR($AL$131*H90/$H$131,0)</f>
        <v>50.780974989402289</v>
      </c>
      <c r="AM90" s="93">
        <v>0</v>
      </c>
      <c r="AN90" s="94">
        <f t="shared" si="51"/>
        <v>0</v>
      </c>
      <c r="AO90" s="95">
        <f t="shared" si="52"/>
        <v>-50.780974989402289</v>
      </c>
      <c r="AP90" s="96"/>
      <c r="AQ90" s="97">
        <f t="shared" si="5"/>
        <v>0</v>
      </c>
      <c r="AR90" s="98">
        <f t="shared" si="32"/>
        <v>107.88</v>
      </c>
      <c r="AS90" s="98">
        <f t="shared" si="7"/>
        <v>0</v>
      </c>
      <c r="AT90" s="98">
        <f t="shared" si="8"/>
        <v>0</v>
      </c>
      <c r="AU90" s="98">
        <f t="shared" si="53"/>
        <v>0</v>
      </c>
      <c r="AV90" s="98">
        <f t="array" ref="AV90">_xlfn.IFS(U90=0,AO90,U90&lt;0,AO90/-U90,U90&gt;0,AO90/U90)</f>
        <v>-50.780974989402289</v>
      </c>
      <c r="AW90" s="234">
        <f t="shared" si="40"/>
        <v>0</v>
      </c>
      <c r="AX90" s="234">
        <f t="shared" si="41"/>
        <v>-0.4707172320115155</v>
      </c>
      <c r="AY90" s="99"/>
      <c r="AZ90" s="94">
        <f t="shared" si="11"/>
        <v>-2488.267774480712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32</v>
      </c>
      <c r="F91" s="93">
        <v>3</v>
      </c>
      <c r="G91" s="93">
        <v>1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39"/>
        <v>3002.88</v>
      </c>
      <c r="M91" s="89">
        <v>999</v>
      </c>
      <c r="N91" s="89">
        <v>4</v>
      </c>
      <c r="O91" s="89">
        <v>1075</v>
      </c>
      <c r="P91" s="89">
        <v>0</v>
      </c>
      <c r="Q91" s="233">
        <f t="shared" si="43"/>
        <v>0.5714285714285714</v>
      </c>
      <c r="R91" s="92">
        <f t="shared" si="44"/>
        <v>0</v>
      </c>
      <c r="S91" s="93">
        <v>0</v>
      </c>
      <c r="T91" s="93">
        <v>0</v>
      </c>
      <c r="U91" s="92">
        <f t="shared" si="45"/>
        <v>0</v>
      </c>
      <c r="V91" s="93">
        <v>0</v>
      </c>
      <c r="W91" s="93">
        <v>0</v>
      </c>
      <c r="X91" s="92">
        <f t="shared" si="46"/>
        <v>0</v>
      </c>
      <c r="Y91" s="93">
        <v>0</v>
      </c>
      <c r="Z91" s="93">
        <v>0</v>
      </c>
      <c r="AA91" s="92">
        <f t="shared" si="47"/>
        <v>0</v>
      </c>
      <c r="AB91" s="92">
        <f t="shared" si="48"/>
        <v>0</v>
      </c>
      <c r="AC91" s="234">
        <f>AA91/$AA$131</f>
        <v>0</v>
      </c>
      <c r="AD91" s="92">
        <f t="shared" si="49"/>
        <v>0</v>
      </c>
      <c r="AE91" s="93">
        <v>0</v>
      </c>
      <c r="AF91" s="234">
        <f t="shared" si="50"/>
        <v>0</v>
      </c>
      <c r="AG91" s="93">
        <v>300.77999999999997</v>
      </c>
      <c r="AH91" s="93"/>
      <c r="AI91" s="93">
        <v>0</v>
      </c>
      <c r="AJ91" s="93">
        <v>0</v>
      </c>
      <c r="AK91" s="93"/>
      <c r="AL91" s="122">
        <f>IFERROR($AL$131*H91/$H$131,0)</f>
        <v>23.274613536809383</v>
      </c>
      <c r="AM91" s="93">
        <v>0</v>
      </c>
      <c r="AN91" s="94">
        <f t="shared" si="51"/>
        <v>0</v>
      </c>
      <c r="AO91" s="95">
        <f t="shared" si="52"/>
        <v>-324.05461353680937</v>
      </c>
      <c r="AP91" s="96"/>
      <c r="AQ91" s="97">
        <f t="shared" si="5"/>
        <v>0</v>
      </c>
      <c r="AR91" s="98">
        <f t="shared" si="32"/>
        <v>93.84</v>
      </c>
      <c r="AS91" s="98">
        <f t="shared" si="7"/>
        <v>0</v>
      </c>
      <c r="AT91" s="98">
        <f t="shared" si="8"/>
        <v>300.77999999999997</v>
      </c>
      <c r="AU91" s="98">
        <f t="shared" si="53"/>
        <v>0</v>
      </c>
      <c r="AV91" s="98">
        <f t="array" ref="AV91">_xlfn.IFS(U91=0,AO91,U91&lt;0,AO91/-U91,U91&gt;0,AO91/U91)</f>
        <v>-324.05461353680937</v>
      </c>
      <c r="AW91" s="234">
        <f t="shared" si="40"/>
        <v>0</v>
      </c>
      <c r="AX91" s="234">
        <f t="shared" si="41"/>
        <v>-3.4532674076812593</v>
      </c>
      <c r="AY91" s="99"/>
      <c r="AZ91" s="94">
        <f t="shared" si="11"/>
        <v>-10369.7476331779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45</v>
      </c>
      <c r="F92" s="93" t="s">
        <v>100</v>
      </c>
      <c r="G92" s="93" t="s">
        <v>100</v>
      </c>
      <c r="H92" s="93">
        <v>44</v>
      </c>
      <c r="I92" s="93">
        <v>0</v>
      </c>
      <c r="J92" s="93">
        <v>1</v>
      </c>
      <c r="K92" s="93">
        <v>139.47</v>
      </c>
      <c r="L92" s="92">
        <f t="shared" si="39"/>
        <v>6276.15</v>
      </c>
      <c r="M92" s="89">
        <v>999</v>
      </c>
      <c r="N92" s="89">
        <v>2</v>
      </c>
      <c r="O92" s="89">
        <v>1250</v>
      </c>
      <c r="P92" s="89">
        <v>0</v>
      </c>
      <c r="Q92" s="233">
        <f t="shared" si="43"/>
        <v>0.2857142857142857</v>
      </c>
      <c r="R92" s="92">
        <f t="shared" si="44"/>
        <v>0.14285714285714285</v>
      </c>
      <c r="S92" s="93">
        <v>1</v>
      </c>
      <c r="T92" s="93">
        <v>0</v>
      </c>
      <c r="U92" s="92">
        <f t="shared" si="45"/>
        <v>1</v>
      </c>
      <c r="V92" s="93">
        <v>880</v>
      </c>
      <c r="W92" s="93">
        <v>0</v>
      </c>
      <c r="X92" s="92">
        <f t="shared" si="46"/>
        <v>880</v>
      </c>
      <c r="Y92" s="93">
        <v>1250</v>
      </c>
      <c r="Z92" s="93">
        <v>0</v>
      </c>
      <c r="AA92" s="92">
        <f t="shared" si="47"/>
        <v>1250</v>
      </c>
      <c r="AB92" s="92">
        <f t="shared" si="48"/>
        <v>0</v>
      </c>
      <c r="AC92" s="234">
        <f>AA92/$AA$131</f>
        <v>5.064486655549672E-4</v>
      </c>
      <c r="AD92" s="92">
        <f t="shared" si="49"/>
        <v>139.47</v>
      </c>
      <c r="AE92" s="93">
        <v>475.83000000000004</v>
      </c>
      <c r="AF92" s="234">
        <f t="shared" si="50"/>
        <v>0.38066400000000006</v>
      </c>
      <c r="AG92" s="93">
        <v>288.8</v>
      </c>
      <c r="AH92" s="93"/>
      <c r="AI92" s="93">
        <v>0</v>
      </c>
      <c r="AJ92" s="93">
        <v>18</v>
      </c>
      <c r="AK92" s="93"/>
      <c r="AL92" s="122">
        <f>IFERROR($AL$131*H92/$H$131,0)</f>
        <v>46.549227073618766</v>
      </c>
      <c r="AM92" s="93">
        <v>0</v>
      </c>
      <c r="AN92" s="94">
        <f t="shared" si="51"/>
        <v>50.247999999999998</v>
      </c>
      <c r="AO92" s="95">
        <f t="shared" si="52"/>
        <v>231.10277292638119</v>
      </c>
      <c r="AP92" s="96"/>
      <c r="AQ92" s="97">
        <f t="shared" si="5"/>
        <v>1250</v>
      </c>
      <c r="AR92" s="98">
        <f t="shared" si="32"/>
        <v>139.47</v>
      </c>
      <c r="AS92" s="98">
        <f t="shared" si="7"/>
        <v>475.83000000000004</v>
      </c>
      <c r="AT92" s="98">
        <f t="shared" si="8"/>
        <v>288.8</v>
      </c>
      <c r="AU92" s="98">
        <f t="shared" si="53"/>
        <v>18</v>
      </c>
      <c r="AV92" s="98">
        <f t="array" ref="AV92">_xlfn.IFS(U92=0,AO92,U92&lt;0,AO92/-U92,U92&gt;0,AO92/U92)</f>
        <v>231.10277292638119</v>
      </c>
      <c r="AW92" s="234">
        <f t="shared" si="40"/>
        <v>0.18488221834110496</v>
      </c>
      <c r="AX92" s="234">
        <f t="shared" si="41"/>
        <v>1.657007047582858</v>
      </c>
      <c r="AY92" s="99"/>
      <c r="AZ92" s="94">
        <f t="shared" si="11"/>
        <v>10399.624781687153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39"/>
        <v>5578.8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3"/>
        <v>0.14285714285714285</v>
      </c>
      <c r="R93" s="92">
        <f t="shared" si="44"/>
        <v>0</v>
      </c>
      <c r="S93" s="93">
        <v>0</v>
      </c>
      <c r="T93" s="93">
        <v>0</v>
      </c>
      <c r="U93" s="92">
        <f t="shared" si="45"/>
        <v>0</v>
      </c>
      <c r="V93" s="93">
        <v>0</v>
      </c>
      <c r="W93" s="93">
        <v>0</v>
      </c>
      <c r="X93" s="92">
        <f t="shared" si="46"/>
        <v>0</v>
      </c>
      <c r="Y93" s="93">
        <v>0</v>
      </c>
      <c r="Z93" s="93">
        <v>0</v>
      </c>
      <c r="AA93" s="92">
        <f t="shared" si="47"/>
        <v>0</v>
      </c>
      <c r="AB93" s="92">
        <f t="shared" si="48"/>
        <v>0</v>
      </c>
      <c r="AC93" s="234">
        <f>AA93/$AA$131</f>
        <v>0</v>
      </c>
      <c r="AD93" s="92">
        <f t="shared" si="49"/>
        <v>0</v>
      </c>
      <c r="AE93" s="93">
        <v>0</v>
      </c>
      <c r="AF93" s="234">
        <f t="shared" si="50"/>
        <v>0</v>
      </c>
      <c r="AG93" s="93">
        <v>192.51</v>
      </c>
      <c r="AH93" s="93"/>
      <c r="AI93" s="93">
        <v>0</v>
      </c>
      <c r="AJ93" s="93">
        <v>0</v>
      </c>
      <c r="AK93" s="93"/>
      <c r="AL93" s="122">
        <f>IFERROR($AL$131*H93/$H$131,0)</f>
        <v>41.259542178889362</v>
      </c>
      <c r="AM93" s="93">
        <v>0</v>
      </c>
      <c r="AN93" s="94">
        <f t="shared" si="51"/>
        <v>0</v>
      </c>
      <c r="AO93" s="95">
        <f t="shared" si="52"/>
        <v>-233.76954217888937</v>
      </c>
      <c r="AP93" s="96"/>
      <c r="AQ93" s="97">
        <f t="shared" si="5"/>
        <v>0</v>
      </c>
      <c r="AR93" s="98">
        <f t="shared" si="32"/>
        <v>139.47</v>
      </c>
      <c r="AS93" s="98">
        <f t="shared" si="7"/>
        <v>0</v>
      </c>
      <c r="AT93" s="98">
        <f t="shared" si="8"/>
        <v>192.51</v>
      </c>
      <c r="AU93" s="98">
        <f t="shared" si="53"/>
        <v>0</v>
      </c>
      <c r="AV93" s="98">
        <f t="array" ref="AV93">_xlfn.IFS(U93=0,AO93,U93&lt;0,AO93/-U93,U93&gt;0,AO93/U93)</f>
        <v>-233.76954217888937</v>
      </c>
      <c r="AW93" s="234">
        <f t="shared" si="40"/>
        <v>0</v>
      </c>
      <c r="AX93" s="234">
        <f t="shared" si="41"/>
        <v>-1.6761277850354153</v>
      </c>
      <c r="AY93" s="99"/>
      <c r="AZ93" s="94">
        <f t="shared" si="11"/>
        <v>-9350.7816871555751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39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3"/>
        <v>0</v>
      </c>
      <c r="R94" s="92">
        <f t="shared" si="44"/>
        <v>0</v>
      </c>
      <c r="S94" s="93">
        <v>0</v>
      </c>
      <c r="T94" s="93">
        <v>0</v>
      </c>
      <c r="U94" s="92">
        <f t="shared" si="45"/>
        <v>0</v>
      </c>
      <c r="V94" s="93">
        <v>0</v>
      </c>
      <c r="W94" s="93">
        <v>0</v>
      </c>
      <c r="X94" s="92">
        <f t="shared" si="46"/>
        <v>0</v>
      </c>
      <c r="Y94" s="93">
        <v>0</v>
      </c>
      <c r="Z94" s="93">
        <v>0</v>
      </c>
      <c r="AA94" s="92">
        <f t="shared" si="47"/>
        <v>0</v>
      </c>
      <c r="AB94" s="92">
        <f t="shared" si="48"/>
        <v>0</v>
      </c>
      <c r="AC94" s="234">
        <f>AA94/$AA$131</f>
        <v>0</v>
      </c>
      <c r="AD94" s="92">
        <f t="shared" si="49"/>
        <v>0</v>
      </c>
      <c r="AE94" s="93">
        <v>0</v>
      </c>
      <c r="AF94" s="234">
        <f t="shared" si="50"/>
        <v>0</v>
      </c>
      <c r="AG94" s="93">
        <v>0</v>
      </c>
      <c r="AH94" s="93"/>
      <c r="AI94" s="93">
        <v>0</v>
      </c>
      <c r="AJ94" s="93">
        <v>0</v>
      </c>
      <c r="AK94" s="93"/>
      <c r="AL94" s="122">
        <f>IFERROR($AL$131*H94/$H$131,0)</f>
        <v>0</v>
      </c>
      <c r="AM94" s="93">
        <v>0</v>
      </c>
      <c r="AN94" s="94">
        <f t="shared" si="51"/>
        <v>0</v>
      </c>
      <c r="AO94" s="95">
        <f t="shared" si="52"/>
        <v>0</v>
      </c>
      <c r="AP94" s="96"/>
      <c r="AQ94" s="97">
        <f t="shared" si="5"/>
        <v>0</v>
      </c>
      <c r="AR94" s="98">
        <f t="shared" si="32"/>
        <v>400.08</v>
      </c>
      <c r="AS94" s="98">
        <f t="shared" si="7"/>
        <v>0</v>
      </c>
      <c r="AT94" s="98">
        <f t="shared" si="8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40"/>
        <v>0</v>
      </c>
      <c r="AX94" s="234">
        <f t="shared" si="41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39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3"/>
        <v>0</v>
      </c>
      <c r="R95" s="92">
        <f t="shared" si="44"/>
        <v>0</v>
      </c>
      <c r="S95" s="93">
        <v>0</v>
      </c>
      <c r="T95" s="93">
        <v>0</v>
      </c>
      <c r="U95" s="92">
        <f t="shared" si="45"/>
        <v>0</v>
      </c>
      <c r="V95" s="93">
        <v>0</v>
      </c>
      <c r="W95" s="93">
        <v>0</v>
      </c>
      <c r="X95" s="92">
        <f t="shared" si="46"/>
        <v>0</v>
      </c>
      <c r="Y95" s="93">
        <v>0</v>
      </c>
      <c r="Z95" s="93">
        <v>0</v>
      </c>
      <c r="AA95" s="92">
        <f t="shared" si="47"/>
        <v>0</v>
      </c>
      <c r="AB95" s="92">
        <f t="shared" si="48"/>
        <v>0</v>
      </c>
      <c r="AC95" s="234">
        <f>AA95/$AA$131</f>
        <v>0</v>
      </c>
      <c r="AD95" s="92">
        <f t="shared" si="49"/>
        <v>0</v>
      </c>
      <c r="AE95" s="93">
        <v>0</v>
      </c>
      <c r="AF95" s="234">
        <f t="shared" si="50"/>
        <v>0</v>
      </c>
      <c r="AG95" s="93">
        <v>0</v>
      </c>
      <c r="AH95" s="93"/>
      <c r="AI95" s="93">
        <v>0</v>
      </c>
      <c r="AJ95" s="93">
        <v>0</v>
      </c>
      <c r="AK95" s="93"/>
      <c r="AL95" s="122">
        <f>IFERROR($AL$131*H95/$H$131,0)</f>
        <v>0</v>
      </c>
      <c r="AM95" s="93">
        <v>0</v>
      </c>
      <c r="AN95" s="94">
        <f t="shared" si="51"/>
        <v>0</v>
      </c>
      <c r="AO95" s="95">
        <f t="shared" si="52"/>
        <v>0</v>
      </c>
      <c r="AP95" s="96"/>
      <c r="AQ95" s="97">
        <f t="shared" si="5"/>
        <v>0</v>
      </c>
      <c r="AR95" s="98">
        <f t="shared" si="32"/>
        <v>400.08</v>
      </c>
      <c r="AS95" s="98">
        <f t="shared" si="7"/>
        <v>0</v>
      </c>
      <c r="AT95" s="98">
        <f t="shared" si="8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40"/>
        <v>0</v>
      </c>
      <c r="AX95" s="234">
        <f t="shared" si="41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39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3"/>
        <v>0</v>
      </c>
      <c r="R96" s="92">
        <f t="shared" si="44"/>
        <v>0</v>
      </c>
      <c r="S96" s="93">
        <v>0</v>
      </c>
      <c r="T96" s="93">
        <v>0</v>
      </c>
      <c r="U96" s="92">
        <f t="shared" si="45"/>
        <v>0</v>
      </c>
      <c r="V96" s="93">
        <v>0</v>
      </c>
      <c r="W96" s="93">
        <v>0</v>
      </c>
      <c r="X96" s="92">
        <f t="shared" si="46"/>
        <v>0</v>
      </c>
      <c r="Y96" s="93">
        <v>0</v>
      </c>
      <c r="Z96" s="93">
        <v>0</v>
      </c>
      <c r="AA96" s="92">
        <f t="shared" si="47"/>
        <v>0</v>
      </c>
      <c r="AB96" s="92">
        <f t="shared" si="48"/>
        <v>0</v>
      </c>
      <c r="AC96" s="234">
        <f>AA96/$AA$131</f>
        <v>0</v>
      </c>
      <c r="AD96" s="92">
        <f t="shared" si="49"/>
        <v>0</v>
      </c>
      <c r="AE96" s="93">
        <v>0</v>
      </c>
      <c r="AF96" s="234">
        <f t="shared" si="50"/>
        <v>0</v>
      </c>
      <c r="AG96" s="93">
        <v>0</v>
      </c>
      <c r="AH96" s="93"/>
      <c r="AI96" s="93">
        <v>0</v>
      </c>
      <c r="AJ96" s="93">
        <v>0</v>
      </c>
      <c r="AK96" s="93"/>
      <c r="AL96" s="122">
        <f>IFERROR($AL$131*H96/$H$131,0)</f>
        <v>0</v>
      </c>
      <c r="AM96" s="93">
        <v>0</v>
      </c>
      <c r="AN96" s="94">
        <f t="shared" si="51"/>
        <v>0</v>
      </c>
      <c r="AO96" s="95">
        <f t="shared" si="52"/>
        <v>0</v>
      </c>
      <c r="AP96" s="96"/>
      <c r="AQ96" s="97">
        <f t="shared" si="5"/>
        <v>0</v>
      </c>
      <c r="AR96" s="98">
        <f t="shared" si="32"/>
        <v>300.08</v>
      </c>
      <c r="AS96" s="98">
        <f t="shared" si="7"/>
        <v>0</v>
      </c>
      <c r="AT96" s="98">
        <f t="shared" si="8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2</v>
      </c>
      <c r="F97" s="93">
        <v>1</v>
      </c>
      <c r="G97" s="93">
        <v>1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39"/>
        <v>800.16</v>
      </c>
      <c r="M97" s="89">
        <v>33</v>
      </c>
      <c r="N97" s="89">
        <v>1</v>
      </c>
      <c r="O97" s="89">
        <v>1509</v>
      </c>
      <c r="P97" s="89">
        <v>0</v>
      </c>
      <c r="Q97" s="233">
        <f t="shared" si="43"/>
        <v>0.14285714285714285</v>
      </c>
      <c r="R97" s="92">
        <f t="shared" si="44"/>
        <v>0</v>
      </c>
      <c r="S97" s="93">
        <v>0</v>
      </c>
      <c r="T97" s="93">
        <v>0</v>
      </c>
      <c r="U97" s="92">
        <f t="shared" si="45"/>
        <v>0</v>
      </c>
      <c r="V97" s="93">
        <v>0</v>
      </c>
      <c r="W97" s="93">
        <v>0</v>
      </c>
      <c r="X97" s="92">
        <f t="shared" si="46"/>
        <v>0</v>
      </c>
      <c r="Y97" s="93">
        <v>0</v>
      </c>
      <c r="Z97" s="93">
        <v>0</v>
      </c>
      <c r="AA97" s="92">
        <f t="shared" si="47"/>
        <v>0</v>
      </c>
      <c r="AB97" s="92">
        <f t="shared" si="48"/>
        <v>0</v>
      </c>
      <c r="AC97" s="234">
        <f>AA97/$AA$131</f>
        <v>0</v>
      </c>
      <c r="AD97" s="92">
        <f t="shared" si="49"/>
        <v>0</v>
      </c>
      <c r="AE97" s="93">
        <v>0</v>
      </c>
      <c r="AF97" s="234">
        <f t="shared" si="50"/>
        <v>0</v>
      </c>
      <c r="AG97" s="93">
        <v>71.56</v>
      </c>
      <c r="AH97" s="93"/>
      <c r="AI97" s="93">
        <v>0</v>
      </c>
      <c r="AJ97" s="93">
        <v>0</v>
      </c>
      <c r="AK97" s="93"/>
      <c r="AL97" s="122">
        <f>IFERROR($AL$131*H97/$H$131,0)</f>
        <v>0</v>
      </c>
      <c r="AM97" s="93">
        <v>0</v>
      </c>
      <c r="AN97" s="94">
        <f t="shared" si="51"/>
        <v>0</v>
      </c>
      <c r="AO97" s="95">
        <f t="shared" si="52"/>
        <v>-71.56</v>
      </c>
      <c r="AP97" s="96"/>
      <c r="AQ97" s="97">
        <f t="shared" si="5"/>
        <v>0</v>
      </c>
      <c r="AR97" s="98">
        <f t="shared" si="32"/>
        <v>400.08</v>
      </c>
      <c r="AS97" s="98">
        <f t="shared" si="7"/>
        <v>0</v>
      </c>
      <c r="AT97" s="98">
        <f t="shared" si="8"/>
        <v>71.56</v>
      </c>
      <c r="AU97" s="98">
        <f t="shared" si="53"/>
        <v>0</v>
      </c>
      <c r="AV97" s="98">
        <f t="array" ref="AV97">_xlfn.IFS(U97=0,AO97,U97&lt;0,AO97/-U97,U97&gt;0,AO97/U97)</f>
        <v>-71.56</v>
      </c>
      <c r="AW97" s="234">
        <f t="shared" si="40"/>
        <v>0</v>
      </c>
      <c r="AX97" s="234">
        <f t="shared" si="41"/>
        <v>-0.17886422715456909</v>
      </c>
      <c r="AY97" s="99"/>
      <c r="AZ97" s="94">
        <f t="shared" si="11"/>
        <v>-143.12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6</v>
      </c>
      <c r="F98" s="93">
        <v>1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39"/>
        <v>1800.48</v>
      </c>
      <c r="M98" s="89">
        <v>48</v>
      </c>
      <c r="N98" s="89">
        <v>1</v>
      </c>
      <c r="O98" s="89">
        <v>878</v>
      </c>
      <c r="P98" s="89">
        <v>0</v>
      </c>
      <c r="Q98" s="233">
        <f t="shared" si="43"/>
        <v>0.14285714285714285</v>
      </c>
      <c r="R98" s="92">
        <f t="shared" si="44"/>
        <v>0</v>
      </c>
      <c r="S98" s="93">
        <v>0</v>
      </c>
      <c r="T98" s="93">
        <v>0</v>
      </c>
      <c r="U98" s="92">
        <f t="shared" si="45"/>
        <v>0</v>
      </c>
      <c r="V98" s="93">
        <v>0</v>
      </c>
      <c r="W98" s="93">
        <v>0</v>
      </c>
      <c r="X98" s="92">
        <f t="shared" si="46"/>
        <v>0</v>
      </c>
      <c r="Y98" s="93">
        <v>0</v>
      </c>
      <c r="Z98" s="93">
        <v>0</v>
      </c>
      <c r="AA98" s="92">
        <f t="shared" si="47"/>
        <v>0</v>
      </c>
      <c r="AB98" s="92">
        <f t="shared" si="48"/>
        <v>0</v>
      </c>
      <c r="AC98" s="234">
        <f>AA98/$AA$131</f>
        <v>0</v>
      </c>
      <c r="AD98" s="92">
        <f t="shared" si="49"/>
        <v>0</v>
      </c>
      <c r="AE98" s="93">
        <v>0</v>
      </c>
      <c r="AF98" s="234">
        <f t="shared" si="50"/>
        <v>0</v>
      </c>
      <c r="AG98" s="93">
        <v>0</v>
      </c>
      <c r="AH98" s="93"/>
      <c r="AI98" s="93">
        <v>0</v>
      </c>
      <c r="AJ98" s="93">
        <v>0</v>
      </c>
      <c r="AK98" s="93"/>
      <c r="AL98" s="122">
        <f>IFERROR($AL$131*H98/$H$131,0)</f>
        <v>5.2896848947294055</v>
      </c>
      <c r="AM98" s="93">
        <v>0</v>
      </c>
      <c r="AN98" s="94">
        <f t="shared" si="51"/>
        <v>0</v>
      </c>
      <c r="AO98" s="95">
        <f t="shared" si="52"/>
        <v>-5.2896848947294055</v>
      </c>
      <c r="AP98" s="96"/>
      <c r="AQ98" s="97">
        <f t="shared" ref="AQ98:AQ104" si="54">IF(U98=0,0,AA98/U98)</f>
        <v>0</v>
      </c>
      <c r="AR98" s="98">
        <f t="shared" si="32"/>
        <v>300.08</v>
      </c>
      <c r="AS98" s="98">
        <f t="shared" ref="AS98:AS104" si="55">IF(U98=0,0,AE98/U98)</f>
        <v>0</v>
      </c>
      <c r="AT98" s="98">
        <f t="shared" ref="AT98:AT104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-5.2896848947294055</v>
      </c>
      <c r="AW98" s="234">
        <f t="shared" si="40"/>
        <v>0</v>
      </c>
      <c r="AX98" s="234">
        <f t="shared" si="41"/>
        <v>-1.7627582293819666E-2</v>
      </c>
      <c r="AY98" s="99"/>
      <c r="AZ98" s="94">
        <f t="shared" ref="AZ98:AZ104" si="57">AV98*E98</f>
        <v>-31.738109368376435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8" si="58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3"/>
        <v>0</v>
      </c>
      <c r="R99" s="92">
        <f t="shared" si="44"/>
        <v>0</v>
      </c>
      <c r="S99" s="93">
        <v>0</v>
      </c>
      <c r="T99" s="93">
        <v>0</v>
      </c>
      <c r="U99" s="92">
        <f t="shared" si="45"/>
        <v>0</v>
      </c>
      <c r="V99" s="93">
        <v>0</v>
      </c>
      <c r="W99" s="93">
        <v>0</v>
      </c>
      <c r="X99" s="92">
        <f t="shared" si="46"/>
        <v>0</v>
      </c>
      <c r="Y99" s="93">
        <v>0</v>
      </c>
      <c r="Z99" s="93">
        <v>0</v>
      </c>
      <c r="AA99" s="92">
        <f t="shared" si="47"/>
        <v>0</v>
      </c>
      <c r="AB99" s="92">
        <f t="shared" si="48"/>
        <v>0</v>
      </c>
      <c r="AC99" s="234">
        <f>AA99/$AA$131</f>
        <v>0</v>
      </c>
      <c r="AD99" s="92">
        <f t="shared" si="49"/>
        <v>0</v>
      </c>
      <c r="AE99" s="93">
        <v>0</v>
      </c>
      <c r="AF99" s="234">
        <f t="shared" si="50"/>
        <v>0</v>
      </c>
      <c r="AG99" s="93">
        <v>0</v>
      </c>
      <c r="AH99" s="93"/>
      <c r="AI99" s="93">
        <v>0</v>
      </c>
      <c r="AJ99" s="93">
        <v>0</v>
      </c>
      <c r="AK99" s="93"/>
      <c r="AL99" s="122">
        <f>IFERROR($AL$131*H99/$H$131,0)</f>
        <v>0</v>
      </c>
      <c r="AM99" s="93">
        <v>0</v>
      </c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4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4" si="60">IF(AQ99=0,0,AV99/AQ99)</f>
        <v>0</v>
      </c>
      <c r="AX99" s="234">
        <f t="shared" ref="AX99:AX104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2"/>
        <v>32</v>
      </c>
      <c r="F100" s="93" t="s">
        <v>100</v>
      </c>
      <c r="G100" s="93">
        <v>1</v>
      </c>
      <c r="H100" s="93">
        <v>31</v>
      </c>
      <c r="I100" s="93">
        <v>0</v>
      </c>
      <c r="J100" s="93">
        <v>0</v>
      </c>
      <c r="K100" s="93">
        <v>142.97999999999999</v>
      </c>
      <c r="L100" s="92">
        <f t="shared" si="58"/>
        <v>4575.3599999999997</v>
      </c>
      <c r="M100" s="89">
        <v>307</v>
      </c>
      <c r="N100" s="89">
        <v>1</v>
      </c>
      <c r="O100" s="89">
        <v>1300</v>
      </c>
      <c r="P100" s="89">
        <v>0</v>
      </c>
      <c r="Q100" s="233">
        <f t="shared" si="43"/>
        <v>0.14285714285714285</v>
      </c>
      <c r="R100" s="92">
        <f t="shared" si="44"/>
        <v>0</v>
      </c>
      <c r="S100" s="93">
        <v>0</v>
      </c>
      <c r="T100" s="93">
        <v>0</v>
      </c>
      <c r="U100" s="92">
        <f t="shared" si="45"/>
        <v>0</v>
      </c>
      <c r="V100" s="93">
        <v>0</v>
      </c>
      <c r="W100" s="93">
        <v>0</v>
      </c>
      <c r="X100" s="92">
        <f t="shared" si="46"/>
        <v>0</v>
      </c>
      <c r="Y100" s="93">
        <v>0</v>
      </c>
      <c r="Z100" s="93">
        <v>0</v>
      </c>
      <c r="AA100" s="92">
        <f t="shared" si="47"/>
        <v>0</v>
      </c>
      <c r="AB100" s="92">
        <f t="shared" si="48"/>
        <v>0</v>
      </c>
      <c r="AC100" s="234">
        <f>AA100/$AA$131</f>
        <v>0</v>
      </c>
      <c r="AD100" s="92">
        <f t="shared" si="49"/>
        <v>0</v>
      </c>
      <c r="AE100" s="93">
        <v>0</v>
      </c>
      <c r="AF100" s="234">
        <f t="shared" si="50"/>
        <v>0</v>
      </c>
      <c r="AG100" s="93">
        <v>248</v>
      </c>
      <c r="AH100" s="93"/>
      <c r="AI100" s="93">
        <v>0</v>
      </c>
      <c r="AJ100" s="93">
        <v>0</v>
      </c>
      <c r="AK100" s="93"/>
      <c r="AL100" s="122">
        <f>IFERROR($AL$131*H100/$H$131,0)</f>
        <v>32.796046347322317</v>
      </c>
      <c r="AM100" s="93">
        <v>0</v>
      </c>
      <c r="AN100" s="94">
        <f t="shared" si="51"/>
        <v>0</v>
      </c>
      <c r="AO100" s="95">
        <f t="shared" si="52"/>
        <v>-280.79604634732232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248</v>
      </c>
      <c r="AU100" s="98">
        <f t="shared" si="53"/>
        <v>0</v>
      </c>
      <c r="AV100" s="98">
        <f t="array" ref="AV100">_xlfn.IFS(U100=0,AO100,U100&lt;0,AO100/-U100,U100&gt;0,AO100/U100)</f>
        <v>-280.79604634732232</v>
      </c>
      <c r="AW100" s="234">
        <f t="shared" si="60"/>
        <v>0</v>
      </c>
      <c r="AX100" s="234">
        <f t="shared" si="61"/>
        <v>-1.9638833847203969</v>
      </c>
      <c r="AY100" s="99"/>
      <c r="AZ100" s="94">
        <f t="shared" si="57"/>
        <v>-8985.4734831143141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58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3"/>
        <v>0</v>
      </c>
      <c r="R101" s="92">
        <f t="shared" si="44"/>
        <v>0</v>
      </c>
      <c r="S101" s="93">
        <v>0</v>
      </c>
      <c r="T101" s="93">
        <v>0</v>
      </c>
      <c r="U101" s="92">
        <f t="shared" si="45"/>
        <v>0</v>
      </c>
      <c r="V101" s="93">
        <v>0</v>
      </c>
      <c r="W101" s="93">
        <v>0</v>
      </c>
      <c r="X101" s="92">
        <f t="shared" si="46"/>
        <v>0</v>
      </c>
      <c r="Y101" s="93">
        <v>0</v>
      </c>
      <c r="Z101" s="93">
        <v>0</v>
      </c>
      <c r="AA101" s="92">
        <f t="shared" si="47"/>
        <v>0</v>
      </c>
      <c r="AB101" s="92">
        <f t="shared" si="48"/>
        <v>0</v>
      </c>
      <c r="AC101" s="234">
        <f>AA101/$AA$131</f>
        <v>0</v>
      </c>
      <c r="AD101" s="92">
        <f t="shared" si="49"/>
        <v>0</v>
      </c>
      <c r="AE101" s="93">
        <v>0</v>
      </c>
      <c r="AF101" s="234">
        <f t="shared" si="50"/>
        <v>0</v>
      </c>
      <c r="AG101" s="93">
        <v>0</v>
      </c>
      <c r="AH101" s="93"/>
      <c r="AI101" s="93">
        <v>0</v>
      </c>
      <c r="AJ101" s="93">
        <v>0</v>
      </c>
      <c r="AK101" s="93"/>
      <c r="AL101" s="122">
        <f>IFERROR($AL$131*H101/$H$131,0)</f>
        <v>0</v>
      </c>
      <c r="AM101" s="93">
        <v>0</v>
      </c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2"/>
        <v>120</v>
      </c>
      <c r="F102" s="93">
        <v>7</v>
      </c>
      <c r="G102" s="93">
        <v>3</v>
      </c>
      <c r="H102" s="93">
        <v>110</v>
      </c>
      <c r="I102" s="93">
        <v>0</v>
      </c>
      <c r="J102" s="93">
        <v>0</v>
      </c>
      <c r="K102" s="92">
        <v>123.09</v>
      </c>
      <c r="L102" s="92">
        <f t="shared" si="58"/>
        <v>14770.800000000001</v>
      </c>
      <c r="M102" s="89">
        <v>999</v>
      </c>
      <c r="N102" s="89">
        <v>11</v>
      </c>
      <c r="O102" s="89">
        <v>1300</v>
      </c>
      <c r="P102" s="89">
        <v>25</v>
      </c>
      <c r="Q102" s="233">
        <f t="shared" si="43"/>
        <v>1.5714285714285714</v>
      </c>
      <c r="R102" s="92">
        <f t="shared" si="44"/>
        <v>0.14285714285714285</v>
      </c>
      <c r="S102" s="93">
        <v>1</v>
      </c>
      <c r="T102" s="93">
        <v>0</v>
      </c>
      <c r="U102" s="92">
        <f t="shared" si="45"/>
        <v>1</v>
      </c>
      <c r="V102" s="93">
        <v>888</v>
      </c>
      <c r="W102" s="93">
        <v>0</v>
      </c>
      <c r="X102" s="92">
        <f t="shared" si="46"/>
        <v>888</v>
      </c>
      <c r="Y102" s="93">
        <v>1300</v>
      </c>
      <c r="Z102" s="93">
        <v>0</v>
      </c>
      <c r="AA102" s="92">
        <f t="shared" si="47"/>
        <v>1300</v>
      </c>
      <c r="AB102" s="92">
        <f t="shared" si="48"/>
        <v>3575</v>
      </c>
      <c r="AC102" s="234">
        <f>AA102/$AA$131</f>
        <v>5.2670661217716589E-4</v>
      </c>
      <c r="AD102" s="92">
        <f t="shared" si="49"/>
        <v>123.09</v>
      </c>
      <c r="AE102" s="93">
        <v>493.77</v>
      </c>
      <c r="AF102" s="234">
        <f t="shared" si="50"/>
        <v>0.37982307692307693</v>
      </c>
      <c r="AG102" s="93">
        <v>611.35</v>
      </c>
      <c r="AH102" s="93"/>
      <c r="AI102" s="93">
        <v>0</v>
      </c>
      <c r="AJ102" s="93">
        <v>0</v>
      </c>
      <c r="AK102" s="93"/>
      <c r="AL102" s="122">
        <f>IFERROR($AL$131*H102/$H$131,0)</f>
        <v>116.37306768404692</v>
      </c>
      <c r="AM102" s="93">
        <v>0</v>
      </c>
      <c r="AN102" s="94">
        <f t="shared" si="51"/>
        <v>50.704799999999999</v>
      </c>
      <c r="AO102" s="95">
        <f t="shared" si="52"/>
        <v>-95.28786768404683</v>
      </c>
      <c r="AP102" s="96"/>
      <c r="AQ102" s="97">
        <f t="shared" si="54"/>
        <v>1300</v>
      </c>
      <c r="AR102" s="98">
        <f t="shared" si="59"/>
        <v>123.09</v>
      </c>
      <c r="AS102" s="98">
        <f t="shared" si="55"/>
        <v>493.77</v>
      </c>
      <c r="AT102" s="98">
        <f t="shared" si="56"/>
        <v>611.35</v>
      </c>
      <c r="AU102" s="98">
        <f t="shared" si="53"/>
        <v>0</v>
      </c>
      <c r="AV102" s="98">
        <f t="array" ref="AV102">_xlfn.IFS(U102=0,AO102,U102&lt;0,AO102/-U102,U102&gt;0,AO102/U102)</f>
        <v>-95.28786768404683</v>
      </c>
      <c r="AW102" s="234">
        <f t="shared" si="60"/>
        <v>-7.32983597569591E-2</v>
      </c>
      <c r="AX102" s="234">
        <f t="shared" si="61"/>
        <v>-0.77413167344257716</v>
      </c>
      <c r="AY102" s="99"/>
      <c r="AZ102" s="94">
        <f t="shared" si="57"/>
        <v>-11434.544122085619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58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3"/>
        <v>0</v>
      </c>
      <c r="R103" s="92">
        <f t="shared" si="44"/>
        <v>0</v>
      </c>
      <c r="S103" s="93">
        <v>0</v>
      </c>
      <c r="T103" s="93">
        <v>0</v>
      </c>
      <c r="U103" s="92">
        <f t="shared" si="45"/>
        <v>0</v>
      </c>
      <c r="V103" s="93">
        <v>0</v>
      </c>
      <c r="W103" s="93">
        <v>0</v>
      </c>
      <c r="X103" s="92">
        <f t="shared" si="46"/>
        <v>0</v>
      </c>
      <c r="Y103" s="93">
        <v>0</v>
      </c>
      <c r="Z103" s="93">
        <v>0</v>
      </c>
      <c r="AA103" s="92">
        <f t="shared" si="47"/>
        <v>0</v>
      </c>
      <c r="AB103" s="92">
        <f t="shared" si="48"/>
        <v>0</v>
      </c>
      <c r="AC103" s="234">
        <f>AA103/$AA$131</f>
        <v>0</v>
      </c>
      <c r="AD103" s="92">
        <f t="shared" si="49"/>
        <v>0</v>
      </c>
      <c r="AE103" s="93">
        <v>0</v>
      </c>
      <c r="AF103" s="234">
        <f t="shared" si="50"/>
        <v>0</v>
      </c>
      <c r="AG103" s="93">
        <v>0</v>
      </c>
      <c r="AH103" s="93"/>
      <c r="AI103" s="93">
        <v>0</v>
      </c>
      <c r="AJ103" s="93">
        <v>0</v>
      </c>
      <c r="AK103" s="93"/>
      <c r="AL103" s="122">
        <f>IFERROR($AL$131*H103/$H$131,0)</f>
        <v>0</v>
      </c>
      <c r="AM103" s="93">
        <v>0</v>
      </c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2"/>
        <v>263</v>
      </c>
      <c r="F104" s="93">
        <v>51</v>
      </c>
      <c r="G104" s="93">
        <v>8</v>
      </c>
      <c r="H104" s="93">
        <v>94</v>
      </c>
      <c r="I104" s="93">
        <v>0</v>
      </c>
      <c r="J104" s="93">
        <v>110</v>
      </c>
      <c r="K104" s="93">
        <v>142.97999999999999</v>
      </c>
      <c r="L104" s="93">
        <f t="shared" si="58"/>
        <v>37603.74</v>
      </c>
      <c r="M104" s="89">
        <v>20</v>
      </c>
      <c r="N104" s="89">
        <v>76</v>
      </c>
      <c r="O104" s="89">
        <v>1940</v>
      </c>
      <c r="P104" s="89">
        <v>63</v>
      </c>
      <c r="Q104" s="242">
        <f t="shared" si="43"/>
        <v>10.857142857142858</v>
      </c>
      <c r="R104" s="93">
        <f t="shared" si="44"/>
        <v>3.7142857142857144</v>
      </c>
      <c r="S104" s="93">
        <v>26</v>
      </c>
      <c r="T104" s="93">
        <v>0</v>
      </c>
      <c r="U104" s="92">
        <f t="shared" si="45"/>
        <v>26</v>
      </c>
      <c r="V104" s="93">
        <v>37241.730000000003</v>
      </c>
      <c r="W104" s="93">
        <v>0</v>
      </c>
      <c r="X104" s="92">
        <f t="shared" si="46"/>
        <v>37241.730000000003</v>
      </c>
      <c r="Y104" s="93">
        <v>50590.22</v>
      </c>
      <c r="Z104" s="93">
        <v>0</v>
      </c>
      <c r="AA104" s="92">
        <f t="shared" si="47"/>
        <v>50590.22</v>
      </c>
      <c r="AB104" s="92">
        <f t="shared" si="48"/>
        <v>92887.2</v>
      </c>
      <c r="AC104" s="234">
        <f>AA104/$AA$131</f>
        <v>2.049707952730577E-2</v>
      </c>
      <c r="AD104" s="92">
        <f t="shared" si="49"/>
        <v>3717.4799999999996</v>
      </c>
      <c r="AE104" s="93">
        <v>19123.820000000003</v>
      </c>
      <c r="AF104" s="234">
        <f t="shared" si="50"/>
        <v>0.37801416953711614</v>
      </c>
      <c r="AG104" s="93">
        <v>3355.0799999999995</v>
      </c>
      <c r="AH104" s="93"/>
      <c r="AI104" s="93">
        <v>205</v>
      </c>
      <c r="AJ104" s="93">
        <v>21046</v>
      </c>
      <c r="AK104" s="93"/>
      <c r="AL104" s="122">
        <f>IFERROR($AL$131*H104/$H$131,0)</f>
        <v>99.446076020912813</v>
      </c>
      <c r="AM104" s="93">
        <v>0</v>
      </c>
      <c r="AN104" s="123">
        <f t="shared" si="51"/>
        <v>2126.5027829999999</v>
      </c>
      <c r="AO104" s="95">
        <f t="shared" si="52"/>
        <v>916.89114097909123</v>
      </c>
      <c r="AP104" s="123"/>
      <c r="AQ104" s="502">
        <f t="shared" si="54"/>
        <v>1945.7776923076924</v>
      </c>
      <c r="AR104" s="503">
        <f t="shared" si="59"/>
        <v>142.97999999999999</v>
      </c>
      <c r="AS104" s="503">
        <f t="shared" si="55"/>
        <v>735.53153846153862</v>
      </c>
      <c r="AT104" s="503">
        <f t="shared" si="56"/>
        <v>129.04153846153844</v>
      </c>
      <c r="AU104" s="503">
        <f t="shared" si="53"/>
        <v>817.34615384615381</v>
      </c>
      <c r="AV104" s="503">
        <f t="array" ref="AV104">_xlfn.IFS(U104=0,AO104,U104&lt;0,AO104/-U104,U104&gt;0,AO104/U104)</f>
        <v>35.265043883811202</v>
      </c>
      <c r="AW104" s="243">
        <f t="shared" si="60"/>
        <v>1.8123881275453856E-2</v>
      </c>
      <c r="AX104" s="243">
        <f t="shared" si="61"/>
        <v>0.2466431940398042</v>
      </c>
      <c r="AY104" s="504"/>
      <c r="AZ104" s="123">
        <f t="shared" si="57"/>
        <v>9274.7065414423469</v>
      </c>
    </row>
    <row r="105" spans="1:52" s="270" customFormat="1" outlineLevel="1">
      <c r="A105" s="500" t="s">
        <v>121</v>
      </c>
      <c r="B105" s="501">
        <v>987023801</v>
      </c>
      <c r="C105" s="595" t="s">
        <v>372</v>
      </c>
      <c r="D105" s="121" t="s">
        <v>84</v>
      </c>
      <c r="E105" s="241">
        <f t="shared" si="42"/>
        <v>0</v>
      </c>
      <c r="F105" s="93">
        <v>0</v>
      </c>
      <c r="G105" s="93">
        <v>0</v>
      </c>
      <c r="H105" s="93">
        <v>0</v>
      </c>
      <c r="I105" s="93">
        <v>0</v>
      </c>
      <c r="J105" s="93">
        <v>0</v>
      </c>
      <c r="K105" s="93">
        <v>230</v>
      </c>
      <c r="L105" s="93">
        <f t="shared" si="58"/>
        <v>0</v>
      </c>
      <c r="M105" s="89" t="s">
        <v>100</v>
      </c>
      <c r="N105" s="89">
        <v>0</v>
      </c>
      <c r="O105" s="89">
        <v>0</v>
      </c>
      <c r="P105" s="89">
        <v>0</v>
      </c>
      <c r="Q105" s="242">
        <f t="shared" ref="Q105:Q108" si="62">N105/7</f>
        <v>0</v>
      </c>
      <c r="R105" s="93">
        <f t="shared" ref="R105:R108" si="63">U105/7</f>
        <v>0</v>
      </c>
      <c r="S105" s="93">
        <v>0</v>
      </c>
      <c r="T105" s="93">
        <v>0</v>
      </c>
      <c r="U105" s="92">
        <f t="shared" si="45"/>
        <v>0</v>
      </c>
      <c r="V105" s="93">
        <v>0</v>
      </c>
      <c r="W105" s="93">
        <v>0</v>
      </c>
      <c r="X105" s="92">
        <f t="shared" si="46"/>
        <v>0</v>
      </c>
      <c r="Y105" s="93">
        <v>0</v>
      </c>
      <c r="Z105" s="93">
        <v>0</v>
      </c>
      <c r="AA105" s="92">
        <f t="shared" si="47"/>
        <v>0</v>
      </c>
      <c r="AB105" s="92">
        <f t="shared" si="48"/>
        <v>0</v>
      </c>
      <c r="AC105" s="234">
        <f t="shared" ref="AC105" si="64">AA105/$AA$131</f>
        <v>0</v>
      </c>
      <c r="AD105" s="92">
        <f t="shared" si="49"/>
        <v>0</v>
      </c>
      <c r="AE105" s="93">
        <v>0</v>
      </c>
      <c r="AF105" s="234">
        <f t="shared" si="50"/>
        <v>0</v>
      </c>
      <c r="AG105" s="93">
        <v>0</v>
      </c>
      <c r="AH105" s="93"/>
      <c r="AI105" s="93">
        <v>0</v>
      </c>
      <c r="AJ105" s="93">
        <v>0</v>
      </c>
      <c r="AK105" s="93"/>
      <c r="AL105" s="122">
        <f t="shared" ref="AL105" si="65">IFERROR($AL$131*H105/$H$131,0)</f>
        <v>0</v>
      </c>
      <c r="AM105" s="93">
        <v>0</v>
      </c>
      <c r="AN105" s="123">
        <f t="shared" ref="AN105:AN108" si="66">X105*5.71%</f>
        <v>0</v>
      </c>
      <c r="AO105" s="95">
        <f t="shared" ref="AO105:AO108" si="67">AA105-AD105-AE105-AG105-AH105-AI105-AJ105-AK105-AL105-AN105-AM105</f>
        <v>0</v>
      </c>
      <c r="AP105" s="123"/>
      <c r="AQ105" s="502">
        <f t="shared" ref="AQ105:AQ108" si="68">IF(U105=0,0,AA105/U105)</f>
        <v>0</v>
      </c>
      <c r="AR105" s="503">
        <f t="shared" ref="AR105:AR108" si="69">K105</f>
        <v>230</v>
      </c>
      <c r="AS105" s="503">
        <f t="shared" ref="AS105:AS108" si="70">IF(U105=0,0,AE105/U105)</f>
        <v>0</v>
      </c>
      <c r="AT105" s="503">
        <f t="shared" ref="AT105:AT108" si="71">IF(S105=0,AG105/1,AG105/S105)</f>
        <v>0</v>
      </c>
      <c r="AU105" s="503">
        <f t="shared" ref="AU105:AU108" si="72">IF(S105=0,0,(AH105+AI105+AJ105)/S105)</f>
        <v>0</v>
      </c>
      <c r="AV105" s="503">
        <f t="array" ref="AV105">_xlfn.IFS(U105=0,AO105,U105&lt;0,AO105/-U105,U105&gt;0,AO105/U105)</f>
        <v>0</v>
      </c>
      <c r="AW105" s="243">
        <f t="shared" ref="AW105:AW108" si="73">IF(AQ105=0,0,AV105/AQ105)</f>
        <v>0</v>
      </c>
      <c r="AX105" s="243">
        <f t="shared" ref="AX105:AX108" si="74">IF(AR105=0,0,AV105/AR105)</f>
        <v>0</v>
      </c>
      <c r="AY105" s="504"/>
      <c r="AZ105" s="123">
        <f t="shared" ref="AZ105:AZ108" si="75">AV105*E105</f>
        <v>0</v>
      </c>
    </row>
    <row r="106" spans="1:52" s="270" customFormat="1" outlineLevel="1">
      <c r="A106" s="500" t="s">
        <v>121</v>
      </c>
      <c r="B106" s="501">
        <v>987023804</v>
      </c>
      <c r="C106" s="501" t="s">
        <v>370</v>
      </c>
      <c r="D106" s="121" t="s">
        <v>84</v>
      </c>
      <c r="E106" s="241">
        <f t="shared" si="42"/>
        <v>22</v>
      </c>
      <c r="F106" s="93">
        <v>0</v>
      </c>
      <c r="G106" s="93">
        <v>0</v>
      </c>
      <c r="H106" s="93">
        <v>0</v>
      </c>
      <c r="I106" s="93">
        <v>0</v>
      </c>
      <c r="J106" s="93">
        <v>22</v>
      </c>
      <c r="K106" s="93">
        <v>250</v>
      </c>
      <c r="L106" s="93">
        <f t="shared" si="58"/>
        <v>5500</v>
      </c>
      <c r="M106" s="89" t="s">
        <v>100</v>
      </c>
      <c r="N106" s="89">
        <v>0</v>
      </c>
      <c r="O106" s="89">
        <v>0</v>
      </c>
      <c r="P106" s="89">
        <v>0</v>
      </c>
      <c r="Q106" s="242">
        <f t="shared" si="62"/>
        <v>0</v>
      </c>
      <c r="R106" s="93">
        <f t="shared" si="63"/>
        <v>0</v>
      </c>
      <c r="S106" s="93">
        <v>0</v>
      </c>
      <c r="T106" s="93">
        <v>0</v>
      </c>
      <c r="U106" s="92">
        <f t="shared" si="45"/>
        <v>0</v>
      </c>
      <c r="V106" s="93">
        <v>0</v>
      </c>
      <c r="W106" s="93">
        <v>0</v>
      </c>
      <c r="X106" s="92">
        <f t="shared" si="46"/>
        <v>0</v>
      </c>
      <c r="Y106" s="93">
        <v>0</v>
      </c>
      <c r="Z106" s="93">
        <v>0</v>
      </c>
      <c r="AA106" s="92">
        <f t="shared" si="47"/>
        <v>0</v>
      </c>
      <c r="AB106" s="92">
        <f t="shared" si="48"/>
        <v>0</v>
      </c>
      <c r="AC106" s="234">
        <f>AA106/$AA$131</f>
        <v>0</v>
      </c>
      <c r="AD106" s="92">
        <f t="shared" si="49"/>
        <v>0</v>
      </c>
      <c r="AE106" s="93">
        <v>0</v>
      </c>
      <c r="AF106" s="234">
        <f t="shared" si="50"/>
        <v>0</v>
      </c>
      <c r="AG106" s="93">
        <v>0</v>
      </c>
      <c r="AH106" s="93"/>
      <c r="AI106" s="93">
        <v>0</v>
      </c>
      <c r="AJ106" s="93">
        <v>0</v>
      </c>
      <c r="AK106" s="93"/>
      <c r="AL106" s="122">
        <f>IFERROR($AL$131*H106/$H$131,0)</f>
        <v>0</v>
      </c>
      <c r="AM106" s="93">
        <v>0</v>
      </c>
      <c r="AN106" s="123">
        <f t="shared" si="66"/>
        <v>0</v>
      </c>
      <c r="AO106" s="95">
        <f t="shared" si="67"/>
        <v>0</v>
      </c>
      <c r="AP106" s="123"/>
      <c r="AQ106" s="502">
        <f t="shared" si="68"/>
        <v>0</v>
      </c>
      <c r="AR106" s="503">
        <f t="shared" si="69"/>
        <v>250</v>
      </c>
      <c r="AS106" s="503">
        <f t="shared" si="70"/>
        <v>0</v>
      </c>
      <c r="AT106" s="503">
        <f t="shared" si="71"/>
        <v>0</v>
      </c>
      <c r="AU106" s="503">
        <f t="shared" si="72"/>
        <v>0</v>
      </c>
      <c r="AV106" s="503">
        <f t="array" ref="AV106">_xlfn.IFS(U106=0,AO106,U106&lt;0,AO106/-U106,U106&gt;0,AO106/U106)</f>
        <v>0</v>
      </c>
      <c r="AW106" s="243">
        <f t="shared" si="73"/>
        <v>0</v>
      </c>
      <c r="AX106" s="243">
        <f t="shared" si="74"/>
        <v>0</v>
      </c>
      <c r="AY106" s="504"/>
      <c r="AZ106" s="123">
        <f t="shared" si="75"/>
        <v>0</v>
      </c>
    </row>
    <row r="107" spans="1:52" s="270" customFormat="1" outlineLevel="1">
      <c r="A107" s="500" t="s">
        <v>121</v>
      </c>
      <c r="B107" s="501">
        <v>987023803</v>
      </c>
      <c r="C107" s="501" t="s">
        <v>369</v>
      </c>
      <c r="D107" s="121" t="s">
        <v>84</v>
      </c>
      <c r="E107" s="241">
        <f t="shared" si="42"/>
        <v>44</v>
      </c>
      <c r="F107" s="93">
        <v>0</v>
      </c>
      <c r="G107" s="93">
        <v>0</v>
      </c>
      <c r="H107" s="93">
        <v>0</v>
      </c>
      <c r="I107" s="93">
        <v>0</v>
      </c>
      <c r="J107" s="93">
        <v>44</v>
      </c>
      <c r="K107" s="93">
        <v>350</v>
      </c>
      <c r="L107" s="93">
        <f t="shared" si="58"/>
        <v>15400</v>
      </c>
      <c r="M107" s="89" t="s">
        <v>100</v>
      </c>
      <c r="N107" s="89">
        <v>0</v>
      </c>
      <c r="O107" s="89">
        <v>0</v>
      </c>
      <c r="P107" s="89">
        <v>0</v>
      </c>
      <c r="Q107" s="242">
        <f t="shared" si="62"/>
        <v>0</v>
      </c>
      <c r="R107" s="93">
        <f t="shared" si="63"/>
        <v>0</v>
      </c>
      <c r="S107" s="93">
        <v>0</v>
      </c>
      <c r="T107" s="93">
        <v>0</v>
      </c>
      <c r="U107" s="92">
        <f t="shared" si="45"/>
        <v>0</v>
      </c>
      <c r="V107" s="93">
        <v>0</v>
      </c>
      <c r="W107" s="93">
        <v>0</v>
      </c>
      <c r="X107" s="92">
        <f t="shared" si="46"/>
        <v>0</v>
      </c>
      <c r="Y107" s="93">
        <v>0</v>
      </c>
      <c r="Z107" s="93">
        <v>0</v>
      </c>
      <c r="AA107" s="92">
        <f t="shared" si="47"/>
        <v>0</v>
      </c>
      <c r="AB107" s="92">
        <f t="shared" si="48"/>
        <v>0</v>
      </c>
      <c r="AC107" s="234">
        <f>AA107/$AA$131</f>
        <v>0</v>
      </c>
      <c r="AD107" s="92">
        <f t="shared" si="49"/>
        <v>0</v>
      </c>
      <c r="AE107" s="93">
        <v>0</v>
      </c>
      <c r="AF107" s="234">
        <f t="shared" si="50"/>
        <v>0</v>
      </c>
      <c r="AG107" s="93">
        <v>0</v>
      </c>
      <c r="AH107" s="93"/>
      <c r="AI107" s="93">
        <v>0</v>
      </c>
      <c r="AJ107" s="93">
        <v>0</v>
      </c>
      <c r="AK107" s="93"/>
      <c r="AL107" s="122">
        <f>IFERROR($AL$131*H107/$H$131,0)</f>
        <v>0</v>
      </c>
      <c r="AM107" s="93">
        <v>0</v>
      </c>
      <c r="AN107" s="123">
        <f t="shared" si="66"/>
        <v>0</v>
      </c>
      <c r="AO107" s="95">
        <f t="shared" si="67"/>
        <v>0</v>
      </c>
      <c r="AP107" s="123"/>
      <c r="AQ107" s="502">
        <f t="shared" si="68"/>
        <v>0</v>
      </c>
      <c r="AR107" s="503">
        <f t="shared" si="69"/>
        <v>350</v>
      </c>
      <c r="AS107" s="503">
        <f t="shared" si="70"/>
        <v>0</v>
      </c>
      <c r="AT107" s="503">
        <f t="shared" si="71"/>
        <v>0</v>
      </c>
      <c r="AU107" s="503">
        <f t="shared" si="72"/>
        <v>0</v>
      </c>
      <c r="AV107" s="503">
        <f t="array" ref="AV107">_xlfn.IFS(U107=0,AO107,U107&lt;0,AO107/-U107,U107&gt;0,AO107/U107)</f>
        <v>0</v>
      </c>
      <c r="AW107" s="243">
        <f t="shared" si="73"/>
        <v>0</v>
      </c>
      <c r="AX107" s="243">
        <f t="shared" si="74"/>
        <v>0</v>
      </c>
      <c r="AY107" s="504"/>
      <c r="AZ107" s="123">
        <f t="shared" si="75"/>
        <v>0</v>
      </c>
    </row>
    <row r="108" spans="1:52" s="270" customFormat="1" outlineLevel="1">
      <c r="A108" s="500" t="s">
        <v>121</v>
      </c>
      <c r="B108" s="501">
        <v>987023802</v>
      </c>
      <c r="C108" s="501" t="s">
        <v>371</v>
      </c>
      <c r="D108" s="121" t="s">
        <v>84</v>
      </c>
      <c r="E108" s="241">
        <f t="shared" si="42"/>
        <v>43</v>
      </c>
      <c r="F108" s="93">
        <v>2</v>
      </c>
      <c r="G108" s="93" t="s">
        <v>100</v>
      </c>
      <c r="H108" s="93" t="s">
        <v>100</v>
      </c>
      <c r="I108" s="93">
        <v>0</v>
      </c>
      <c r="J108" s="93">
        <v>41</v>
      </c>
      <c r="K108" s="93">
        <v>350</v>
      </c>
      <c r="L108" s="93">
        <f t="shared" si="58"/>
        <v>15050</v>
      </c>
      <c r="M108" s="89" t="s">
        <v>100</v>
      </c>
      <c r="N108" s="89">
        <v>2</v>
      </c>
      <c r="O108" s="89">
        <v>5000</v>
      </c>
      <c r="P108" s="89">
        <v>0</v>
      </c>
      <c r="Q108" s="242">
        <f t="shared" si="62"/>
        <v>0.2857142857142857</v>
      </c>
      <c r="R108" s="93">
        <f t="shared" si="63"/>
        <v>0</v>
      </c>
      <c r="S108" s="93">
        <v>0</v>
      </c>
      <c r="T108" s="93">
        <v>0</v>
      </c>
      <c r="U108" s="92">
        <f t="shared" si="45"/>
        <v>0</v>
      </c>
      <c r="V108" s="93">
        <v>0</v>
      </c>
      <c r="W108" s="93">
        <v>0</v>
      </c>
      <c r="X108" s="92">
        <f t="shared" si="46"/>
        <v>0</v>
      </c>
      <c r="Y108" s="93">
        <v>0</v>
      </c>
      <c r="Z108" s="93">
        <v>0</v>
      </c>
      <c r="AA108" s="92">
        <f t="shared" si="47"/>
        <v>0</v>
      </c>
      <c r="AB108" s="92">
        <f t="shared" si="48"/>
        <v>0</v>
      </c>
      <c r="AC108" s="234">
        <f>AA108/$AA$131</f>
        <v>0</v>
      </c>
      <c r="AD108" s="92">
        <f t="shared" si="49"/>
        <v>0</v>
      </c>
      <c r="AE108" s="93">
        <v>0</v>
      </c>
      <c r="AF108" s="234">
        <f t="shared" si="50"/>
        <v>0</v>
      </c>
      <c r="AG108" s="93">
        <v>0</v>
      </c>
      <c r="AH108" s="93"/>
      <c r="AI108" s="93">
        <v>0</v>
      </c>
      <c r="AJ108" s="93">
        <v>0</v>
      </c>
      <c r="AK108" s="93"/>
      <c r="AL108" s="122">
        <f>IFERROR($AL$131*H108/$H$131,0)</f>
        <v>0</v>
      </c>
      <c r="AM108" s="93">
        <v>0</v>
      </c>
      <c r="AN108" s="123">
        <f t="shared" si="66"/>
        <v>0</v>
      </c>
      <c r="AO108" s="95">
        <f t="shared" si="67"/>
        <v>0</v>
      </c>
      <c r="AP108" s="123"/>
      <c r="AQ108" s="502">
        <f t="shared" si="68"/>
        <v>0</v>
      </c>
      <c r="AR108" s="503">
        <f t="shared" si="69"/>
        <v>350</v>
      </c>
      <c r="AS108" s="503">
        <f t="shared" si="70"/>
        <v>0</v>
      </c>
      <c r="AT108" s="503">
        <f t="shared" si="71"/>
        <v>0</v>
      </c>
      <c r="AU108" s="503">
        <f t="shared" si="72"/>
        <v>0</v>
      </c>
      <c r="AV108" s="503">
        <f t="array" ref="AV108">_xlfn.IFS(U108=0,AO108,U108&lt;0,AO108/-U108,U108&gt;0,AO108/U108)</f>
        <v>0</v>
      </c>
      <c r="AW108" s="243">
        <f t="shared" si="73"/>
        <v>0</v>
      </c>
      <c r="AX108" s="243">
        <f t="shared" si="74"/>
        <v>0</v>
      </c>
      <c r="AY108" s="504"/>
      <c r="AZ108" s="123">
        <f t="shared" si="75"/>
        <v>0</v>
      </c>
    </row>
    <row r="109" spans="1:52" s="113" customFormat="1" outlineLevel="1">
      <c r="A109" s="101"/>
      <c r="B109" s="102"/>
      <c r="C109" s="103" t="s">
        <v>218</v>
      </c>
      <c r="D109" s="104"/>
      <c r="E109" s="235"/>
      <c r="F109" s="105"/>
      <c r="G109" s="105"/>
      <c r="H109" s="106"/>
      <c r="I109" s="106"/>
      <c r="J109" s="106"/>
      <c r="K109" s="105"/>
      <c r="L109" s="105"/>
      <c r="M109" s="103"/>
      <c r="N109" s="103"/>
      <c r="O109" s="103"/>
      <c r="P109" s="103"/>
      <c r="Q109" s="236"/>
      <c r="R109" s="105"/>
      <c r="S109" s="106"/>
      <c r="T109" s="106"/>
      <c r="U109" s="105"/>
      <c r="V109" s="106"/>
      <c r="W109" s="106"/>
      <c r="X109" s="105"/>
      <c r="Y109" s="106"/>
      <c r="Z109" s="106"/>
      <c r="AA109" s="105"/>
      <c r="AB109" s="105"/>
      <c r="AC109" s="237"/>
      <c r="AD109" s="105"/>
      <c r="AE109" s="106"/>
      <c r="AF109" s="237"/>
      <c r="AG109" s="106"/>
      <c r="AH109" s="106"/>
      <c r="AI109" s="106"/>
      <c r="AJ109" s="106"/>
      <c r="AK109" s="106"/>
      <c r="AL109" s="107"/>
      <c r="AM109" s="106"/>
      <c r="AN109" s="108"/>
      <c r="AO109" s="109"/>
      <c r="AP109" s="110"/>
      <c r="AQ109" s="111">
        <f>AVERAGE(AQ7:AQ98)</f>
        <v>606.40672203923987</v>
      </c>
      <c r="AR109" s="111">
        <f>AVERAGE(AR7:AR98)</f>
        <v>141.22217391304349</v>
      </c>
      <c r="AS109" s="111">
        <f>AVERAGE(AS7:AS98)</f>
        <v>231.12847310020911</v>
      </c>
      <c r="AT109" s="111">
        <f>AVERAGE(AT7:AT98)</f>
        <v>93.502817748598233</v>
      </c>
      <c r="AU109" s="111">
        <f>AVERAGE(AU7:AU98)</f>
        <v>98.062851083593316</v>
      </c>
      <c r="AV109" s="111">
        <f>AVERAGE(AV7:AV98)</f>
        <v>57.629689677646731</v>
      </c>
      <c r="AW109" s="112">
        <f>AVERAGE(AW7:AW98)</f>
        <v>6.8429052328811038E-2</v>
      </c>
      <c r="AX109" s="112">
        <f>AVERAGE(AX7:AX98)</f>
        <v>0.42819220539146313</v>
      </c>
      <c r="AY109" s="99"/>
      <c r="AZ109" s="108"/>
    </row>
    <row r="110" spans="1:52" s="120" customFormat="1">
      <c r="A110" s="114" t="s">
        <v>85</v>
      </c>
      <c r="B110" s="115"/>
      <c r="C110" s="116"/>
      <c r="D110" s="116"/>
      <c r="E110" s="238">
        <f>SUM(E3:E108)</f>
        <v>94676</v>
      </c>
      <c r="F110" s="116">
        <f>SUM(F3:F108)</f>
        <v>2389</v>
      </c>
      <c r="G110" s="116">
        <f>SUM(G3:G108)</f>
        <v>709</v>
      </c>
      <c r="H110" s="116">
        <f>SUM(H3:H108)</f>
        <v>7077</v>
      </c>
      <c r="I110" s="116">
        <f>SUM(I3:I108)</f>
        <v>1461</v>
      </c>
      <c r="J110" s="116">
        <f>SUM(J3:J108)</f>
        <v>83040</v>
      </c>
      <c r="K110" s="116"/>
      <c r="L110" s="116">
        <f>SUM(L3:L108)</f>
        <v>11678426.350000007</v>
      </c>
      <c r="M110" s="116"/>
      <c r="N110" s="116">
        <f>SUM(N3:N108)</f>
        <v>3857</v>
      </c>
      <c r="O110" s="116"/>
      <c r="P110" s="116"/>
      <c r="Q110" s="294">
        <f>SUM(Q3:Q108)</f>
        <v>550.99999999999989</v>
      </c>
      <c r="R110" s="116"/>
      <c r="S110" s="116">
        <f>SUM(S3:S108)</f>
        <v>1781</v>
      </c>
      <c r="T110" s="116">
        <f>SUM(T3:T108)</f>
        <v>-43</v>
      </c>
      <c r="U110" s="116">
        <f>SUM(U3:U108)</f>
        <v>1738</v>
      </c>
      <c r="V110" s="116">
        <f>SUM(V3:V108)</f>
        <v>1836894.3899999994</v>
      </c>
      <c r="W110" s="116">
        <f>SUM(W3:W108)</f>
        <v>-42304</v>
      </c>
      <c r="X110" s="116">
        <f>SUM(X3:X108)</f>
        <v>1794590.3899999994</v>
      </c>
      <c r="Y110" s="116">
        <f>SUM(Y3:Y108)</f>
        <v>2527540.2300000004</v>
      </c>
      <c r="Z110" s="116">
        <f>SUM(Z3:Z108)</f>
        <v>-59373</v>
      </c>
      <c r="AA110" s="116">
        <f>SUM(AA3:AA108)</f>
        <v>2468167.2300000004</v>
      </c>
      <c r="AB110" s="116">
        <f>SUM(AB3:AB108)</f>
        <v>3116219.4400000004</v>
      </c>
      <c r="AC110" s="239">
        <f>SUM(AC3:AC108)</f>
        <v>0.99999999999999978</v>
      </c>
      <c r="AD110" s="117">
        <f>SUM(AD3:AD108)</f>
        <v>216179.16</v>
      </c>
      <c r="AE110" s="116">
        <f>SUM(AE3:AE108)</f>
        <v>937659.92000000027</v>
      </c>
      <c r="AF110" s="239">
        <f>AE110/AA110</f>
        <v>0.37990129218270197</v>
      </c>
      <c r="AG110" s="116">
        <f>SUM(AG3:AG108)</f>
        <v>230746.08999999988</v>
      </c>
      <c r="AH110" s="117">
        <f>SUM(AH3:AH108)</f>
        <v>320</v>
      </c>
      <c r="AI110" s="117">
        <f>SUM(AI3:AI108)</f>
        <v>17442</v>
      </c>
      <c r="AJ110" s="117">
        <f>SUM(AJ3:AJ108)</f>
        <v>329393</v>
      </c>
      <c r="AK110" s="117">
        <f>SUM(AK3:AK108)</f>
        <v>0</v>
      </c>
      <c r="AL110" s="117">
        <f>SUM(AL3:AL108)</f>
        <v>7487.0199999999995</v>
      </c>
      <c r="AM110" s="116">
        <f>SUM(AM3:AM108)</f>
        <v>20</v>
      </c>
      <c r="AN110" s="117">
        <f>SUM(AN3:AN108)</f>
        <v>102471.11126900002</v>
      </c>
      <c r="AO110" s="117">
        <f>SUM(AO3:AO108)</f>
        <v>626448.92873100005</v>
      </c>
      <c r="AP110" s="118"/>
      <c r="AQ110" s="116"/>
      <c r="AR110" s="116"/>
      <c r="AS110" s="116"/>
      <c r="AT110" s="116"/>
      <c r="AU110" s="240">
        <f>(AH110+AI110+AJ110)/S110</f>
        <v>194.92139247613702</v>
      </c>
      <c r="AV110" s="116"/>
      <c r="AW110" s="116"/>
      <c r="AX110" s="116"/>
      <c r="AY110" s="119"/>
      <c r="AZ110" s="116">
        <f>SUM(AZ3:AZ108)</f>
        <v>36433759.042919248</v>
      </c>
    </row>
    <row r="111" spans="1:52" hidden="1" outlineLevel="1">
      <c r="A111" s="89"/>
      <c r="B111" s="90"/>
      <c r="C111" s="90"/>
      <c r="D111" s="121"/>
      <c r="E111" s="241"/>
      <c r="F111" s="93"/>
      <c r="G111" s="93"/>
      <c r="H111" s="93"/>
      <c r="I111" s="93"/>
      <c r="J111" s="93"/>
      <c r="K111" s="93"/>
      <c r="L111" s="93"/>
      <c r="M111" s="89"/>
      <c r="N111" s="89"/>
      <c r="O111" s="89"/>
      <c r="P111" s="89"/>
      <c r="Q111" s="242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243"/>
      <c r="AD111" s="93"/>
      <c r="AE111" s="93"/>
      <c r="AF111" s="243"/>
      <c r="AG111" s="93"/>
      <c r="AH111" s="591"/>
      <c r="AI111" s="591"/>
      <c r="AJ111" s="493"/>
      <c r="AK111" s="493"/>
      <c r="AL111" s="122"/>
      <c r="AM111" s="93"/>
      <c r="AN111" s="123"/>
      <c r="AO111" s="124"/>
      <c r="AP111" s="96"/>
      <c r="AQ111" s="125"/>
      <c r="AR111" s="126"/>
      <c r="AS111" s="126"/>
      <c r="AT111" s="126"/>
      <c r="AU111" s="126"/>
      <c r="AV111" s="126"/>
      <c r="AW111" s="244"/>
      <c r="AX111" s="244"/>
      <c r="AY111" s="99"/>
      <c r="AZ111" s="123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121"/>
      <c r="E116" s="232"/>
      <c r="F116" s="93"/>
      <c r="G116" s="93"/>
      <c r="H116" s="93"/>
      <c r="I116" s="93"/>
      <c r="J116" s="93"/>
      <c r="K116" s="93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100"/>
      <c r="C117" s="100"/>
      <c r="D117" s="100"/>
      <c r="E117" s="100"/>
      <c r="H117" s="270"/>
      <c r="K117" s="93"/>
      <c r="L117" s="93"/>
      <c r="M117" s="89"/>
      <c r="N117" s="89"/>
      <c r="O117" s="89"/>
      <c r="P117" s="89"/>
      <c r="Q117" s="242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243"/>
      <c r="AD117" s="93"/>
      <c r="AE117" s="93"/>
      <c r="AF117" s="243"/>
      <c r="AG117" s="93"/>
      <c r="AH117" s="493"/>
      <c r="AI117" s="493"/>
      <c r="AJ117" s="493"/>
      <c r="AK117" s="493"/>
      <c r="AL117" s="122"/>
      <c r="AM117" s="93"/>
      <c r="AN117" s="123"/>
      <c r="AO117" s="124"/>
      <c r="AP117" s="96"/>
      <c r="AQ117" s="245" t="e">
        <f>AVERAGE(AQ112:AQ116)</f>
        <v>#DIV/0!</v>
      </c>
      <c r="AR117" s="245" t="e">
        <f>AVERAGE(AR112:AR116)</f>
        <v>#DIV/0!</v>
      </c>
      <c r="AS117" s="245" t="e">
        <f t="shared" ref="AS117:AX117" si="76">AVERAGE(AS112:AS116)</f>
        <v>#DIV/0!</v>
      </c>
      <c r="AT117" s="245" t="e">
        <f t="shared" si="76"/>
        <v>#DIV/0!</v>
      </c>
      <c r="AU117" s="245" t="e">
        <f t="shared" si="76"/>
        <v>#DIV/0!</v>
      </c>
      <c r="AV117" s="245" t="e">
        <f t="shared" si="76"/>
        <v>#DIV/0!</v>
      </c>
      <c r="AW117" s="246" t="e">
        <f t="shared" si="76"/>
        <v>#DIV/0!</v>
      </c>
      <c r="AX117" s="246" t="e">
        <f t="shared" si="76"/>
        <v>#DIV/0!</v>
      </c>
      <c r="AY117" s="99"/>
      <c r="AZ117" s="123"/>
    </row>
    <row r="118" spans="1:52" s="120" customFormat="1" hidden="1" outlineLevel="1">
      <c r="A118" s="247" t="s">
        <v>226</v>
      </c>
      <c r="B118" s="248"/>
      <c r="C118" s="249"/>
      <c r="D118" s="249"/>
      <c r="E118" s="250">
        <f t="shared" ref="E118:J118" si="77">SUM(E112:E116)</f>
        <v>0</v>
      </c>
      <c r="F118" s="249">
        <f t="shared" si="77"/>
        <v>0</v>
      </c>
      <c r="G118" s="249">
        <f t="shared" si="77"/>
        <v>0</v>
      </c>
      <c r="H118" s="249">
        <f t="shared" si="77"/>
        <v>0</v>
      </c>
      <c r="I118" s="249">
        <f t="shared" si="77"/>
        <v>0</v>
      </c>
      <c r="J118" s="249">
        <f t="shared" si="77"/>
        <v>0</v>
      </c>
      <c r="K118" s="249"/>
      <c r="L118" s="249">
        <f>SUM(L112:L116)</f>
        <v>0</v>
      </c>
      <c r="M118" s="249"/>
      <c r="N118" s="249">
        <f>SUM(N112:N116)</f>
        <v>0</v>
      </c>
      <c r="O118" s="249"/>
      <c r="P118" s="249"/>
      <c r="Q118" s="251"/>
      <c r="R118" s="249"/>
      <c r="S118" s="249">
        <f t="shared" ref="S118:AE118" si="78">SUM(S112:S116)</f>
        <v>0</v>
      </c>
      <c r="T118" s="249">
        <f t="shared" si="78"/>
        <v>0</v>
      </c>
      <c r="U118" s="249">
        <f t="shared" si="78"/>
        <v>0</v>
      </c>
      <c r="V118" s="249">
        <f t="shared" si="78"/>
        <v>0</v>
      </c>
      <c r="W118" s="249">
        <f t="shared" si="78"/>
        <v>0</v>
      </c>
      <c r="X118" s="249">
        <f t="shared" si="78"/>
        <v>0</v>
      </c>
      <c r="Y118" s="249">
        <f t="shared" si="78"/>
        <v>0</v>
      </c>
      <c r="Z118" s="249">
        <f t="shared" si="78"/>
        <v>0</v>
      </c>
      <c r="AA118" s="249">
        <f t="shared" si="78"/>
        <v>0</v>
      </c>
      <c r="AB118" s="249">
        <f t="shared" si="78"/>
        <v>0</v>
      </c>
      <c r="AC118" s="252">
        <f t="shared" si="78"/>
        <v>0</v>
      </c>
      <c r="AD118" s="253">
        <f t="shared" si="78"/>
        <v>0</v>
      </c>
      <c r="AE118" s="249">
        <f t="shared" si="78"/>
        <v>0</v>
      </c>
      <c r="AF118" s="252" t="e">
        <f>AE118/AA118</f>
        <v>#DIV/0!</v>
      </c>
      <c r="AG118" s="249">
        <f t="shared" ref="AG118:AO118" si="79">SUM(AG112:AG116)</f>
        <v>0</v>
      </c>
      <c r="AH118" s="253">
        <f t="shared" si="79"/>
        <v>0</v>
      </c>
      <c r="AI118" s="253">
        <f t="shared" si="79"/>
        <v>0</v>
      </c>
      <c r="AJ118" s="253">
        <f t="shared" si="79"/>
        <v>0</v>
      </c>
      <c r="AK118" s="253">
        <f t="shared" si="79"/>
        <v>0</v>
      </c>
      <c r="AL118" s="253">
        <f t="shared" si="79"/>
        <v>0</v>
      </c>
      <c r="AM118" s="249">
        <f t="shared" si="79"/>
        <v>0</v>
      </c>
      <c r="AN118" s="253">
        <f t="shared" si="79"/>
        <v>0</v>
      </c>
      <c r="AO118" s="253">
        <f t="shared" si="79"/>
        <v>0</v>
      </c>
      <c r="AP118" s="254"/>
      <c r="AQ118" s="249"/>
      <c r="AR118" s="249"/>
      <c r="AS118" s="249"/>
      <c r="AT118" s="249"/>
      <c r="AU118" s="255" t="e">
        <f>(AH118+AI118+AJ118)/S118</f>
        <v>#DIV/0!</v>
      </c>
      <c r="AV118" s="249"/>
      <c r="AW118" s="249"/>
      <c r="AX118" s="249"/>
      <c r="AY118" s="256"/>
      <c r="AZ118" s="249">
        <f>SUM(AZ112:AZ116)</f>
        <v>0</v>
      </c>
    </row>
    <row r="119" spans="1:52" s="120" customFormat="1" hidden="1" outlineLevel="1">
      <c r="A119" s="257"/>
      <c r="B119" s="258"/>
      <c r="C119" s="139"/>
      <c r="D119" s="139"/>
      <c r="E119" s="25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260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261"/>
      <c r="AD119" s="262"/>
      <c r="AE119" s="139"/>
      <c r="AF119" s="261"/>
      <c r="AG119" s="139"/>
      <c r="AH119" s="592"/>
      <c r="AI119" s="593"/>
      <c r="AJ119" s="494"/>
      <c r="AK119" s="262"/>
      <c r="AL119" s="262"/>
      <c r="AM119" s="139"/>
      <c r="AN119" s="262"/>
      <c r="AO119" s="262"/>
      <c r="AP119" s="96"/>
      <c r="AQ119" s="139"/>
      <c r="AR119" s="139"/>
      <c r="AS119" s="139"/>
      <c r="AT119" s="139"/>
      <c r="AU119" s="139"/>
      <c r="AV119" s="139"/>
      <c r="AW119" s="139"/>
      <c r="AX119" s="139"/>
      <c r="AY119" s="96"/>
      <c r="AZ119" s="139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91"/>
      <c r="E126" s="232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89"/>
      <c r="B127" s="90"/>
      <c r="C127" s="90"/>
      <c r="D127" s="121"/>
      <c r="E127" s="241"/>
      <c r="F127" s="93"/>
      <c r="G127" s="93"/>
      <c r="H127" s="93"/>
      <c r="I127" s="93"/>
      <c r="J127" s="93"/>
      <c r="K127" s="92"/>
      <c r="L127" s="92"/>
      <c r="M127" s="89"/>
      <c r="N127" s="89"/>
      <c r="O127" s="89"/>
      <c r="P127" s="89"/>
      <c r="Q127" s="233"/>
      <c r="R127" s="92"/>
      <c r="S127" s="93"/>
      <c r="T127" s="93"/>
      <c r="U127" s="92"/>
      <c r="V127" s="93"/>
      <c r="W127" s="93"/>
      <c r="X127" s="92"/>
      <c r="Y127" s="93"/>
      <c r="Z127" s="93"/>
      <c r="AA127" s="92"/>
      <c r="AB127" s="92"/>
      <c r="AC127" s="234"/>
      <c r="AD127" s="92"/>
      <c r="AE127" s="93"/>
      <c r="AF127" s="234"/>
      <c r="AG127" s="93"/>
      <c r="AH127" s="93"/>
      <c r="AI127" s="93"/>
      <c r="AJ127" s="93"/>
      <c r="AK127" s="93"/>
      <c r="AL127" s="122"/>
      <c r="AM127" s="93"/>
      <c r="AN127" s="94"/>
      <c r="AO127" s="95"/>
      <c r="AP127" s="96"/>
      <c r="AQ127" s="97"/>
      <c r="AR127" s="98"/>
      <c r="AS127" s="98"/>
      <c r="AT127" s="98"/>
      <c r="AU127" s="98"/>
      <c r="AV127" s="98"/>
      <c r="AW127" s="234"/>
      <c r="AX127" s="234"/>
      <c r="AY127" s="99"/>
      <c r="AZ127" s="94"/>
    </row>
    <row r="128" spans="1:52" hidden="1" outlineLevel="1">
      <c r="A128" s="127"/>
      <c r="B128" s="100"/>
      <c r="C128" s="89"/>
      <c r="D128" s="127"/>
      <c r="E128" s="232"/>
      <c r="F128" s="92"/>
      <c r="G128" s="92"/>
      <c r="H128" s="93"/>
      <c r="I128" s="92"/>
      <c r="J128" s="93"/>
      <c r="K128" s="92"/>
      <c r="L128" s="92"/>
      <c r="M128" s="89"/>
      <c r="N128" s="129"/>
      <c r="O128" s="129"/>
      <c r="P128" s="129"/>
      <c r="Q128" s="233"/>
      <c r="R128" s="128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234"/>
      <c r="AD128" s="92"/>
      <c r="AE128" s="92"/>
      <c r="AF128" s="234"/>
      <c r="AG128" s="92"/>
      <c r="AH128" s="93"/>
      <c r="AI128" s="93"/>
      <c r="AJ128" s="93"/>
      <c r="AK128" s="93"/>
      <c r="AL128" s="122"/>
      <c r="AN128" s="94"/>
      <c r="AO128" s="95"/>
      <c r="AP128" s="96"/>
      <c r="AQ128" s="130" t="e">
        <f t="shared" ref="AQ128:AX128" si="80">AVERAGE(AQ120:AQ127)</f>
        <v>#DIV/0!</v>
      </c>
      <c r="AR128" s="130" t="e">
        <f t="shared" si="80"/>
        <v>#DIV/0!</v>
      </c>
      <c r="AS128" s="130" t="e">
        <f t="shared" si="80"/>
        <v>#DIV/0!</v>
      </c>
      <c r="AT128" s="130" t="e">
        <f t="shared" si="80"/>
        <v>#DIV/0!</v>
      </c>
      <c r="AU128" s="130" t="e">
        <f t="shared" si="80"/>
        <v>#DIV/0!</v>
      </c>
      <c r="AV128" s="130" t="e">
        <f t="shared" si="80"/>
        <v>#DIV/0!</v>
      </c>
      <c r="AW128" s="131" t="e">
        <f t="shared" si="80"/>
        <v>#DIV/0!</v>
      </c>
      <c r="AX128" s="131" t="e">
        <f t="shared" si="80"/>
        <v>#DIV/0!</v>
      </c>
      <c r="AY128" s="99"/>
      <c r="AZ128" s="94"/>
    </row>
    <row r="129" spans="1:52" s="139" customFormat="1" ht="15" hidden="1" customHeight="1" outlineLevel="1">
      <c r="A129" s="132" t="s">
        <v>235</v>
      </c>
      <c r="B129" s="133"/>
      <c r="C129" s="134"/>
      <c r="D129" s="134"/>
      <c r="E129" s="264">
        <f t="shared" ref="E129:J129" si="81">SUM(E120:E127)</f>
        <v>0</v>
      </c>
      <c r="F129" s="134">
        <f t="shared" si="81"/>
        <v>0</v>
      </c>
      <c r="G129" s="134">
        <f t="shared" si="81"/>
        <v>0</v>
      </c>
      <c r="H129" s="134">
        <f t="shared" si="81"/>
        <v>0</v>
      </c>
      <c r="I129" s="134">
        <f t="shared" si="81"/>
        <v>0</v>
      </c>
      <c r="J129" s="134">
        <f t="shared" si="81"/>
        <v>0</v>
      </c>
      <c r="K129" s="134"/>
      <c r="L129" s="134">
        <f>SUM(L120:L127)</f>
        <v>0</v>
      </c>
      <c r="M129" s="134"/>
      <c r="N129" s="134">
        <f>SUM(N120:N127)</f>
        <v>0</v>
      </c>
      <c r="O129" s="134"/>
      <c r="P129" s="134"/>
      <c r="Q129" s="213"/>
      <c r="R129" s="134"/>
      <c r="S129" s="134">
        <f t="shared" ref="S129:AE129" si="82">SUM(S120:S127)</f>
        <v>0</v>
      </c>
      <c r="T129" s="134">
        <f t="shared" si="82"/>
        <v>0</v>
      </c>
      <c r="U129" s="134">
        <f t="shared" si="82"/>
        <v>0</v>
      </c>
      <c r="V129" s="134">
        <f t="shared" si="82"/>
        <v>0</v>
      </c>
      <c r="W129" s="134">
        <f t="shared" si="82"/>
        <v>0</v>
      </c>
      <c r="X129" s="134">
        <f t="shared" si="82"/>
        <v>0</v>
      </c>
      <c r="Y129" s="134">
        <f t="shared" si="82"/>
        <v>0</v>
      </c>
      <c r="Z129" s="134">
        <f t="shared" si="82"/>
        <v>0</v>
      </c>
      <c r="AA129" s="134">
        <f t="shared" si="82"/>
        <v>0</v>
      </c>
      <c r="AB129" s="134">
        <f t="shared" si="82"/>
        <v>0</v>
      </c>
      <c r="AC129" s="265">
        <f t="shared" si="82"/>
        <v>0</v>
      </c>
      <c r="AD129" s="135">
        <f t="shared" si="82"/>
        <v>0</v>
      </c>
      <c r="AE129" s="134">
        <f t="shared" si="82"/>
        <v>0</v>
      </c>
      <c r="AF129" s="265" t="e">
        <f>AE129/AA129</f>
        <v>#DIV/0!</v>
      </c>
      <c r="AG129" s="134">
        <f t="shared" ref="AG129:AO129" si="83">SUM(AG120:AG127)</f>
        <v>0</v>
      </c>
      <c r="AH129" s="134">
        <f t="shared" si="83"/>
        <v>0</v>
      </c>
      <c r="AI129" s="134">
        <f t="shared" si="83"/>
        <v>0</v>
      </c>
      <c r="AJ129" s="134">
        <f t="shared" si="83"/>
        <v>0</v>
      </c>
      <c r="AK129" s="134">
        <f t="shared" si="83"/>
        <v>0</v>
      </c>
      <c r="AL129" s="136">
        <f t="shared" si="83"/>
        <v>0</v>
      </c>
      <c r="AM129" s="134">
        <f t="shared" si="83"/>
        <v>0</v>
      </c>
      <c r="AN129" s="134">
        <f t="shared" si="83"/>
        <v>0</v>
      </c>
      <c r="AO129" s="134">
        <f t="shared" si="83"/>
        <v>0</v>
      </c>
      <c r="AP129" s="137"/>
      <c r="AQ129" s="134"/>
      <c r="AR129" s="134"/>
      <c r="AS129" s="134"/>
      <c r="AT129" s="134"/>
      <c r="AU129" s="134" t="e">
        <f>(AH129+AI129+AJ129)/S129</f>
        <v>#DIV/0!</v>
      </c>
      <c r="AV129" s="134"/>
      <c r="AW129" s="134"/>
      <c r="AX129" s="134"/>
      <c r="AY129" s="138"/>
      <c r="AZ129" s="134">
        <f>SUM(AZ120:AZ127)</f>
        <v>0</v>
      </c>
    </row>
    <row r="130" spans="1:52" s="120" customFormat="1" collapsed="1">
      <c r="A130" s="429" t="s">
        <v>333</v>
      </c>
      <c r="B130" s="430"/>
      <c r="C130" s="431"/>
      <c r="D130" s="431"/>
      <c r="E130" s="432">
        <f>SUM(E3:E18)+E28+E45+E47+E48+E49+E50</f>
        <v>88112</v>
      </c>
      <c r="F130" s="431">
        <f>SUM(F3:F18)+F28+F45+F47+F48+F49+F50</f>
        <v>2150</v>
      </c>
      <c r="G130" s="431">
        <f>SUM(G3:G18)+G28+G45+G47+G48+G49+G50</f>
        <v>622</v>
      </c>
      <c r="H130" s="431">
        <f>SUM(H3:H18)+H28+H45+H47+H48+H49+H50</f>
        <v>5182</v>
      </c>
      <c r="I130" s="431">
        <f>SUM(I3:I18)+I28+I45+I47+I48+I49+I50</f>
        <v>13</v>
      </c>
      <c r="J130" s="431">
        <f>SUM(J3:J18)+J28+J45+J47+J48+J49+J50</f>
        <v>80145</v>
      </c>
      <c r="K130" s="431"/>
      <c r="L130" s="431">
        <f>SUM(L3:L18)+L28+L45+L47+L48+L49+L50</f>
        <v>10805566.890000004</v>
      </c>
      <c r="M130" s="431">
        <f>SUM(M3:M18)+M28+M45+M47+M48+M49+M50</f>
        <v>1166</v>
      </c>
      <c r="N130" s="431">
        <f>SUM(N3:N18)+N28+N45+N47+N48+N49+N50</f>
        <v>3488</v>
      </c>
      <c r="O130" s="431"/>
      <c r="P130" s="431"/>
      <c r="Q130" s="483">
        <f>SUM(Q3:Q18)+Q28+Q45+Q47+Q48+Q49+Q50</f>
        <v>498.28571428571422</v>
      </c>
      <c r="R130" s="483">
        <f>SUM(R3:R18)+R28+R45+R47+R48+R49+R50</f>
        <v>230.42857142857144</v>
      </c>
      <c r="S130" s="431">
        <f>SUM(S3:S18)+S28+S45+S47+S48+S49+S50</f>
        <v>1651</v>
      </c>
      <c r="T130" s="431">
        <f>SUM(T3:T18)+T28+T45+T47+T48+T49+T50</f>
        <v>-38</v>
      </c>
      <c r="U130" s="431">
        <f>SUM(U3:U18)+U28+U45+U47+U48+U49+U50</f>
        <v>1613</v>
      </c>
      <c r="V130" s="431">
        <f>SUM(V3:V18)+V28+V45+V47+V48+V49+V50</f>
        <v>1710434.7099999995</v>
      </c>
      <c r="W130" s="431">
        <f>SUM(W3:W18)+W28+W45+W47+W48+W49+W50</f>
        <v>-38187</v>
      </c>
      <c r="X130" s="431">
        <f>SUM(X3:X18)+X28+X45+X47+X48+X49+X50</f>
        <v>1672247.7099999995</v>
      </c>
      <c r="Y130" s="431">
        <f>SUM(Y3:Y18)+Y28+Y45+Y47+Y48+Y49+Y50</f>
        <v>2353575.8800000004</v>
      </c>
      <c r="Z130" s="431">
        <f>SUM(Z3:Z18)+Z28+Z45+Z47+Z48+Z49+Z50</f>
        <v>-53678</v>
      </c>
      <c r="AA130" s="431">
        <f>SUM(AA3:AA18)+AA28+AA45+AA47+AA48+AA49+AA50</f>
        <v>2299897.8800000008</v>
      </c>
      <c r="AB130" s="431">
        <f>SUM(AB3:AB18)+AB28+AB45+AB47+AB48+AB49+AB50</f>
        <v>2879051.37</v>
      </c>
      <c r="AC130" s="434">
        <f>SUM(AC3:AC18)+AC28+AC45+AC47+AC48+AC49+AC50</f>
        <v>0.93182416979095861</v>
      </c>
      <c r="AD130" s="435">
        <f>SUM(AD3:AD18)+AD28+AD45+AD47+AD48+AD49+AD50</f>
        <v>200109.63</v>
      </c>
      <c r="AE130" s="431">
        <f>SUM(AE3:AE18)+AE28+AE45+AE47+AE48+AE49+AE50</f>
        <v>873625.50000000023</v>
      </c>
      <c r="AF130" s="434">
        <f t="shared" ref="AF130" si="84">AE130/AA130</f>
        <v>0.37985403943239426</v>
      </c>
      <c r="AG130" s="431">
        <f>SUM(AG3:AG18)+AG28+AG45+AG47+AG48+AG49+AG50</f>
        <v>209599.42999999991</v>
      </c>
      <c r="AH130" s="435">
        <f>SUM(AH3:AH18)+AH28+AH45+AH47+AH48+AH49+AH50</f>
        <v>0</v>
      </c>
      <c r="AI130" s="435">
        <f>SUM(AI3:AI18)+AI28+AI45+AI47+AI48+AI49+AI50</f>
        <v>14910</v>
      </c>
      <c r="AJ130" s="435">
        <f>SUM(AJ3:AJ18)+AJ28+AJ45+AJ47+AJ48+AJ49+AJ50</f>
        <v>282030</v>
      </c>
      <c r="AK130" s="435">
        <f>SUM(AK3:AK18)+AK28+AK45+AK47+AK48+AK49+AK50</f>
        <v>0</v>
      </c>
      <c r="AL130" s="435">
        <f>SUM(AL3:AL18)+AL28+AL45+AL47+AL48+AL49+AL50</f>
        <v>5482.2294248975568</v>
      </c>
      <c r="AM130" s="431">
        <f>SUM(AM3:AM18)+AM28+AM45+AM47+AM48+AM49+AM50</f>
        <v>20</v>
      </c>
      <c r="AN130" s="435">
        <f>SUM(AN3:AN18)+AN28+AN45+AN47+AN48+AN49+AN50</f>
        <v>95485.344240999984</v>
      </c>
      <c r="AO130" s="435">
        <f>SUM(AO3:AO18)+AO28+AO45+AO47+AO48+AO49+AO50</f>
        <v>618635.7463341027</v>
      </c>
      <c r="AP130" s="436"/>
      <c r="AQ130" s="431"/>
      <c r="AR130" s="431"/>
      <c r="AS130" s="431"/>
      <c r="AT130" s="431"/>
      <c r="AU130" s="437"/>
      <c r="AV130" s="431"/>
      <c r="AW130" s="431"/>
      <c r="AX130" s="431"/>
      <c r="AY130" s="438"/>
      <c r="AZ130" s="431"/>
    </row>
    <row r="131" spans="1:52" s="158" customFormat="1">
      <c r="A131" s="153" t="s">
        <v>6</v>
      </c>
      <c r="B131" s="154"/>
      <c r="C131" s="155"/>
      <c r="D131" s="155"/>
      <c r="E131" s="267">
        <f>E110+E118+E129</f>
        <v>94676</v>
      </c>
      <c r="F131" s="267">
        <f>F110+F118+F129</f>
        <v>2389</v>
      </c>
      <c r="G131" s="267">
        <f t="shared" ref="G131:AE131" si="85">G110+G118+G129</f>
        <v>709</v>
      </c>
      <c r="H131" s="267">
        <f t="shared" si="85"/>
        <v>7077</v>
      </c>
      <c r="I131" s="267">
        <f t="shared" si="85"/>
        <v>1461</v>
      </c>
      <c r="J131" s="267">
        <f t="shared" si="85"/>
        <v>83040</v>
      </c>
      <c r="K131" s="267">
        <f t="shared" si="85"/>
        <v>0</v>
      </c>
      <c r="L131" s="267">
        <f t="shared" si="85"/>
        <v>11678426.350000007</v>
      </c>
      <c r="M131" s="267">
        <f t="shared" si="85"/>
        <v>0</v>
      </c>
      <c r="N131" s="267">
        <f t="shared" si="85"/>
        <v>3857</v>
      </c>
      <c r="O131" s="267">
        <f t="shared" si="85"/>
        <v>0</v>
      </c>
      <c r="P131" s="267">
        <f t="shared" si="85"/>
        <v>0</v>
      </c>
      <c r="Q131" s="215">
        <f t="shared" si="85"/>
        <v>550.99999999999989</v>
      </c>
      <c r="R131" s="267">
        <f t="shared" si="85"/>
        <v>0</v>
      </c>
      <c r="S131" s="267">
        <f t="shared" si="85"/>
        <v>1781</v>
      </c>
      <c r="T131" s="267">
        <f t="shared" si="85"/>
        <v>-43</v>
      </c>
      <c r="U131" s="267">
        <f t="shared" si="85"/>
        <v>1738</v>
      </c>
      <c r="V131" s="267">
        <f t="shared" si="85"/>
        <v>1836894.3899999994</v>
      </c>
      <c r="W131" s="267">
        <f t="shared" si="85"/>
        <v>-42304</v>
      </c>
      <c r="X131" s="267">
        <f t="shared" si="85"/>
        <v>1794590.3899999994</v>
      </c>
      <c r="Y131" s="267">
        <f t="shared" si="85"/>
        <v>2527540.2300000004</v>
      </c>
      <c r="Z131" s="267">
        <f t="shared" si="85"/>
        <v>-59373</v>
      </c>
      <c r="AA131" s="267">
        <f t="shared" si="85"/>
        <v>2468167.2300000004</v>
      </c>
      <c r="AB131" s="267">
        <f t="shared" si="85"/>
        <v>3116219.4400000004</v>
      </c>
      <c r="AC131" s="267">
        <f t="shared" si="85"/>
        <v>0.99999999999999978</v>
      </c>
      <c r="AD131" s="267">
        <f t="shared" si="85"/>
        <v>216179.16</v>
      </c>
      <c r="AE131" s="267">
        <f t="shared" si="85"/>
        <v>937659.92000000027</v>
      </c>
      <c r="AF131" s="268">
        <f>AE131/AA131</f>
        <v>0.37990129218270197</v>
      </c>
      <c r="AG131" s="267">
        <f>AG110+AG118+AG129+AG130</f>
        <v>440345.51999999979</v>
      </c>
      <c r="AH131" s="267">
        <f>AH110+AH118+AH129</f>
        <v>320</v>
      </c>
      <c r="AI131" s="267">
        <f>AI110+AI118+AI129</f>
        <v>17442</v>
      </c>
      <c r="AJ131" s="267">
        <f>AJ110+AJ118+AJ129</f>
        <v>329393</v>
      </c>
      <c r="AK131" s="267">
        <f>AK110+AK118+AK129</f>
        <v>0</v>
      </c>
      <c r="AL131" s="156">
        <v>7487.02</v>
      </c>
      <c r="AM131" s="267">
        <f>AM110+AM118+AM129</f>
        <v>20</v>
      </c>
      <c r="AN131" s="267">
        <f>AN110+AN118+AN129</f>
        <v>102471.11126900002</v>
      </c>
      <c r="AO131" s="267">
        <f>AO110+AO118+AO129</f>
        <v>626448.92873100005</v>
      </c>
      <c r="AP131" s="155"/>
      <c r="AQ131" s="155"/>
      <c r="AR131" s="155"/>
      <c r="AS131" s="155"/>
      <c r="AT131" s="155"/>
      <c r="AU131" s="155">
        <f>(AH131+AI131)/S131</f>
        <v>9.9730488489612572</v>
      </c>
      <c r="AV131" s="155"/>
      <c r="AW131" s="155"/>
      <c r="AX131" s="155"/>
      <c r="AY131" s="157"/>
      <c r="AZ131" s="155">
        <f>AZ110+AZ129</f>
        <v>36433759.042919248</v>
      </c>
    </row>
    <row r="132" spans="1:52" s="143" customFormat="1">
      <c r="A132" s="142"/>
      <c r="B132" s="141"/>
      <c r="C132" s="159"/>
      <c r="D132" s="142"/>
      <c r="E132" s="266"/>
      <c r="N132" s="144"/>
      <c r="O132" s="144"/>
      <c r="P132" s="144"/>
      <c r="R132" s="145"/>
      <c r="S132" s="146"/>
      <c r="T132" s="146"/>
      <c r="U132" s="147"/>
      <c r="V132" s="147"/>
      <c r="W132" s="147"/>
      <c r="X132" s="147"/>
      <c r="Y132" s="146"/>
      <c r="Z132" s="147"/>
      <c r="AA132" s="147"/>
      <c r="AB132" s="147"/>
      <c r="AE132" s="148"/>
      <c r="AG132" s="160"/>
      <c r="AH132" s="338"/>
      <c r="AI132" s="338"/>
      <c r="AJ132" s="495"/>
      <c r="AK132" s="495"/>
      <c r="AL132" s="149"/>
      <c r="AM132" s="150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2"/>
    </row>
    <row r="133" spans="1:52">
      <c r="C133" s="162"/>
      <c r="D133" s="162"/>
    </row>
    <row r="134" spans="1:52">
      <c r="C134" s="162"/>
      <c r="D134" s="162"/>
    </row>
  </sheetData>
  <mergeCells count="10">
    <mergeCell ref="AH1:AI1"/>
    <mergeCell ref="AQ1:AX1"/>
    <mergeCell ref="AH111:AI111"/>
    <mergeCell ref="AH119:AI119"/>
    <mergeCell ref="F1:H1"/>
    <mergeCell ref="I1:J1"/>
    <mergeCell ref="N1:P1"/>
    <mergeCell ref="S1:T1"/>
    <mergeCell ref="V1:W1"/>
    <mergeCell ref="Y1:Z1"/>
  </mergeCells>
  <conditionalFormatting sqref="AC133:AC1048576">
    <cfRule type="cellIs" dxfId="124" priority="15" operator="greaterThan">
      <formula>0.23</formula>
    </cfRule>
  </conditionalFormatting>
  <conditionalFormatting sqref="M128:O128 M111:M117 M3:M109">
    <cfRule type="cellIs" dxfId="123" priority="26" operator="greaterThan">
      <formula>120</formula>
    </cfRule>
  </conditionalFormatting>
  <conditionalFormatting sqref="AC132">
    <cfRule type="cellIs" dxfId="122" priority="27" operator="greaterThan">
      <formula>0.23</formula>
    </cfRule>
  </conditionalFormatting>
  <conditionalFormatting sqref="AA128:AC128 AA111:AC111 AA117:AC117 AA109:AC109 AB3:AC10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{FCEE9BD5-C9E3-40F5-8D3B-82C7E9423C26}</x14:id>
        </ext>
      </extLst>
    </cfRule>
  </conditionalFormatting>
  <conditionalFormatting sqref="AC117 AC111 AC3:AC10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{B3D3D387-AE8F-4AE6-90C9-F250AF4CAC6F}</x14:id>
        </ext>
      </extLst>
    </cfRule>
  </conditionalFormatting>
  <conditionalFormatting sqref="AC1">
    <cfRule type="cellIs" dxfId="121" priority="25" operator="greaterThan">
      <formula>0.23</formula>
    </cfRule>
  </conditionalFormatting>
  <conditionalFormatting sqref="AV112:AV11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{36847768-2A86-46A4-8D88-B5E4B3FD9EA9}</x14:id>
        </ext>
      </extLst>
    </cfRule>
  </conditionalFormatting>
  <conditionalFormatting sqref="AW112:AX11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{B4340B20-5B0D-4608-AD0E-C6067827B391}</x14:id>
        </ext>
      </extLst>
    </cfRule>
  </conditionalFormatting>
  <conditionalFormatting sqref="AZ112:AZ11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{2C95F493-E7DA-45B0-A7FD-9DA80993A877}</x14:id>
        </ext>
      </extLst>
    </cfRule>
  </conditionalFormatting>
  <conditionalFormatting sqref="AZ112:AZ11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{A2F96D1E-0F8F-4E23-965C-B836AA183CEA}</x14:id>
        </ext>
      </extLst>
    </cfRule>
  </conditionalFormatting>
  <conditionalFormatting sqref="Q128">
    <cfRule type="cellIs" dxfId="12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{120C46F0-3D9F-4EE3-A219-55ABE35D4410}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{61DED246-996F-41A9-83B8-B019AF84BE82}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{08DAF907-7F33-4EF2-9E1A-81162986B082}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{3532D603-B6ED-47B9-A1F0-8B40F0C3A5FB}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{1A09C218-4A54-48F1-BA42-32E1063AD54A}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{4B8C1D6F-666A-4172-8D43-53E60DFA0282}</x14:id>
        </ext>
      </extLst>
    </cfRule>
  </conditionalFormatting>
  <conditionalFormatting sqref="AZ3:AZ16 AZ111 AZ128 AZ117 AZ26:AZ43 AZ94:AZ10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{24D4A00B-BFFB-47B4-98BD-5ED878918482}</x14:id>
        </ext>
      </extLst>
    </cfRule>
  </conditionalFormatting>
  <conditionalFormatting sqref="AZ120:AZ12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{9D1EDF1B-6D16-4873-AD3A-59B826360C57}</x14:id>
        </ext>
      </extLst>
    </cfRule>
  </conditionalFormatting>
  <conditionalFormatting sqref="AV3:AV16 AV111 AV26:AV43 AV94:AV10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{106902CF-C0C0-40D7-BB06-DFCED2A3523E}</x14:id>
        </ext>
      </extLst>
    </cfRule>
  </conditionalFormatting>
  <conditionalFormatting sqref="AW111:AX111 AW3:AX16 AW26:AX43 AW94:AX10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{EA15648A-9F51-446A-A9BF-236DE66B7941}</x14:id>
        </ext>
      </extLst>
    </cfRule>
  </conditionalFormatting>
  <conditionalFormatting sqref="AZ3:AZ16 AZ111 AZ117 AZ26:AZ43 AZ94:AZ109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{3457E6AC-F901-4422-A4AD-3DA06E998A95}</x14:id>
        </ext>
      </extLst>
    </cfRule>
  </conditionalFormatting>
  <conditionalFormatting sqref="AZ120:AZ12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{4BFFDF0C-BCAF-4A45-A9AC-2F9387C1E6F4}</x14:id>
        </ext>
      </extLst>
    </cfRule>
  </conditionalFormatting>
  <conditionalFormatting sqref="AV120:AV12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{A7AE3A2E-CFDC-4C9B-92DF-E107C4E52686}</x14:id>
        </ext>
      </extLst>
    </cfRule>
  </conditionalFormatting>
  <conditionalFormatting sqref="AW120:AX12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{CB74573C-BDBE-45FC-9686-C90C9B1D1389}</x14:id>
        </ext>
      </extLst>
    </cfRule>
  </conditionalFormatting>
  <conditionalFormatting sqref="AO111 AO128 AO117 AO3:AO10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{B01DB40B-0BA2-4ABB-9926-78346FCF005C}</x14:id>
        </ext>
      </extLst>
    </cfRule>
  </conditionalFormatting>
  <conditionalFormatting sqref="AO111 AO117 AO3:AO10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{D5E80B21-D769-4613-A24E-CDE7EE8875D7}</x14:id>
        </ext>
      </extLst>
    </cfRule>
  </conditionalFormatting>
  <conditionalFormatting sqref="AO112:AO1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{B4B94760-BEE1-40CD-AEF3-C1BA4FD3E43A}</x14:id>
        </ext>
      </extLst>
    </cfRule>
  </conditionalFormatting>
  <conditionalFormatting sqref="AO112:AO1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{B36AEE27-5688-4658-A451-CC31FEBE782C}</x14:id>
        </ext>
      </extLst>
    </cfRule>
  </conditionalFormatting>
  <conditionalFormatting sqref="AO120:AO12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{D2B40972-29C9-4FF6-AA8C-EC8FE082E0CE}</x14:id>
        </ext>
      </extLst>
    </cfRule>
  </conditionalFormatting>
  <conditionalFormatting sqref="AO120:AO12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{71AA8CE4-EC3C-4D31-8835-B214B2625DBB}</x14:id>
        </ext>
      </extLst>
    </cfRule>
  </conditionalFormatting>
  <conditionalFormatting sqref="M120:M127">
    <cfRule type="cellIs" dxfId="119" priority="7" operator="greaterThan">
      <formula>120</formula>
    </cfRule>
  </conditionalFormatting>
  <conditionalFormatting sqref="AB112:AC1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{E67A5117-D837-4056-9FBA-2EC4284D9745}</x14:id>
        </ext>
      </extLst>
    </cfRule>
  </conditionalFormatting>
  <conditionalFormatting sqref="AC112:AC1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{E0184934-32F1-4903-9BA3-3F94E76A24F4}</x14:id>
        </ext>
      </extLst>
    </cfRule>
  </conditionalFormatting>
  <conditionalFormatting sqref="AA112:AA1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{1C0F2865-C3E1-468B-A7CC-825001A5DA36}</x14:id>
        </ext>
      </extLst>
    </cfRule>
  </conditionalFormatting>
  <conditionalFormatting sqref="AB120:AC1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{F431D65A-D303-49AD-A7D8-F13EC128A236}</x14:id>
        </ext>
      </extLst>
    </cfRule>
  </conditionalFormatting>
  <conditionalFormatting sqref="AC120:AC1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{62C776BC-D154-4A79-99C7-218D017E99E6}</x14:id>
        </ext>
      </extLst>
    </cfRule>
  </conditionalFormatting>
  <conditionalFormatting sqref="AA120:AA1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{0A890AEC-1A6A-4DD9-9E01-4C4460DB8096}</x14:id>
        </ext>
      </extLst>
    </cfRule>
  </conditionalFormatting>
  <conditionalFormatting sqref="AA3:AA108">
    <cfRule type="dataBar" priority="4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{44B5887A-1A29-4CC9-A5E1-35F835220A7A}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E9BD5-C9E3-40F5-8D3B-82C7E9423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AA128:AC128 AA111:AC111 AA117:AC117 AA109:AC109 AB3:AC108</xm:sqref>
        </x14:conditionalFormatting>
        <x14:conditionalFormatting xmlns:xm="http://schemas.microsoft.com/office/excel/2006/main">
          <x14:cfRule type="dataBar" id="{B3D3D387-AE8F-4AE6-90C9-F250AF4CA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AC117 AC111 AC3:AC109</xm:sqref>
        </x14:conditionalFormatting>
        <x14:conditionalFormatting xmlns:xm="http://schemas.microsoft.com/office/excel/2006/main">
          <x14:cfRule type="dataBar" id="{36847768-2A86-46A4-8D88-B5E4B3FD9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AV112:AV116</xm:sqref>
        </x14:conditionalFormatting>
        <x14:conditionalFormatting xmlns:xm="http://schemas.microsoft.com/office/excel/2006/main">
          <x14:cfRule type="dataBar" id="{B4340B20-5B0D-4608-AD0E-C6067827B3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AW112:AX116</xm:sqref>
        </x14:conditionalFormatting>
        <x14:conditionalFormatting xmlns:xm="http://schemas.microsoft.com/office/excel/2006/main">
          <x14:cfRule type="dataBar" id="{2C95F493-E7DA-45B0-A7FD-9DA80993A8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AZ112:AZ116</xm:sqref>
        </x14:conditionalFormatting>
        <x14:conditionalFormatting xmlns:xm="http://schemas.microsoft.com/office/excel/2006/main">
          <x14:cfRule type="dataBar" id="{A2F96D1E-0F8F-4E23-965C-B836AA183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AZ112:AZ116</xm:sqref>
        </x14:conditionalFormatting>
        <x14:conditionalFormatting xmlns:xm="http://schemas.microsoft.com/office/excel/2006/main">
          <x14:cfRule type="dataBar" id="{120C46F0-3D9F-4EE3-A219-55ABE35D4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1DED246-996F-41A9-83B8-B019AF84B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8DAF907-7F33-4EF2-9E1A-81162986B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532D603-B6ED-47B9-A1F0-8B40F0C3A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1A09C218-4A54-48F1-BA42-32E1063AD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B8C1D6F-666A-4172-8D43-53E60DFA02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4D4A00B-BFFB-47B4-98BD-5ED878918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AZ111 AZ128 AZ117 AZ26:AZ43 AZ94:AZ109</xm:sqref>
        </x14:conditionalFormatting>
        <x14:conditionalFormatting xmlns:xm="http://schemas.microsoft.com/office/excel/2006/main">
          <x14:cfRule type="dataBar" id="{9D1EDF1B-6D16-4873-AD3A-59B826360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AZ120:AZ127</xm:sqref>
        </x14:conditionalFormatting>
        <x14:conditionalFormatting xmlns:xm="http://schemas.microsoft.com/office/excel/2006/main">
          <x14:cfRule type="dataBar" id="{106902CF-C0C0-40D7-BB06-DFCED2A352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AV111 AV26:AV43 AV94:AV108</xm:sqref>
        </x14:conditionalFormatting>
        <x14:conditionalFormatting xmlns:xm="http://schemas.microsoft.com/office/excel/2006/main">
          <x14:cfRule type="dataBar" id="{EA15648A-9F51-446A-A9BF-236DE66B7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AW111:AX111 AW3:AX16 AW26:AX43 AW94:AX108</xm:sqref>
        </x14:conditionalFormatting>
        <x14:conditionalFormatting xmlns:xm="http://schemas.microsoft.com/office/excel/2006/main">
          <x14:cfRule type="dataBar" id="{3457E6AC-F901-4422-A4AD-3DA06E998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AZ111 AZ117 AZ26:AZ43 AZ94:AZ109</xm:sqref>
        </x14:conditionalFormatting>
        <x14:conditionalFormatting xmlns:xm="http://schemas.microsoft.com/office/excel/2006/main">
          <x14:cfRule type="dataBar" id="{4BFFDF0C-BCAF-4A45-A9AC-2F9387C1E6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AZ120:AZ127</xm:sqref>
        </x14:conditionalFormatting>
        <x14:conditionalFormatting xmlns:xm="http://schemas.microsoft.com/office/excel/2006/main">
          <x14:cfRule type="dataBar" id="{A7AE3A2E-CFDC-4C9B-92DF-E107C4E52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AV120:AV127</xm:sqref>
        </x14:conditionalFormatting>
        <x14:conditionalFormatting xmlns:xm="http://schemas.microsoft.com/office/excel/2006/main">
          <x14:cfRule type="dataBar" id="{CB74573C-BDBE-45FC-9686-C90C9B1D13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AW120:AX127</xm:sqref>
        </x14:conditionalFormatting>
        <x14:conditionalFormatting xmlns:xm="http://schemas.microsoft.com/office/excel/2006/main">
          <x14:cfRule type="dataBar" id="{B01DB40B-0BA2-4ABB-9926-78346FCF00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 AO128 AO117 AO3:AO109</xm:sqref>
        </x14:conditionalFormatting>
        <x14:conditionalFormatting xmlns:xm="http://schemas.microsoft.com/office/excel/2006/main">
          <x14:cfRule type="dataBar" id="{D5E80B21-D769-4613-A24E-CDE7EE887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 AO117 AO3:AO109</xm:sqref>
        </x14:conditionalFormatting>
        <x14:conditionalFormatting xmlns:xm="http://schemas.microsoft.com/office/excel/2006/main">
          <x14:cfRule type="dataBar" id="{B4B94760-BEE1-40CD-AEF3-C1BA4FD3E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AO112:AO116</xm:sqref>
        </x14:conditionalFormatting>
        <x14:conditionalFormatting xmlns:xm="http://schemas.microsoft.com/office/excel/2006/main">
          <x14:cfRule type="dataBar" id="{B36AEE27-5688-4658-A451-CC31FEBE7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AO112:AO116</xm:sqref>
        </x14:conditionalFormatting>
        <x14:conditionalFormatting xmlns:xm="http://schemas.microsoft.com/office/excel/2006/main">
          <x14:cfRule type="dataBar" id="{D2B40972-29C9-4FF6-AA8C-EC8FE082E0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AO120:AO127</xm:sqref>
        </x14:conditionalFormatting>
        <x14:conditionalFormatting xmlns:xm="http://schemas.microsoft.com/office/excel/2006/main">
          <x14:cfRule type="dataBar" id="{71AA8CE4-EC3C-4D31-8835-B214B2625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AO120:AO127</xm:sqref>
        </x14:conditionalFormatting>
        <x14:conditionalFormatting xmlns:xm="http://schemas.microsoft.com/office/excel/2006/main">
          <x14:cfRule type="dataBar" id="{E67A5117-D837-4056-9FBA-2EC4284D9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AB112:AC116</xm:sqref>
        </x14:conditionalFormatting>
        <x14:conditionalFormatting xmlns:xm="http://schemas.microsoft.com/office/excel/2006/main">
          <x14:cfRule type="dataBar" id="{E0184934-32F1-4903-9BA3-3F94E76A2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AC112:AC116</xm:sqref>
        </x14:conditionalFormatting>
        <x14:conditionalFormatting xmlns:xm="http://schemas.microsoft.com/office/excel/2006/main">
          <x14:cfRule type="dataBar" id="{1C0F2865-C3E1-468B-A7CC-825001A5D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AA112:AA116</xm:sqref>
        </x14:conditionalFormatting>
        <x14:conditionalFormatting xmlns:xm="http://schemas.microsoft.com/office/excel/2006/main">
          <x14:cfRule type="dataBar" id="{F431D65A-D303-49AD-A7D8-F13EC128A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AB120:AC127</xm:sqref>
        </x14:conditionalFormatting>
        <x14:conditionalFormatting xmlns:xm="http://schemas.microsoft.com/office/excel/2006/main">
          <x14:cfRule type="dataBar" id="{62C776BC-D154-4A79-99C7-218D017E99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AC120:AC127</xm:sqref>
        </x14:conditionalFormatting>
        <x14:conditionalFormatting xmlns:xm="http://schemas.microsoft.com/office/excel/2006/main">
          <x14:cfRule type="dataBar" id="{0A890AEC-1A6A-4DD9-9E01-4C4460DB80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AA120:AA127</xm:sqref>
        </x14:conditionalFormatting>
        <x14:conditionalFormatting xmlns:xm="http://schemas.microsoft.com/office/excel/2006/main">
          <x14:cfRule type="dataBar" id="{44B5887A-1A29-4CC9-A5E1-35F835220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A6EC-A87A-4022-949E-D5351F92E523}">
  <sheetPr codeName="Лист23"/>
  <dimension ref="A1:AZ130"/>
  <sheetViews>
    <sheetView zoomScale="70" zoomScaleNormal="70" workbookViewId="0">
      <pane xSplit="3" ySplit="2" topLeftCell="R102" activePane="bottomRight" state="frozen"/>
      <selection pane="topRight" activeCell="D1" sqref="D1"/>
      <selection pane="bottomLeft" activeCell="A3" sqref="A3"/>
      <selection pane="bottomRight" activeCell="W134" sqref="W13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2.179687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358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91" t="s">
        <v>43</v>
      </c>
      <c r="N1" s="585" t="s">
        <v>351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301"/>
      <c r="AB1" s="224"/>
      <c r="AC1" s="224"/>
      <c r="AD1" s="224"/>
      <c r="AE1" s="225"/>
      <c r="AF1" s="224"/>
      <c r="AG1" s="225"/>
      <c r="AH1" s="581"/>
      <c r="AI1" s="581"/>
      <c r="AJ1" s="283"/>
      <c r="AK1" s="490"/>
      <c r="AL1" s="492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359</v>
      </c>
      <c r="O2" s="78" t="s">
        <v>360</v>
      </c>
      <c r="P2" s="78" t="s">
        <v>361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f>'Юнит 18'!F3</f>
        <v>108</v>
      </c>
      <c r="G3" s="93">
        <f>'Юнит 18'!G3</f>
        <v>28</v>
      </c>
      <c r="H3" s="93">
        <f>'Юнит 18'!H3</f>
        <v>687</v>
      </c>
      <c r="I3" s="93">
        <f>'Юнит 18'!I3</f>
        <v>1</v>
      </c>
      <c r="J3" s="93">
        <f>'Юнит 18'!J3</f>
        <v>1587</v>
      </c>
      <c r="K3" s="92">
        <v>142.97999999999999</v>
      </c>
      <c r="L3" s="92">
        <f t="shared" ref="L3" si="0">E3*K3</f>
        <v>344724.77999999997</v>
      </c>
      <c r="M3" s="89">
        <f>'Юнит 18'!M3</f>
        <v>62</v>
      </c>
      <c r="N3" s="89">
        <f>'Юнит 14'!N3+'Юнит 15'!N3+'Юнит 16'!N3+'Юнит 17'!N3+'Юнит 18'!N3</f>
        <v>964</v>
      </c>
      <c r="O3" s="89">
        <v>1505</v>
      </c>
      <c r="P3" s="89">
        <v>58</v>
      </c>
      <c r="Q3" s="406">
        <f>U3/N3</f>
        <v>0.61929460580912865</v>
      </c>
      <c r="R3" s="92">
        <f>U3/7</f>
        <v>85.285714285714292</v>
      </c>
      <c r="S3" s="89">
        <f>'Юнит 14'!S3+'Юнит 15'!S3+'Юнит 16'!S3+'Юнит 17'!S3+'Юнит 18'!S3</f>
        <v>600</v>
      </c>
      <c r="T3" s="89">
        <f>'Юнит 14'!T3+'Юнит 15'!T3+'Юнит 16'!T3+'Юнит 17'!T3+'Юнит 18'!T3</f>
        <v>-3</v>
      </c>
      <c r="U3" s="92">
        <f t="shared" ref="U3" si="1">S3+T3</f>
        <v>597</v>
      </c>
      <c r="V3" s="89">
        <f>'Юнит 14'!V3+'Юнит 15'!V3+'Юнит 16'!V3+'Юнит 17'!V3+'Юнит 18'!V3</f>
        <v>608317.92000000004</v>
      </c>
      <c r="W3" s="89">
        <f>'Юнит 14'!W3+'Юнит 15'!W3+'Юнит 16'!W3+'Юнит 17'!W3+'Юнит 18'!W3</f>
        <v>-2888</v>
      </c>
      <c r="X3" s="92">
        <f t="shared" ref="X3" si="2">V3+W3</f>
        <v>605429.92000000004</v>
      </c>
      <c r="Y3" s="89">
        <f>'Юнит 14'!Y3+'Юнит 15'!Y3+'Юнит 16'!Y3+'Юнит 17'!Y3+'Юнит 18'!Y3</f>
        <v>905531.07000000007</v>
      </c>
      <c r="Z3" s="89">
        <f>'Юнит 14'!Z3+'Юнит 15'!Z3+'Юнит 16'!Z3+'Юнит 17'!Z3+'Юнит 18'!Z3</f>
        <v>-4410</v>
      </c>
      <c r="AA3" s="232">
        <f>Y3+Z3</f>
        <v>901121.07000000007</v>
      </c>
      <c r="AB3" s="92">
        <f>N3*O3*P3/100</f>
        <v>841475.6</v>
      </c>
      <c r="AC3" s="234">
        <f>AA3/$AA$127</f>
        <v>5.9693418076944595E-2</v>
      </c>
      <c r="AD3" s="92">
        <f t="shared" ref="AD3" si="3">U3*K3</f>
        <v>85359.06</v>
      </c>
      <c r="AE3" s="89">
        <f>'Юнит 14'!AE3+'Юнит 15'!AE3+'Юнит 16'!AE3+'Юнит 17'!AE3+'Юнит 18'!AE3</f>
        <v>339565.47000000003</v>
      </c>
      <c r="AF3" s="234">
        <f t="shared" ref="AF3" si="4">IF(AA3=0,0,AE3/AA3)</f>
        <v>0.37682558016316275</v>
      </c>
      <c r="AG3" s="89">
        <f>'Юнит 14'!AG3+'Юнит 15'!AG3+'Юнит 16'!AG3+'Юнит 17'!AG3+'Юнит 18'!AG3</f>
        <v>69055.250000000044</v>
      </c>
      <c r="AH3" s="89">
        <f>'Юнит 14'!AH3+'Юнит 15'!AH3+'Юнит 16'!AH3+'Юнит 17'!AH3+'Юнит 18'!AH3</f>
        <v>1000</v>
      </c>
      <c r="AI3" s="89">
        <f>'Юнит 14'!AI3+'Юнит 15'!AI3+'Юнит 16'!AI3+'Юнит 17'!AI3+'Юнит 18'!AI3</f>
        <v>77594</v>
      </c>
      <c r="AJ3" s="89">
        <f>'Юнит 14'!AJ3+'Юнит 15'!AJ3+'Юнит 16'!AJ3+'Юнит 17'!AJ3+'Юнит 18'!AJ3</f>
        <v>31790</v>
      </c>
      <c r="AK3" s="89">
        <f>'Юнит 14'!AK3+'Юнит 15'!AK3+'Юнит 16'!AK3+'Юнит 17'!AK3+'Юнит 18'!AK3</f>
        <v>0</v>
      </c>
      <c r="AL3" s="89">
        <f>'Юнит 14'!AL3+'Юнит 15'!AL3+'Юнит 16'!AL3+'Юнит 17'!AL3+'Юнит 18'!AL3</f>
        <v>3313.3981531816353</v>
      </c>
      <c r="AM3" s="89">
        <f>'Юнит 14'!AM3+'Юнит 15'!AM3+'Юнит 16'!AM3+'Юнит 17'!AM3+'Юнит 18'!AM3</f>
        <v>30</v>
      </c>
      <c r="AN3" s="94">
        <f>X3*5.71%</f>
        <v>34570.048432000003</v>
      </c>
      <c r="AO3" s="95">
        <f>AA3-AD3-AE3-AG3-AH3-AI3-AJ3-AK3-AL3-AN3-AM3</f>
        <v>258843.84341481826</v>
      </c>
      <c r="AP3" s="96"/>
      <c r="AQ3" s="97">
        <f t="shared" ref="AQ3:AQ97" si="5">IF(U3=0,0,AA3/U3)</f>
        <v>1509.415527638191</v>
      </c>
      <c r="AR3" s="98">
        <f t="shared" ref="AR3:AR19" si="6">K3</f>
        <v>142.97999999999999</v>
      </c>
      <c r="AS3" s="98">
        <f t="shared" ref="AS3:AS97" si="7">IF(U3=0,0,AE3/U3)</f>
        <v>568.7863819095478</v>
      </c>
      <c r="AT3" s="98">
        <f t="shared" ref="AT3:AT97" si="8">IF(S3=0,AG3/1,AG3/S3)</f>
        <v>115.09208333333341</v>
      </c>
      <c r="AU3" s="98">
        <f>IF(S3=0,0,(AH3+AI3+AJ3)/S3)</f>
        <v>183.97333333333333</v>
      </c>
      <c r="AV3" s="98">
        <f>_xlfn.IFS(U3=0,AO3,U3&lt;0,AO3/-U3,U3&gt;0,AO3/U3)</f>
        <v>433.57427707674748</v>
      </c>
      <c r="AW3" s="234">
        <f t="shared" ref="AW3" si="9">IF(AQ3=0,0,AV3/AQ3)</f>
        <v>0.28724646668712145</v>
      </c>
      <c r="AX3" s="234">
        <f t="shared" ref="AX3" si="10">IF(AR3=0,0,AV3/AR3)</f>
        <v>3.0324120651611941</v>
      </c>
      <c r="AY3" s="99"/>
      <c r="AZ3" s="94">
        <f t="shared" ref="AZ3:AZ97" si="11">AV3*E3</f>
        <v>1045347.5820320381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f>'Юнит 18'!F4</f>
        <v>351</v>
      </c>
      <c r="G4" s="93">
        <f>'Юнит 18'!G4</f>
        <v>78</v>
      </c>
      <c r="H4" s="93">
        <f>'Юнит 18'!H4</f>
        <v>92</v>
      </c>
      <c r="I4" s="93">
        <f>'Юнит 18'!I4</f>
        <v>0</v>
      </c>
      <c r="J4" s="93">
        <f>'Юнит 18'!J4</f>
        <v>0</v>
      </c>
      <c r="K4" s="92">
        <v>123.09</v>
      </c>
      <c r="L4" s="92">
        <f>E4*K4</f>
        <v>64129.89</v>
      </c>
      <c r="M4" s="89">
        <f>'Юнит 18'!M4</f>
        <v>17</v>
      </c>
      <c r="N4" s="89">
        <f>'Юнит 14'!N4+'Юнит 15'!N4+'Юнит 16'!N4+'Юнит 17'!N4+'Юнит 18'!N4</f>
        <v>2922</v>
      </c>
      <c r="O4" s="89">
        <v>1484</v>
      </c>
      <c r="P4" s="89">
        <v>59</v>
      </c>
      <c r="Q4" s="406">
        <f t="shared" ref="Q4:Q18" si="12">U4/N4</f>
        <v>0.5882956878850103</v>
      </c>
      <c r="R4" s="92">
        <f t="shared" ref="R4:R67" si="13">U4/7</f>
        <v>245.57142857142858</v>
      </c>
      <c r="S4" s="89">
        <f>'Юнит 14'!S4+'Юнит 15'!S4+'Юнит 16'!S4+'Юнит 17'!S4+'Юнит 18'!S4</f>
        <v>1751</v>
      </c>
      <c r="T4" s="89">
        <f>'Юнит 14'!T4+'Юнит 15'!T4+'Юнит 16'!T4+'Юнит 17'!T4+'Юнит 18'!T4</f>
        <v>-32</v>
      </c>
      <c r="U4" s="92">
        <f t="shared" ref="U4:U67" si="14">S4+T4</f>
        <v>1719</v>
      </c>
      <c r="V4" s="89">
        <f>'Юнит 14'!V4+'Юнит 15'!V4+'Юнит 16'!V4+'Юнит 17'!V4+'Юнит 18'!V4</f>
        <v>1787847.66</v>
      </c>
      <c r="W4" s="89">
        <f>'Юнит 14'!W4+'Юнит 15'!W4+'Юнит 16'!W4+'Юнит 17'!W4+'Юнит 18'!W4</f>
        <v>-33553.589999999997</v>
      </c>
      <c r="X4" s="92">
        <f t="shared" ref="X4:X67" si="15">V4+W4</f>
        <v>1754294.0699999998</v>
      </c>
      <c r="Y4" s="89">
        <f>'Юнит 14'!Y4+'Юнит 15'!Y4+'Юнит 16'!Y4+'Юнит 17'!Y4+'Юнит 18'!Y4</f>
        <v>2640065.6699999995</v>
      </c>
      <c r="Z4" s="89">
        <f>'Юнит 14'!Z4+'Юнит 15'!Z4+'Юнит 16'!Z4+'Юнит 17'!Z4+'Юнит 18'!Z4</f>
        <v>-50088.05</v>
      </c>
      <c r="AA4" s="232">
        <f t="shared" ref="AA4:AA67" si="16">Y4+Z4</f>
        <v>2589977.6199999996</v>
      </c>
      <c r="AB4" s="92">
        <f t="shared" ref="AB4:AB67" si="17">N4*O4*P4/100</f>
        <v>2558386.3199999998</v>
      </c>
      <c r="AC4" s="234">
        <f t="shared" ref="AC4:AC67" si="18">AA4/$AA$127</f>
        <v>0.17156919533641568</v>
      </c>
      <c r="AD4" s="92">
        <f t="shared" ref="AD4:AD67" si="19">U4*K4</f>
        <v>211591.71</v>
      </c>
      <c r="AE4" s="89">
        <f>'Юнит 14'!AE4+'Юнит 15'!AE4+'Юнит 16'!AE4+'Юнит 17'!AE4+'Юнит 18'!AE4</f>
        <v>979131.39999999851</v>
      </c>
      <c r="AF4" s="234">
        <f t="shared" ref="AF4:AF67" si="20">IF(AA4=0,0,AE4/AA4)</f>
        <v>0.37804627825316833</v>
      </c>
      <c r="AG4" s="89">
        <f>'Юнит 14'!AG4+'Юнит 15'!AG4+'Юнит 16'!AG4+'Юнит 17'!AG4+'Юнит 18'!AG4</f>
        <v>207984.18999999974</v>
      </c>
      <c r="AH4" s="89">
        <f>'Юнит 14'!AH4+'Юнит 15'!AH4+'Юнит 16'!AH4+'Юнит 17'!AH4+'Юнит 18'!AH4</f>
        <v>7853</v>
      </c>
      <c r="AI4" s="89">
        <f>'Юнит 14'!AI4+'Юнит 15'!AI4+'Юнит 16'!AI4+'Юнит 17'!AI4+'Юнит 18'!AI4</f>
        <v>129275</v>
      </c>
      <c r="AJ4" s="89">
        <f>'Юнит 14'!AJ4+'Юнит 15'!AJ4+'Юнит 16'!AJ4+'Юнит 17'!AJ4+'Юнит 18'!AJ4</f>
        <v>69395</v>
      </c>
      <c r="AK4" s="89">
        <f>'Юнит 14'!AK4+'Юнит 15'!AK4+'Юнит 16'!AK4+'Юнит 17'!AK4+'Юнит 18'!AK4</f>
        <v>0</v>
      </c>
      <c r="AL4" s="89">
        <f>'Юнит 14'!AL4+'Юнит 15'!AL4+'Юнит 16'!AL4+'Юнит 17'!AL4+'Юнит 18'!AL4</f>
        <v>2452.778066361062</v>
      </c>
      <c r="AM4" s="89">
        <f>'Юнит 14'!AM4+'Юнит 15'!AM4+'Юнит 16'!AM4+'Юнит 17'!AM4+'Юнит 18'!AM4</f>
        <v>160</v>
      </c>
      <c r="AN4" s="94">
        <f t="shared" ref="AN4:AN67" si="21">X4*5.71%</f>
        <v>100170.19139699999</v>
      </c>
      <c r="AO4" s="95">
        <f t="shared" ref="AO4:AO67" si="22">AA4-AD4-AE4-AG4-AH4-AI4-AJ4-AK4-AL4-AN4-AM4</f>
        <v>881964.35053664038</v>
      </c>
      <c r="AP4" s="96"/>
      <c r="AQ4" s="97">
        <f t="shared" si="5"/>
        <v>1506.6769168120998</v>
      </c>
      <c r="AR4" s="98">
        <f t="shared" si="6"/>
        <v>123.09</v>
      </c>
      <c r="AS4" s="98">
        <f t="shared" si="7"/>
        <v>569.59360093077282</v>
      </c>
      <c r="AT4" s="98">
        <f t="shared" si="8"/>
        <v>118.78023415191305</v>
      </c>
      <c r="AU4" s="98">
        <f t="shared" ref="AU4:AU70" si="23">IF(S4=0,0,(AH4+AI4+AJ4)/S4)</f>
        <v>117.94574528840663</v>
      </c>
      <c r="AV4" s="98">
        <f t="array" ref="AV4">_xlfn.IFS(U4=0,AO4,U4&lt;0,AO4/-U4,U4&gt;0,AO4/U4)</f>
        <v>513.06826674615502</v>
      </c>
      <c r="AW4" s="234">
        <f>IF(AQ4=0,0,AV4/AQ4)</f>
        <v>0.34052971876129212</v>
      </c>
      <c r="AX4" s="234">
        <f>IF(AR4=0,0,AV4/AR4)</f>
        <v>4.1682367921533432</v>
      </c>
      <c r="AY4" s="99"/>
      <c r="AZ4" s="94">
        <f t="shared" si="11"/>
        <v>267308.56697474676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f>'Юнит 18'!F5</f>
        <v>119</v>
      </c>
      <c r="G5" s="93">
        <f>'Юнит 18'!G5</f>
        <v>24</v>
      </c>
      <c r="H5" s="93">
        <f>'Юнит 18'!H5</f>
        <v>427</v>
      </c>
      <c r="I5" s="93">
        <f>'Юнит 18'!I5</f>
        <v>0</v>
      </c>
      <c r="J5" s="93">
        <f>'Юнит 18'!J5</f>
        <v>2761</v>
      </c>
      <c r="K5" s="92">
        <v>123.09</v>
      </c>
      <c r="L5" s="92">
        <f>E5*K5</f>
        <v>410012.79000000004</v>
      </c>
      <c r="M5" s="89">
        <f>'Юнит 18'!M5</f>
        <v>40</v>
      </c>
      <c r="N5" s="89">
        <f>'Юнит 14'!N5+'Юнит 15'!N5+'Юнит 16'!N5+'Юнит 17'!N5+'Юнит 18'!N5</f>
        <v>913</v>
      </c>
      <c r="O5" s="89">
        <v>1447</v>
      </c>
      <c r="P5" s="89">
        <v>64</v>
      </c>
      <c r="Q5" s="406">
        <f t="shared" si="12"/>
        <v>0.6418400876232202</v>
      </c>
      <c r="R5" s="92">
        <f t="shared" si="13"/>
        <v>83.714285714285708</v>
      </c>
      <c r="S5" s="89">
        <f>'Юнит 14'!S5+'Юнит 15'!S5+'Юнит 16'!S5+'Юнит 17'!S5+'Юнит 18'!S5</f>
        <v>593</v>
      </c>
      <c r="T5" s="89">
        <f>'Юнит 14'!T5+'Юнит 15'!T5+'Юнит 16'!T5+'Юнит 17'!T5+'Юнит 18'!T5</f>
        <v>-7</v>
      </c>
      <c r="U5" s="92">
        <f t="shared" si="14"/>
        <v>586</v>
      </c>
      <c r="V5" s="89">
        <f>'Юнит 14'!V5+'Юнит 15'!V5+'Юнит 16'!V5+'Юнит 17'!V5+'Юнит 18'!V5</f>
        <v>577822.57000000007</v>
      </c>
      <c r="W5" s="89">
        <f>'Юнит 14'!W5+'Юнит 15'!W5+'Юнит 16'!W5+'Юнит 17'!W5+'Юнит 18'!W5</f>
        <v>-6882</v>
      </c>
      <c r="X5" s="92">
        <f t="shared" si="15"/>
        <v>570940.57000000007</v>
      </c>
      <c r="Y5" s="89">
        <f>'Юнит 14'!Y5+'Юнит 15'!Y5+'Юнит 16'!Y5+'Юнит 17'!Y5+'Юнит 18'!Y5</f>
        <v>859856.49000000011</v>
      </c>
      <c r="Z5" s="89">
        <f>'Юнит 14'!Z5+'Юнит 15'!Z5+'Юнит 16'!Z5+'Юнит 17'!Z5+'Юнит 18'!Z5</f>
        <v>-10350</v>
      </c>
      <c r="AA5" s="232">
        <f t="shared" si="16"/>
        <v>849506.49000000011</v>
      </c>
      <c r="AB5" s="92">
        <f t="shared" si="17"/>
        <v>845511.04</v>
      </c>
      <c r="AC5" s="234">
        <f t="shared" si="18"/>
        <v>5.6274287390314551E-2</v>
      </c>
      <c r="AD5" s="92">
        <f t="shared" si="19"/>
        <v>72130.740000000005</v>
      </c>
      <c r="AE5" s="89">
        <f>'Юнит 14'!AE5+'Юнит 15'!AE5+'Юнит 16'!AE5+'Юнит 17'!AE5+'Юнит 18'!AE5</f>
        <v>320523.90000000008</v>
      </c>
      <c r="AF5" s="234">
        <f t="shared" si="20"/>
        <v>0.3773060050429986</v>
      </c>
      <c r="AG5" s="89">
        <f>'Юнит 14'!AG5+'Юнит 15'!AG5+'Юнит 16'!AG5+'Юнит 17'!AG5+'Юнит 18'!AG5</f>
        <v>61142.919999999984</v>
      </c>
      <c r="AH5" s="89">
        <f>'Юнит 14'!AH5+'Юнит 15'!AH5+'Юнит 16'!AH5+'Юнит 17'!AH5+'Юнит 18'!AH5</f>
        <v>1000</v>
      </c>
      <c r="AI5" s="89">
        <f>'Юнит 14'!AI5+'Юнит 15'!AI5+'Юнит 16'!AI5+'Юнит 17'!AI5+'Юнит 18'!AI5</f>
        <v>65051</v>
      </c>
      <c r="AJ5" s="89">
        <f>'Юнит 14'!AJ5+'Юнит 15'!AJ5+'Юнит 16'!AJ5+'Юнит 17'!AJ5+'Юнит 18'!AJ5</f>
        <v>26969</v>
      </c>
      <c r="AK5" s="89">
        <f>'Юнит 14'!AK5+'Юнит 15'!AK5+'Юнит 16'!AK5+'Юнит 17'!AK5+'Юнит 18'!AK5</f>
        <v>0</v>
      </c>
      <c r="AL5" s="89">
        <f>'Юнит 14'!AL5+'Юнит 15'!AL5+'Юнит 16'!AL5+'Юнит 17'!AL5+'Юнит 18'!AL5</f>
        <v>2481.5937692375201</v>
      </c>
      <c r="AM5" s="89">
        <f>'Юнит 14'!AM5+'Юнит 15'!AM5+'Юнит 16'!AM5+'Юнит 17'!AM5+'Юнит 18'!AM5</f>
        <v>1520</v>
      </c>
      <c r="AN5" s="94">
        <f t="shared" si="21"/>
        <v>32600.706547000002</v>
      </c>
      <c r="AO5" s="95">
        <f t="shared" si="22"/>
        <v>266086.62968376256</v>
      </c>
      <c r="AP5" s="96"/>
      <c r="AQ5" s="97">
        <f t="shared" si="5"/>
        <v>1449.6697781569967</v>
      </c>
      <c r="AR5" s="98">
        <f t="shared" si="6"/>
        <v>123.09</v>
      </c>
      <c r="AS5" s="98">
        <f t="shared" si="7"/>
        <v>546.96911262798653</v>
      </c>
      <c r="AT5" s="98">
        <f t="shared" si="8"/>
        <v>103.10779089376051</v>
      </c>
      <c r="AU5" s="98">
        <f t="shared" si="23"/>
        <v>156.86340640809445</v>
      </c>
      <c r="AV5" s="98">
        <f t="array" ref="AV5">_xlfn.IFS(U5=0,AO5,U5&lt;0,AO5/-U5,U5&gt;0,AO5/U5)</f>
        <v>454.07274690061871</v>
      </c>
      <c r="AW5" s="234">
        <f>IF(AQ5=0,0,AV5/AQ5)</f>
        <v>0.31322495215282292</v>
      </c>
      <c r="AX5" s="234">
        <f>IF(AR5=0,0,AV5/AR5)</f>
        <v>3.688949117723769</v>
      </c>
      <c r="AY5" s="99"/>
      <c r="AZ5" s="94">
        <f t="shared" si="11"/>
        <v>1512516.3199259609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4">SUM(F6:J6)</f>
        <v>8785</v>
      </c>
      <c r="F6" s="93">
        <f>'Юнит 18'!F6</f>
        <v>42</v>
      </c>
      <c r="G6" s="93">
        <f>'Юнит 18'!G6</f>
        <v>7</v>
      </c>
      <c r="H6" s="93">
        <f>'Юнит 18'!H6</f>
        <v>429</v>
      </c>
      <c r="I6" s="93">
        <f>'Юнит 18'!I6</f>
        <v>0</v>
      </c>
      <c r="J6" s="93">
        <f>'Юнит 18'!J6</f>
        <v>8307</v>
      </c>
      <c r="K6" s="92">
        <v>123.09</v>
      </c>
      <c r="L6" s="92">
        <f t="shared" ref="L6" si="25">E6*K6</f>
        <v>1081345.6500000001</v>
      </c>
      <c r="M6" s="89">
        <f>'Юнит 18'!M6</f>
        <v>78</v>
      </c>
      <c r="N6" s="89">
        <f>'Юнит 14'!N6+'Юнит 15'!N6+'Юнит 16'!N6+'Юнит 17'!N6+'Юнит 18'!N6</f>
        <v>440</v>
      </c>
      <c r="O6" s="89">
        <v>1379</v>
      </c>
      <c r="P6" s="89">
        <v>67</v>
      </c>
      <c r="Q6" s="406">
        <f t="shared" si="12"/>
        <v>0.71136363636363631</v>
      </c>
      <c r="R6" s="92">
        <f t="shared" si="13"/>
        <v>44.714285714285715</v>
      </c>
      <c r="S6" s="89">
        <f>'Юнит 14'!S6+'Юнит 15'!S6+'Юнит 16'!S6+'Юнит 17'!S6+'Юнит 18'!S6</f>
        <v>317</v>
      </c>
      <c r="T6" s="89">
        <f>'Юнит 14'!T6+'Юнит 15'!T6+'Юнит 16'!T6+'Юнит 17'!T6+'Юнит 18'!T6</f>
        <v>-4</v>
      </c>
      <c r="U6" s="92">
        <f t="shared" si="14"/>
        <v>313</v>
      </c>
      <c r="V6" s="89">
        <f>'Юнит 14'!V6+'Юнит 15'!V6+'Юнит 16'!V6+'Юнит 17'!V6+'Юнит 18'!V6</f>
        <v>296362.7</v>
      </c>
      <c r="W6" s="89">
        <f>'Юнит 14'!W6+'Юнит 15'!W6+'Юнит 16'!W6+'Юнит 17'!W6+'Юнит 18'!W6</f>
        <v>-3764</v>
      </c>
      <c r="X6" s="92">
        <f t="shared" si="15"/>
        <v>292598.7</v>
      </c>
      <c r="Y6" s="89">
        <f>'Юнит 14'!Y6+'Юнит 15'!Y6+'Юнит 16'!Y6+'Юнит 17'!Y6+'Юнит 18'!Y6</f>
        <v>438382.57999999996</v>
      </c>
      <c r="Z6" s="89">
        <f>'Юнит 14'!Z6+'Юнит 15'!Z6+'Юнит 16'!Z6+'Юнит 17'!Z6+'Юнит 18'!Z6</f>
        <v>-5533.38</v>
      </c>
      <c r="AA6" s="232">
        <f t="shared" si="16"/>
        <v>432849.19999999995</v>
      </c>
      <c r="AB6" s="92">
        <f t="shared" si="17"/>
        <v>406529.2</v>
      </c>
      <c r="AC6" s="234">
        <f t="shared" si="18"/>
        <v>2.867344813041715E-2</v>
      </c>
      <c r="AD6" s="92">
        <f t="shared" si="19"/>
        <v>38527.17</v>
      </c>
      <c r="AE6" s="89">
        <f>'Юнит 14'!AE6+'Юнит 15'!AE6+'Юнит 16'!AE6+'Юнит 17'!AE6+'Юнит 18'!AE6</f>
        <v>163396.99999999994</v>
      </c>
      <c r="AF6" s="234">
        <f t="shared" si="20"/>
        <v>0.37749174539308367</v>
      </c>
      <c r="AG6" s="89">
        <f>'Юнит 14'!AG6+'Юнит 15'!AG6+'Юнит 16'!AG6+'Юнит 17'!AG6+'Юнит 18'!AG6</f>
        <v>33164.969999999987</v>
      </c>
      <c r="AH6" s="89">
        <f>'Юнит 14'!AH6+'Юнит 15'!AH6+'Юнит 16'!AH6+'Юнит 17'!AH6+'Юнит 18'!AH6</f>
        <v>1488</v>
      </c>
      <c r="AI6" s="89">
        <f>'Юнит 14'!AI6+'Юнит 15'!AI6+'Юнит 16'!AI6+'Юнит 17'!AI6+'Юнит 18'!AI6</f>
        <v>26323</v>
      </c>
      <c r="AJ6" s="89">
        <f>'Юнит 14'!AJ6+'Юнит 15'!AJ6+'Юнит 16'!AJ6+'Юнит 17'!AJ6+'Юнит 18'!AJ6</f>
        <v>3990</v>
      </c>
      <c r="AK6" s="89">
        <f>'Юнит 14'!AK6+'Юнит 15'!AK6+'Юнит 16'!AK6+'Юнит 17'!AK6+'Юнит 18'!AK6</f>
        <v>0</v>
      </c>
      <c r="AL6" s="89">
        <f>'Юнит 14'!AL6+'Юнит 15'!AL6+'Юнит 16'!AL6+'Юнит 17'!AL6+'Юнит 18'!AL6</f>
        <v>2404.8705081463168</v>
      </c>
      <c r="AM6" s="89">
        <f>'Юнит 14'!AM6+'Юнит 15'!AM6+'Юнит 16'!AM6+'Юнит 17'!AM6+'Юнит 18'!AM6</f>
        <v>1420.98</v>
      </c>
      <c r="AN6" s="94">
        <f t="shared" si="21"/>
        <v>16707.385770000001</v>
      </c>
      <c r="AO6" s="95">
        <f t="shared" si="22"/>
        <v>145425.82372185373</v>
      </c>
      <c r="AP6" s="96"/>
      <c r="AQ6" s="97">
        <f t="shared" si="5"/>
        <v>1382.9047923322682</v>
      </c>
      <c r="AR6" s="98">
        <f t="shared" si="6"/>
        <v>123.09</v>
      </c>
      <c r="AS6" s="98">
        <f t="shared" si="7"/>
        <v>522.03514376996782</v>
      </c>
      <c r="AT6" s="98">
        <f t="shared" si="8"/>
        <v>104.62135646687693</v>
      </c>
      <c r="AU6" s="98">
        <f t="shared" si="23"/>
        <v>100.3186119873817</v>
      </c>
      <c r="AV6" s="98">
        <f t="array" ref="AV6">_xlfn.IFS(U6=0,AO6,U6&lt;0,AO6/-U6,U6&gt;0,AO6/U6)</f>
        <v>464.6192451177435</v>
      </c>
      <c r="AW6" s="234">
        <f t="shared" ref="AW6" si="26">IF(AQ6=0,0,AV6/AQ6)</f>
        <v>0.33597341457915075</v>
      </c>
      <c r="AX6" s="234">
        <f t="shared" ref="AX6" si="27">IF(AR6=0,0,AV6/AR6)</f>
        <v>3.7746303121110039</v>
      </c>
      <c r="AY6" s="99"/>
      <c r="AZ6" s="94">
        <f t="shared" si="11"/>
        <v>4081680.0683593769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f>'Юнит 18'!F7</f>
        <v>83</v>
      </c>
      <c r="G7" s="93">
        <f>'Юнит 18'!G7</f>
        <v>25</v>
      </c>
      <c r="H7" s="93">
        <f>'Юнит 18'!H7</f>
        <v>386</v>
      </c>
      <c r="I7" s="93">
        <f>'Юнит 18'!I7</f>
        <v>3</v>
      </c>
      <c r="J7" s="93">
        <f>'Юнит 18'!J7</f>
        <v>0</v>
      </c>
      <c r="K7" s="92">
        <v>117.24</v>
      </c>
      <c r="L7" s="92">
        <f>E7*K7</f>
        <v>58268.28</v>
      </c>
      <c r="M7" s="89">
        <f>'Юнит 18'!M7</f>
        <v>52</v>
      </c>
      <c r="N7" s="89">
        <f>'Юнит 14'!N7+'Юнит 15'!N7+'Юнит 16'!N7+'Юнит 17'!N7+'Юнит 18'!N7</f>
        <v>979</v>
      </c>
      <c r="O7" s="89">
        <v>1473</v>
      </c>
      <c r="P7" s="89">
        <v>57</v>
      </c>
      <c r="Q7" s="406">
        <f t="shared" si="12"/>
        <v>0.62002042900919307</v>
      </c>
      <c r="R7" s="92">
        <f t="shared" si="13"/>
        <v>86.714285714285708</v>
      </c>
      <c r="S7" s="89">
        <f>'Юнит 14'!S7+'Юнит 15'!S7+'Юнит 16'!S7+'Юнит 17'!S7+'Юнит 18'!S7</f>
        <v>626</v>
      </c>
      <c r="T7" s="89">
        <f>'Юнит 14'!T7+'Юнит 15'!T7+'Юнит 16'!T7+'Юнит 17'!T7+'Юнит 18'!T7</f>
        <v>-19</v>
      </c>
      <c r="U7" s="92">
        <f t="shared" si="14"/>
        <v>607</v>
      </c>
      <c r="V7" s="89">
        <f>'Юнит 14'!V7+'Юнит 15'!V7+'Юнит 16'!V7+'Юнит 17'!V7+'Юнит 18'!V7</f>
        <v>614013.43000000005</v>
      </c>
      <c r="W7" s="89">
        <f>'Юнит 14'!W7+'Юнит 15'!W7+'Юнит 16'!W7+'Юнит 17'!W7+'Юнит 18'!W7</f>
        <v>-18413.09</v>
      </c>
      <c r="X7" s="92">
        <f t="shared" si="15"/>
        <v>595600.34000000008</v>
      </c>
      <c r="Y7" s="89">
        <f>'Юнит 14'!Y7+'Юнит 15'!Y7+'Юнит 16'!Y7+'Юнит 17'!Y7+'Юнит 18'!Y7</f>
        <v>915760.29999999981</v>
      </c>
      <c r="Z7" s="89">
        <f>'Юнит 14'!Z7+'Юнит 15'!Z7+'Юнит 16'!Z7+'Юнит 17'!Z7+'Юнит 18'!Z7</f>
        <v>-27822.22</v>
      </c>
      <c r="AA7" s="232">
        <f t="shared" si="16"/>
        <v>887938.07999999984</v>
      </c>
      <c r="AB7" s="92">
        <f t="shared" si="17"/>
        <v>821978.19</v>
      </c>
      <c r="AC7" s="234">
        <f t="shared" si="18"/>
        <v>5.8820130613391891E-2</v>
      </c>
      <c r="AD7" s="92">
        <f t="shared" si="19"/>
        <v>71164.679999999993</v>
      </c>
      <c r="AE7" s="89">
        <f>'Юнит 14'!AE7+'Юнит 15'!AE7+'Юнит 16'!AE7+'Юнит 17'!AE7+'Юнит 18'!AE7</f>
        <v>335025.14999999944</v>
      </c>
      <c r="AF7" s="234">
        <f t="shared" si="20"/>
        <v>0.37730688383135846</v>
      </c>
      <c r="AG7" s="89">
        <f>'Юнит 14'!AG7+'Юнит 15'!AG7+'Юнит 16'!AG7+'Юнит 17'!AG7+'Юнит 18'!AG7</f>
        <v>73720.539999999921</v>
      </c>
      <c r="AH7" s="89">
        <f>'Юнит 14'!AH7+'Юнит 15'!AH7+'Юнит 16'!AH7+'Юнит 17'!AH7+'Юнит 18'!AH7</f>
        <v>1000</v>
      </c>
      <c r="AI7" s="89">
        <f>'Юнит 14'!AI7+'Юнит 15'!AI7+'Юнит 16'!AI7+'Юнит 17'!AI7+'Юнит 18'!AI7</f>
        <v>86698</v>
      </c>
      <c r="AJ7" s="89">
        <f>'Юнит 14'!AJ7+'Юнит 15'!AJ7+'Юнит 16'!AJ7+'Юнит 17'!AJ7+'Юнит 18'!AJ7</f>
        <v>16213</v>
      </c>
      <c r="AK7" s="89">
        <f>'Юнит 14'!AK7+'Юнит 15'!AK7+'Юнит 16'!AK7+'Юнит 17'!AK7+'Юнит 18'!AK7</f>
        <v>0</v>
      </c>
      <c r="AL7" s="89">
        <f>'Юнит 14'!AL7+'Юнит 15'!AL7+'Юнит 16'!AL7+'Юнит 17'!AL7+'Юнит 18'!AL7</f>
        <v>2342.1553047105654</v>
      </c>
      <c r="AM7" s="89">
        <f>'Юнит 14'!AM7+'Юнит 15'!AM7+'Юнит 16'!AM7+'Юнит 17'!AM7+'Юнит 18'!AM7</f>
        <v>20</v>
      </c>
      <c r="AN7" s="94">
        <f t="shared" si="21"/>
        <v>34008.779414000004</v>
      </c>
      <c r="AO7" s="95">
        <f t="shared" si="22"/>
        <v>267745.77528129</v>
      </c>
      <c r="AP7" s="96"/>
      <c r="AQ7" s="97">
        <f t="shared" si="5"/>
        <v>1462.8304448105434</v>
      </c>
      <c r="AR7" s="98">
        <f t="shared" si="6"/>
        <v>117.24</v>
      </c>
      <c r="AS7" s="98">
        <f t="shared" si="7"/>
        <v>551.93599670510616</v>
      </c>
      <c r="AT7" s="98">
        <f t="shared" si="8"/>
        <v>117.76444089456857</v>
      </c>
      <c r="AU7" s="98">
        <f t="shared" si="23"/>
        <v>165.99201277955271</v>
      </c>
      <c r="AV7" s="98">
        <f t="array" ref="AV7">_xlfn.IFS(U7=0,AO7,U7&lt;0,AO7/-U7,U7&gt;0,AO7/U7)</f>
        <v>441.09682912897858</v>
      </c>
      <c r="AW7" s="234">
        <f>IF(AQ7=0,0,AV7/AQ7)</f>
        <v>0.30153653876550723</v>
      </c>
      <c r="AX7" s="234">
        <f>IF(AR7=0,0,AV7/AR7)</f>
        <v>3.7623407465794831</v>
      </c>
      <c r="AY7" s="99"/>
      <c r="AZ7" s="94">
        <f t="shared" si="11"/>
        <v>219225.12407710234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f>'Юнит 18'!F8</f>
        <v>38</v>
      </c>
      <c r="G8" s="93">
        <f>'Юнит 18'!G8</f>
        <v>7</v>
      </c>
      <c r="H8" s="93">
        <f>'Юнит 18'!H8</f>
        <v>56</v>
      </c>
      <c r="I8" s="93">
        <f>'Юнит 18'!I8</f>
        <v>0</v>
      </c>
      <c r="J8" s="93">
        <f>'Юнит 18'!J8</f>
        <v>0</v>
      </c>
      <c r="K8" s="92">
        <v>169.89</v>
      </c>
      <c r="L8" s="92">
        <f>E8*K8</f>
        <v>17158.89</v>
      </c>
      <c r="M8" s="89">
        <f>'Юнит 18'!M8</f>
        <v>44</v>
      </c>
      <c r="N8" s="89">
        <f>'Юнит 14'!N8+'Юнит 15'!N8+'Юнит 16'!N8+'Юнит 17'!N8+'Юнит 18'!N8</f>
        <v>241</v>
      </c>
      <c r="O8" s="89">
        <v>1464</v>
      </c>
      <c r="P8" s="89">
        <v>52</v>
      </c>
      <c r="Q8" s="406">
        <f t="shared" si="12"/>
        <v>0.56016597510373445</v>
      </c>
      <c r="R8" s="92">
        <f t="shared" si="13"/>
        <v>19.285714285714285</v>
      </c>
      <c r="S8" s="89">
        <f>'Юнит 14'!S8+'Юнит 15'!S8+'Юнит 16'!S8+'Юнит 17'!S8+'Юнит 18'!S8</f>
        <v>136</v>
      </c>
      <c r="T8" s="89">
        <f>'Юнит 14'!T8+'Юнит 15'!T8+'Юнит 16'!T8+'Юнит 17'!T8+'Юнит 18'!T8</f>
        <v>-1</v>
      </c>
      <c r="U8" s="92">
        <f t="shared" si="14"/>
        <v>135</v>
      </c>
      <c r="V8" s="89">
        <f>'Юнит 14'!V8+'Юнит 15'!V8+'Юнит 16'!V8+'Юнит 17'!V8+'Юнит 18'!V8</f>
        <v>133469.27000000002</v>
      </c>
      <c r="W8" s="89">
        <f>'Юнит 14'!W8+'Юнит 15'!W8+'Юнит 16'!W8+'Юнит 17'!W8+'Юнит 18'!W8</f>
        <v>-1078.2</v>
      </c>
      <c r="X8" s="92">
        <f t="shared" si="15"/>
        <v>132391.07</v>
      </c>
      <c r="Y8" s="89">
        <f>'Юнит 14'!Y8+'Юнит 15'!Y8+'Юнит 16'!Y8+'Юнит 17'!Y8+'Юнит 18'!Y8</f>
        <v>199104.26</v>
      </c>
      <c r="Z8" s="89">
        <f>'Юнит 14'!Z8+'Юнит 15'!Z8+'Юнит 16'!Z8+'Юнит 17'!Z8+'Юнит 18'!Z8</f>
        <v>-1464</v>
      </c>
      <c r="AA8" s="232">
        <f t="shared" si="16"/>
        <v>197640.26</v>
      </c>
      <c r="AB8" s="92">
        <f t="shared" si="17"/>
        <v>183468.48</v>
      </c>
      <c r="AC8" s="234">
        <f t="shared" si="18"/>
        <v>1.3092383545105685E-2</v>
      </c>
      <c r="AD8" s="92">
        <f t="shared" si="19"/>
        <v>22935.149999999998</v>
      </c>
      <c r="AE8" s="89">
        <f>'Юнит 14'!AE8+'Юнит 15'!AE8+'Юнит 16'!AE8+'Юнит 17'!AE8+'Юнит 18'!AE8</f>
        <v>74896.26999999999</v>
      </c>
      <c r="AF8" s="234">
        <f t="shared" si="20"/>
        <v>0.37895249682428056</v>
      </c>
      <c r="AG8" s="89">
        <f>'Юнит 14'!AG8+'Юнит 15'!AG8+'Юнит 16'!AG8+'Юнит 17'!AG8+'Юнит 18'!AG8</f>
        <v>17757.11</v>
      </c>
      <c r="AH8" s="89">
        <f>'Юнит 14'!AH8+'Юнит 15'!AH8+'Юнит 16'!AH8+'Юнит 17'!AH8+'Юнит 18'!AH8</f>
        <v>574</v>
      </c>
      <c r="AI8" s="89">
        <f>'Юнит 14'!AI8+'Юнит 15'!AI8+'Юнит 16'!AI8+'Юнит 17'!AI8+'Юнит 18'!AI8</f>
        <v>10046</v>
      </c>
      <c r="AJ8" s="89">
        <f>'Юнит 14'!AJ8+'Юнит 15'!AJ8+'Юнит 16'!AJ8+'Юнит 17'!AJ8+'Юнит 18'!AJ8</f>
        <v>2833</v>
      </c>
      <c r="AK8" s="89">
        <f>'Юнит 14'!AK8+'Юнит 15'!AK8+'Юнит 16'!AK8+'Юнит 17'!AK8+'Юнит 18'!AK8</f>
        <v>0</v>
      </c>
      <c r="AL8" s="89">
        <f>'Юнит 14'!AL8+'Юнит 15'!AL8+'Юнит 16'!AL8+'Юнит 17'!AL8+'Юнит 18'!AL8</f>
        <v>428.24746008370573</v>
      </c>
      <c r="AM8" s="89">
        <f>'Юнит 14'!AM8+'Юнит 15'!AM8+'Юнит 16'!AM8+'Юнит 17'!AM8+'Юнит 18'!AM8</f>
        <v>50</v>
      </c>
      <c r="AN8" s="94">
        <f t="shared" si="21"/>
        <v>7559.5300969999998</v>
      </c>
      <c r="AO8" s="95">
        <f t="shared" si="22"/>
        <v>60560.952442916321</v>
      </c>
      <c r="AP8" s="96"/>
      <c r="AQ8" s="97">
        <f t="shared" si="5"/>
        <v>1464.0019259259259</v>
      </c>
      <c r="AR8" s="98">
        <f t="shared" si="6"/>
        <v>169.89</v>
      </c>
      <c r="AS8" s="98">
        <f t="shared" si="7"/>
        <v>554.78718518518508</v>
      </c>
      <c r="AT8" s="98">
        <f t="shared" si="8"/>
        <v>130.56698529411764</v>
      </c>
      <c r="AU8" s="98">
        <f t="shared" si="23"/>
        <v>98.919117647058826</v>
      </c>
      <c r="AV8" s="98">
        <f t="array" ref="AV8">_xlfn.IFS(U8=0,AO8,U8&lt;0,AO8/-U8,U8&gt;0,AO8/U8)</f>
        <v>448.59964772530606</v>
      </c>
      <c r="AW8" s="234">
        <f>IF(AQ8=0,0,AV8/AQ8)</f>
        <v>0.30642012129976109</v>
      </c>
      <c r="AX8" s="234">
        <f>IF(AR8=0,0,AV8/AR8)</f>
        <v>2.6405300354659254</v>
      </c>
      <c r="AY8" s="99"/>
      <c r="AZ8" s="94">
        <f t="shared" si="11"/>
        <v>45308.564420255912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f>'Юнит 18'!F9</f>
        <v>214</v>
      </c>
      <c r="G9" s="93">
        <f>'Юнит 18'!G9</f>
        <v>51</v>
      </c>
      <c r="H9" s="93">
        <f>'Юнит 18'!H9</f>
        <v>458</v>
      </c>
      <c r="I9" s="93">
        <f>'Юнит 18'!I9</f>
        <v>0</v>
      </c>
      <c r="J9" s="93">
        <f>'Юнит 18'!J9</f>
        <v>8428</v>
      </c>
      <c r="K9" s="92">
        <v>123.09</v>
      </c>
      <c r="L9" s="92">
        <f>E9*K9</f>
        <v>1126396.5900000001</v>
      </c>
      <c r="M9" s="89">
        <f>'Юнит 18'!M9</f>
        <v>31</v>
      </c>
      <c r="N9" s="89">
        <f>'Юнит 14'!N9+'Юнит 15'!N9+'Юнит 16'!N9+'Юнит 17'!N9+'Юнит 18'!N9</f>
        <v>1843</v>
      </c>
      <c r="O9" s="89">
        <v>1546</v>
      </c>
      <c r="P9" s="89">
        <v>48</v>
      </c>
      <c r="Q9" s="406">
        <f t="shared" si="12"/>
        <v>0.48779164405860009</v>
      </c>
      <c r="R9" s="92">
        <f t="shared" si="13"/>
        <v>128.42857142857142</v>
      </c>
      <c r="S9" s="89">
        <f>'Юнит 14'!S9+'Юнит 15'!S9+'Юнит 16'!S9+'Юнит 17'!S9+'Юнит 18'!S9</f>
        <v>925</v>
      </c>
      <c r="T9" s="89">
        <f>'Юнит 14'!T9+'Юнит 15'!T9+'Юнит 16'!T9+'Юнит 17'!T9+'Юнит 18'!T9</f>
        <v>-26</v>
      </c>
      <c r="U9" s="92">
        <f t="shared" si="14"/>
        <v>899</v>
      </c>
      <c r="V9" s="89">
        <f>'Юнит 14'!V9+'Юнит 15'!V9+'Юнит 16'!V9+'Юнит 17'!V9+'Юнит 18'!V9</f>
        <v>986594.83000000019</v>
      </c>
      <c r="W9" s="89">
        <f>'Юнит 14'!W9+'Юнит 15'!W9+'Юнит 16'!W9+'Юнит 17'!W9+'Юнит 18'!W9</f>
        <v>-28617.46</v>
      </c>
      <c r="X9" s="92">
        <f t="shared" si="15"/>
        <v>957977.37000000023</v>
      </c>
      <c r="Y9" s="89">
        <f>'Юнит 14'!Y9+'Юнит 15'!Y9+'Юнит 16'!Y9+'Юнит 17'!Y9+'Юнит 18'!Y9</f>
        <v>1462961.6</v>
      </c>
      <c r="Z9" s="89">
        <f>'Юнит 14'!Z9+'Юнит 15'!Z9+'Юнит 16'!Z9+'Юнит 17'!Z9+'Юнит 18'!Z9</f>
        <v>-42036.630000000005</v>
      </c>
      <c r="AA9" s="232">
        <f t="shared" si="16"/>
        <v>1420924.9700000002</v>
      </c>
      <c r="AB9" s="92">
        <f t="shared" si="17"/>
        <v>1367653.44</v>
      </c>
      <c r="AC9" s="234">
        <f t="shared" si="18"/>
        <v>9.4127050308767016E-2</v>
      </c>
      <c r="AD9" s="92">
        <f t="shared" si="19"/>
        <v>110657.91</v>
      </c>
      <c r="AE9" s="89">
        <f>'Юнит 14'!AE9+'Юнит 15'!AE9+'Юнит 16'!AE9+'Юнит 17'!AE9+'Юнит 18'!AE9</f>
        <v>536793.49000000022</v>
      </c>
      <c r="AF9" s="234">
        <f t="shared" si="20"/>
        <v>0.37777750502899543</v>
      </c>
      <c r="AG9" s="89">
        <f>'Юнит 14'!AG9+'Юнит 15'!AG9+'Юнит 16'!AG9+'Юнит 17'!AG9+'Юнит 18'!AG9</f>
        <v>137980.85999999996</v>
      </c>
      <c r="AH9" s="89">
        <f>'Юнит 14'!AH9+'Юнит 15'!AH9+'Юнит 16'!AH9+'Юнит 17'!AH9+'Юнит 18'!AH9</f>
        <v>9165</v>
      </c>
      <c r="AI9" s="89">
        <f>'Юнит 14'!AI9+'Юнит 15'!AI9+'Юнит 16'!AI9+'Юнит 17'!AI9+'Юнит 18'!AI9</f>
        <v>148300</v>
      </c>
      <c r="AJ9" s="89">
        <f>'Юнит 14'!AJ9+'Юнит 15'!AJ9+'Юнит 16'!AJ9+'Юнит 17'!AJ9+'Юнит 18'!AJ9</f>
        <v>51788</v>
      </c>
      <c r="AK9" s="89">
        <f>'Юнит 14'!AK9+'Юнит 15'!AK9+'Юнит 16'!AK9+'Юнит 17'!AK9+'Юнит 18'!AK9</f>
        <v>0</v>
      </c>
      <c r="AL9" s="89">
        <f>'Юнит 14'!AL9+'Юнит 15'!AL9+'Юнит 16'!AL9+'Юнит 17'!AL9+'Юнит 18'!AL9</f>
        <v>2500.4898256426372</v>
      </c>
      <c r="AM9" s="89">
        <f>'Юнит 14'!AM9+'Юнит 15'!AM9+'Юнит 16'!AM9+'Юнит 17'!AM9+'Юнит 18'!AM9</f>
        <v>300</v>
      </c>
      <c r="AN9" s="94">
        <f t="shared" si="21"/>
        <v>54700.507827000009</v>
      </c>
      <c r="AO9" s="95">
        <f t="shared" si="22"/>
        <v>368738.71234735748</v>
      </c>
      <c r="AP9" s="96"/>
      <c r="AQ9" s="97">
        <f t="shared" si="5"/>
        <v>1580.5617018909902</v>
      </c>
      <c r="AR9" s="98">
        <f t="shared" si="6"/>
        <v>123.09</v>
      </c>
      <c r="AS9" s="98">
        <f t="shared" si="7"/>
        <v>597.10065628476104</v>
      </c>
      <c r="AT9" s="98">
        <f t="shared" si="8"/>
        <v>149.16849729729725</v>
      </c>
      <c r="AU9" s="98">
        <f t="shared" si="23"/>
        <v>226.21945945945947</v>
      </c>
      <c r="AV9" s="98">
        <f t="array" ref="AV9">_xlfn.IFS(U9=0,AO9,U9&lt;0,AO9/-U9,U9&gt;0,AO9/U9)</f>
        <v>410.16541974122077</v>
      </c>
      <c r="AW9" s="234">
        <f>IF(AQ9=0,0,AV9/AQ9)</f>
        <v>0.25950611054949468</v>
      </c>
      <c r="AX9" s="234">
        <f>IF(AR9=0,0,AV9/AR9)</f>
        <v>3.3322399848990232</v>
      </c>
      <c r="AY9" s="99"/>
      <c r="AZ9" s="94">
        <f t="shared" si="11"/>
        <v>3753423.7560519115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f>'Юнит 18'!F10</f>
        <v>94</v>
      </c>
      <c r="G10" s="93">
        <f>'Юнит 18'!G10</f>
        <v>35</v>
      </c>
      <c r="H10" s="93">
        <f>'Юнит 18'!H10</f>
        <v>459</v>
      </c>
      <c r="I10" s="93">
        <f>'Юнит 18'!I10</f>
        <v>0</v>
      </c>
      <c r="J10" s="93">
        <f>'Юнит 18'!J10</f>
        <v>6906</v>
      </c>
      <c r="K10" s="92">
        <v>123.09</v>
      </c>
      <c r="L10" s="92">
        <f>E10*K10</f>
        <v>922436.46000000008</v>
      </c>
      <c r="M10" s="89">
        <f>'Юнит 18'!M10</f>
        <v>43</v>
      </c>
      <c r="N10" s="89">
        <f>'Юнит 14'!N10+'Юнит 15'!N10+'Юнит 16'!N10+'Юнит 17'!N10+'Юнит 18'!N10</f>
        <v>1159</v>
      </c>
      <c r="O10" s="89">
        <v>1358</v>
      </c>
      <c r="P10" s="89">
        <v>54</v>
      </c>
      <c r="Q10" s="406">
        <f t="shared" si="12"/>
        <v>0.59188955996548753</v>
      </c>
      <c r="R10" s="92">
        <f t="shared" si="13"/>
        <v>98</v>
      </c>
      <c r="S10" s="89">
        <f>'Юнит 14'!S10+'Юнит 15'!S10+'Юнит 16'!S10+'Юнит 17'!S10+'Юнит 18'!S10</f>
        <v>701</v>
      </c>
      <c r="T10" s="89">
        <f>'Юнит 14'!T10+'Юнит 15'!T10+'Юнит 16'!T10+'Юнит 17'!T10+'Юнит 18'!T10</f>
        <v>-15</v>
      </c>
      <c r="U10" s="92">
        <f t="shared" si="14"/>
        <v>686</v>
      </c>
      <c r="V10" s="89">
        <f>'Юнит 14'!V10+'Юнит 15'!V10+'Юнит 16'!V10+'Юнит 17'!V10+'Юнит 18'!V10</f>
        <v>639020.13</v>
      </c>
      <c r="W10" s="89">
        <f>'Юнит 14'!W10+'Юнит 15'!W10+'Юнит 16'!W10+'Юнит 17'!W10+'Юнит 18'!W10</f>
        <v>-13788</v>
      </c>
      <c r="X10" s="92">
        <f t="shared" si="15"/>
        <v>625232.13</v>
      </c>
      <c r="Y10" s="89">
        <f>'Юнит 14'!Y10+'Юнит 15'!Y10+'Юнит 16'!Y10+'Юнит 17'!Y10+'Юнит 18'!Y10</f>
        <v>951627.76</v>
      </c>
      <c r="Z10" s="89">
        <f>'Юнит 14'!Z10+'Юнит 15'!Z10+'Юнит 16'!Z10+'Юнит 17'!Z10+'Юнит 18'!Z10</f>
        <v>-20572.36</v>
      </c>
      <c r="AA10" s="232">
        <f t="shared" si="16"/>
        <v>931055.4</v>
      </c>
      <c r="AB10" s="92">
        <f t="shared" si="17"/>
        <v>849917.88</v>
      </c>
      <c r="AC10" s="234">
        <f t="shared" si="18"/>
        <v>6.1676373015001056E-2</v>
      </c>
      <c r="AD10" s="92">
        <f t="shared" si="19"/>
        <v>84439.74</v>
      </c>
      <c r="AE10" s="89">
        <f>'Юнит 14'!AE10+'Юнит 15'!AE10+'Юнит 16'!AE10+'Юнит 17'!AE10+'Юнит 18'!AE10</f>
        <v>352484.21</v>
      </c>
      <c r="AF10" s="234">
        <f t="shared" si="20"/>
        <v>0.37858564592396976</v>
      </c>
      <c r="AG10" s="89">
        <f>'Юнит 14'!AG10+'Юнит 15'!AG10+'Юнит 16'!AG10+'Юнит 17'!AG10+'Юнит 18'!AG10</f>
        <v>85068.229999999894</v>
      </c>
      <c r="AH10" s="89">
        <f>'Юнит 14'!AH10+'Юнит 15'!AH10+'Юнит 16'!AH10+'Юнит 17'!AH10+'Юнит 18'!AH10</f>
        <v>5000</v>
      </c>
      <c r="AI10" s="89">
        <f>'Юнит 14'!AI10+'Юнит 15'!AI10+'Юнит 16'!AI10+'Юнит 17'!AI10+'Юнит 18'!AI10</f>
        <v>115277</v>
      </c>
      <c r="AJ10" s="89">
        <f>'Юнит 14'!AJ10+'Юнит 15'!AJ10+'Юнит 16'!AJ10+'Юнит 17'!AJ10+'Юнит 18'!AJ10</f>
        <v>27241</v>
      </c>
      <c r="AK10" s="89">
        <f>'Юнит 14'!AK10+'Юнит 15'!AK10+'Юнит 16'!AK10+'Юнит 17'!AK10+'Юнит 18'!AK10</f>
        <v>0</v>
      </c>
      <c r="AL10" s="89">
        <f>'Юнит 14'!AL10+'Юнит 15'!AL10+'Юнит 16'!AL10+'Юнит 17'!AL10+'Юнит 18'!AL10</f>
        <v>2539.6172968742408</v>
      </c>
      <c r="AM10" s="89">
        <f>'Юнит 14'!AM10+'Юнит 15'!AM10+'Юнит 16'!AM10+'Юнит 17'!AM10+'Юнит 18'!AM10</f>
        <v>110</v>
      </c>
      <c r="AN10" s="94">
        <f t="shared" si="21"/>
        <v>35700.754623000001</v>
      </c>
      <c r="AO10" s="95">
        <f t="shared" si="22"/>
        <v>223194.84808012587</v>
      </c>
      <c r="AP10" s="96"/>
      <c r="AQ10" s="97">
        <f t="shared" si="5"/>
        <v>1357.2236151603499</v>
      </c>
      <c r="AR10" s="98">
        <f t="shared" si="6"/>
        <v>123.09</v>
      </c>
      <c r="AS10" s="98">
        <f t="shared" si="7"/>
        <v>513.82537900874638</v>
      </c>
      <c r="AT10" s="98">
        <f t="shared" si="8"/>
        <v>121.3526818830241</v>
      </c>
      <c r="AU10" s="98">
        <f t="shared" si="23"/>
        <v>210.43937232524965</v>
      </c>
      <c r="AV10" s="98">
        <f t="array" ref="AV10">_xlfn.IFS(U10=0,AO10,U10&lt;0,AO10/-U10,U10&gt;0,AO10/U10)</f>
        <v>325.35692139960037</v>
      </c>
      <c r="AW10" s="234">
        <f>IF(AQ10=0,0,AV10/AQ10)</f>
        <v>0.23972241402619635</v>
      </c>
      <c r="AX10" s="234">
        <f>IF(AR10=0,0,AV10/AR10)</f>
        <v>2.6432441416816994</v>
      </c>
      <c r="AY10" s="99"/>
      <c r="AZ10" s="94">
        <f t="shared" si="11"/>
        <v>2438224.768968605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8">SUM(F11:J11)</f>
        <v>675</v>
      </c>
      <c r="F11" s="93">
        <f>'Юнит 18'!F11</f>
        <v>66</v>
      </c>
      <c r="G11" s="93">
        <f>'Юнит 18'!G11</f>
        <v>15</v>
      </c>
      <c r="H11" s="93">
        <f>'Юнит 18'!H11</f>
        <v>198</v>
      </c>
      <c r="I11" s="93">
        <f>'Юнит 18'!I11</f>
        <v>0</v>
      </c>
      <c r="J11" s="93">
        <f>'Юнит 18'!J11</f>
        <v>396</v>
      </c>
      <c r="K11" s="92">
        <v>123.09</v>
      </c>
      <c r="L11" s="92">
        <f t="shared" ref="L11" si="29">E11*K11</f>
        <v>83085.75</v>
      </c>
      <c r="M11" s="89">
        <f>'Юнит 18'!M11</f>
        <v>31</v>
      </c>
      <c r="N11" s="89">
        <f>'Юнит 14'!N11+'Юнит 15'!N11+'Юнит 16'!N11+'Юнит 17'!N11+'Юнит 18'!N11</f>
        <v>627</v>
      </c>
      <c r="O11" s="89">
        <v>1326</v>
      </c>
      <c r="P11" s="89">
        <v>60</v>
      </c>
      <c r="Q11" s="406">
        <f t="shared" si="12"/>
        <v>0.60925039872408293</v>
      </c>
      <c r="R11" s="92">
        <f t="shared" si="13"/>
        <v>54.571428571428569</v>
      </c>
      <c r="S11" s="89">
        <f>'Юнит 14'!S11+'Юнит 15'!S11+'Юнит 16'!S11+'Юнит 17'!S11+'Юнит 18'!S11</f>
        <v>390</v>
      </c>
      <c r="T11" s="89">
        <f>'Юнит 14'!T11+'Юнит 15'!T11+'Юнит 16'!T11+'Юнит 17'!T11+'Юнит 18'!T11</f>
        <v>-8</v>
      </c>
      <c r="U11" s="92">
        <f t="shared" si="14"/>
        <v>382</v>
      </c>
      <c r="V11" s="89">
        <f>'Юнит 14'!V11+'Юнит 15'!V11+'Юнит 16'!V11+'Юнит 17'!V11+'Юнит 18'!V11</f>
        <v>347013.22000000003</v>
      </c>
      <c r="W11" s="89">
        <f>'Юнит 14'!W11+'Юнит 15'!W11+'Юнит 16'!W11+'Юнит 17'!W11+'Юнит 18'!W11</f>
        <v>-7070</v>
      </c>
      <c r="X11" s="92">
        <f t="shared" si="15"/>
        <v>339943.22000000003</v>
      </c>
      <c r="Y11" s="89">
        <f>'Юнит 14'!Y11+'Юнит 15'!Y11+'Юнит 16'!Y11+'Юнит 17'!Y11+'Юнит 18'!Y11</f>
        <v>517265.26999999996</v>
      </c>
      <c r="Z11" s="89">
        <f>'Юнит 14'!Z11+'Юнит 15'!Z11+'Юнит 16'!Z11+'Юнит 17'!Z11+'Юнит 18'!Z11</f>
        <v>-10702</v>
      </c>
      <c r="AA11" s="232">
        <f t="shared" si="16"/>
        <v>506563.26999999996</v>
      </c>
      <c r="AB11" s="92">
        <f t="shared" si="17"/>
        <v>498841.2</v>
      </c>
      <c r="AC11" s="234">
        <f t="shared" si="18"/>
        <v>3.3556526492643388E-2</v>
      </c>
      <c r="AD11" s="92">
        <f t="shared" si="19"/>
        <v>47020.380000000005</v>
      </c>
      <c r="AE11" s="89">
        <f>'Юнит 14'!AE11+'Юнит 15'!AE11+'Юнит 16'!AE11+'Юнит 17'!AE11+'Юнит 18'!AE11</f>
        <v>191022.97999999998</v>
      </c>
      <c r="AF11" s="234">
        <f t="shared" si="20"/>
        <v>0.37709599434637253</v>
      </c>
      <c r="AG11" s="89">
        <f>'Юнит 14'!AG11+'Юнит 15'!AG11+'Юнит 16'!AG11+'Юнит 17'!AG11+'Юнит 18'!AG11</f>
        <v>43591.920000000006</v>
      </c>
      <c r="AH11" s="89">
        <f>'Юнит 14'!AH11+'Юнит 15'!AH11+'Юнит 16'!AH11+'Юнит 17'!AH11+'Юнит 18'!AH11</f>
        <v>1959</v>
      </c>
      <c r="AI11" s="89">
        <f>'Юнит 14'!AI11+'Юнит 15'!AI11+'Юнит 16'!AI11+'Юнит 17'!AI11+'Юнит 18'!AI11</f>
        <v>36553</v>
      </c>
      <c r="AJ11" s="89">
        <f>'Юнит 14'!AJ11+'Юнит 15'!AJ11+'Юнит 16'!AJ11+'Юнит 17'!AJ11+'Юнит 18'!AJ11</f>
        <v>11342</v>
      </c>
      <c r="AK11" s="89">
        <f>'Юнит 14'!AK11+'Юнит 15'!AK11+'Юнит 16'!AK11+'Юнит 17'!AK11+'Юнит 18'!AK11</f>
        <v>0</v>
      </c>
      <c r="AL11" s="89">
        <f>'Юнит 14'!AL11+'Юнит 15'!AL11+'Юнит 16'!AL11+'Юнит 17'!AL11+'Юнит 18'!AL11</f>
        <v>1110.0630825965557</v>
      </c>
      <c r="AM11" s="89">
        <f>'Юнит 14'!AM11+'Юнит 15'!AM11+'Юнит 16'!AM11+'Юнит 17'!AM11+'Юнит 18'!AM11</f>
        <v>50</v>
      </c>
      <c r="AN11" s="94">
        <f t="shared" si="21"/>
        <v>19410.757862000002</v>
      </c>
      <c r="AO11" s="95">
        <f t="shared" si="22"/>
        <v>154503.16905540341</v>
      </c>
      <c r="AP11" s="96"/>
      <c r="AQ11" s="97">
        <f t="shared" si="5"/>
        <v>1326.0818586387434</v>
      </c>
      <c r="AR11" s="98">
        <f t="shared" si="6"/>
        <v>123.09</v>
      </c>
      <c r="AS11" s="98">
        <f t="shared" si="7"/>
        <v>500.06015706806278</v>
      </c>
      <c r="AT11" s="98">
        <f t="shared" si="8"/>
        <v>111.77415384615387</v>
      </c>
      <c r="AU11" s="98">
        <f t="shared" si="23"/>
        <v>127.83076923076923</v>
      </c>
      <c r="AV11" s="98">
        <f t="array" ref="AV11">_xlfn.IFS(U11=0,AO11,U11&lt;0,AO11/-U11,U11&gt;0,AO11/U11)</f>
        <v>404.45855773665818</v>
      </c>
      <c r="AW11" s="234">
        <f t="shared" ref="AW11:AW28" si="30">IF(AQ11=0,0,AV11/AQ11)</f>
        <v>0.30500270786589684</v>
      </c>
      <c r="AX11" s="234">
        <f t="shared" ref="AX11:AX28" si="31">IF(AR11=0,0,AV11/AR11)</f>
        <v>3.2858766572155185</v>
      </c>
      <c r="AY11" s="99"/>
      <c r="AZ11" s="94">
        <f t="shared" si="11"/>
        <v>273009.5264722443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8"/>
        <v>5864</v>
      </c>
      <c r="F12" s="93">
        <f>'Юнит 18'!F12</f>
        <v>69</v>
      </c>
      <c r="G12" s="93">
        <f>'Юнит 18'!G12</f>
        <v>16</v>
      </c>
      <c r="H12" s="93">
        <f>'Юнит 18'!H12</f>
        <v>572</v>
      </c>
      <c r="I12" s="93">
        <f>'Юнит 18'!I12</f>
        <v>1</v>
      </c>
      <c r="J12" s="93">
        <f>'Юнит 18'!J12</f>
        <v>5206</v>
      </c>
      <c r="K12" s="92">
        <v>117.24</v>
      </c>
      <c r="L12" s="92">
        <f>E12*K12</f>
        <v>687495.36</v>
      </c>
      <c r="M12" s="89">
        <f>'Юнит 18'!M12</f>
        <v>62</v>
      </c>
      <c r="N12" s="89">
        <f>'Юнит 14'!N12+'Юнит 15'!N12+'Юнит 16'!N12+'Юнит 17'!N12+'Юнит 18'!N12</f>
        <v>820</v>
      </c>
      <c r="O12" s="89">
        <v>1358</v>
      </c>
      <c r="P12" s="89">
        <v>54</v>
      </c>
      <c r="Q12" s="406">
        <f t="shared" si="12"/>
        <v>0.58048780487804874</v>
      </c>
      <c r="R12" s="92">
        <f t="shared" si="13"/>
        <v>68</v>
      </c>
      <c r="S12" s="89">
        <f>'Юнит 14'!S12+'Юнит 15'!S12+'Юнит 16'!S12+'Юнит 17'!S12+'Юнит 18'!S12</f>
        <v>479</v>
      </c>
      <c r="T12" s="89">
        <f>'Юнит 14'!T12+'Юнит 15'!T12+'Юнит 16'!T12+'Юнит 17'!T12+'Юнит 18'!T12</f>
        <v>-3</v>
      </c>
      <c r="U12" s="92">
        <f t="shared" si="14"/>
        <v>476</v>
      </c>
      <c r="V12" s="89">
        <f>'Юнит 14'!V12+'Юнит 15'!V12+'Юнит 16'!V12+'Юнит 17'!V12+'Юнит 18'!V12</f>
        <v>436804.38</v>
      </c>
      <c r="W12" s="89">
        <f>'Юнит 14'!W12+'Юнит 15'!W12+'Юнит 16'!W12+'Юнит 17'!W12+'Юнит 18'!W12</f>
        <v>-2677</v>
      </c>
      <c r="X12" s="92">
        <f t="shared" si="15"/>
        <v>434127.38</v>
      </c>
      <c r="Y12" s="89">
        <f>'Юнит 14'!Y12+'Юнит 15'!Y12+'Юнит 16'!Y12+'Юнит 17'!Y12+'Юнит 18'!Y12</f>
        <v>649741.39000000013</v>
      </c>
      <c r="Z12" s="89">
        <f>'Юнит 14'!Z12+'Юнит 15'!Z12+'Юнит 16'!Z12+'Юнит 17'!Z12+'Юнит 18'!Z12</f>
        <v>-4134</v>
      </c>
      <c r="AA12" s="232">
        <f t="shared" si="16"/>
        <v>645607.39000000013</v>
      </c>
      <c r="AB12" s="92">
        <f t="shared" si="17"/>
        <v>601322.4</v>
      </c>
      <c r="AC12" s="234">
        <f t="shared" si="18"/>
        <v>4.2767296346577513E-2</v>
      </c>
      <c r="AD12" s="92">
        <f t="shared" si="19"/>
        <v>55806.239999999998</v>
      </c>
      <c r="AE12" s="89">
        <f>'Юнит 14'!AE12+'Юнит 15'!AE12+'Юнит 16'!AE12+'Юнит 17'!AE12+'Юнит 18'!AE12</f>
        <v>243863.06000000011</v>
      </c>
      <c r="AF12" s="234">
        <f t="shared" si="20"/>
        <v>0.37772656226874984</v>
      </c>
      <c r="AG12" s="89">
        <f>'Юнит 14'!AG12+'Юнит 15'!AG12+'Юнит 16'!AG12+'Юнит 17'!AG12+'Юнит 18'!AG12</f>
        <v>63055.79</v>
      </c>
      <c r="AH12" s="89">
        <f>'Юнит 14'!AH12+'Юнит 15'!AH12+'Юнит 16'!AH12+'Юнит 17'!AH12+'Юнит 18'!AH12</f>
        <v>5330</v>
      </c>
      <c r="AI12" s="89">
        <f>'Юнит 14'!AI12+'Юнит 15'!AI12+'Юнит 16'!AI12+'Юнит 17'!AI12+'Юнит 18'!AI12</f>
        <v>63947</v>
      </c>
      <c r="AJ12" s="89">
        <f>'Юнит 14'!AJ12+'Юнит 15'!AJ12+'Юнит 16'!AJ12+'Юнит 17'!AJ12+'Юнит 18'!AJ12</f>
        <v>10971</v>
      </c>
      <c r="AK12" s="89">
        <f>'Юнит 14'!AK12+'Юнит 15'!AK12+'Юнит 16'!AK12+'Юнит 17'!AK12+'Юнит 18'!AK12</f>
        <v>0</v>
      </c>
      <c r="AL12" s="89">
        <f>'Юнит 14'!AL12+'Юнит 15'!AL12+'Юнит 16'!AL12+'Юнит 17'!AL12+'Юнит 18'!AL12</f>
        <v>2424.076222626773</v>
      </c>
      <c r="AM12" s="89">
        <f>'Юнит 14'!AM12+'Юнит 15'!AM12+'Юнит 16'!AM12+'Юнит 17'!AM12+'Юнит 18'!AM12</f>
        <v>100</v>
      </c>
      <c r="AN12" s="94">
        <f t="shared" si="21"/>
        <v>24788.673397999999</v>
      </c>
      <c r="AO12" s="95">
        <f t="shared" si="22"/>
        <v>175321.55037937325</v>
      </c>
      <c r="AP12" s="96"/>
      <c r="AQ12" s="97">
        <f t="shared" si="5"/>
        <v>1356.3180462184878</v>
      </c>
      <c r="AR12" s="98">
        <f t="shared" si="6"/>
        <v>117.24</v>
      </c>
      <c r="AS12" s="98">
        <f t="shared" si="7"/>
        <v>512.31735294117675</v>
      </c>
      <c r="AT12" s="98">
        <f t="shared" si="8"/>
        <v>131.6404801670146</v>
      </c>
      <c r="AU12" s="98">
        <f t="shared" si="23"/>
        <v>167.53235908141963</v>
      </c>
      <c r="AV12" s="98">
        <f t="array" ref="AV12">_xlfn.IFS(U12=0,AO12,U12&lt;0,AO12/-U12,U12&gt;0,AO12/U12)</f>
        <v>368.32258483061605</v>
      </c>
      <c r="AW12" s="234">
        <f t="shared" si="30"/>
        <v>0.27156063126751567</v>
      </c>
      <c r="AX12" s="234">
        <f t="shared" si="31"/>
        <v>3.1416119484017067</v>
      </c>
      <c r="AY12" s="99"/>
      <c r="AZ12" s="94">
        <f t="shared" si="11"/>
        <v>2159843.6374467327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8"/>
        <v>2003</v>
      </c>
      <c r="F13" s="93">
        <f>'Юнит 18'!F13</f>
        <v>192</v>
      </c>
      <c r="G13" s="93">
        <f>'Юнит 18'!G13</f>
        <v>53</v>
      </c>
      <c r="H13" s="93">
        <f>'Юнит 18'!H13</f>
        <v>563</v>
      </c>
      <c r="I13" s="93">
        <f>'Юнит 18'!I13</f>
        <v>1</v>
      </c>
      <c r="J13" s="93">
        <f>'Юнит 18'!J13</f>
        <v>1194</v>
      </c>
      <c r="K13" s="92">
        <v>123.09</v>
      </c>
      <c r="L13" s="92">
        <f t="shared" ref="L13:L28" si="32">E13*K13</f>
        <v>246549.27000000002</v>
      </c>
      <c r="M13" s="89">
        <f>'Юнит 18'!M13</f>
        <v>35</v>
      </c>
      <c r="N13" s="89">
        <f>'Юнит 14'!N13+'Юнит 15'!N13+'Юнит 16'!N13+'Юнит 17'!N13+'Юнит 18'!N13</f>
        <v>1723</v>
      </c>
      <c r="O13" s="89">
        <v>1567</v>
      </c>
      <c r="P13" s="89">
        <v>58</v>
      </c>
      <c r="Q13" s="406">
        <f t="shared" si="12"/>
        <v>0.57399883923389439</v>
      </c>
      <c r="R13" s="92">
        <f t="shared" si="13"/>
        <v>141.28571428571428</v>
      </c>
      <c r="S13" s="89">
        <f>'Юнит 14'!S13+'Юнит 15'!S13+'Юнит 16'!S13+'Юнит 17'!S13+'Юнит 18'!S13</f>
        <v>1009</v>
      </c>
      <c r="T13" s="89">
        <f>'Юнит 14'!T13+'Юнит 15'!T13+'Юнит 16'!T13+'Юнит 17'!T13+'Юнит 18'!T13</f>
        <v>-20</v>
      </c>
      <c r="U13" s="92">
        <f t="shared" si="14"/>
        <v>989</v>
      </c>
      <c r="V13" s="89">
        <f>'Юнит 14'!V13+'Юнит 15'!V13+'Юнит 16'!V13+'Юнит 17'!V13+'Юнит 18'!V13</f>
        <v>1086430.8400000001</v>
      </c>
      <c r="W13" s="89">
        <f>'Юнит 14'!W13+'Юнит 15'!W13+'Юнит 16'!W13+'Юнит 17'!W13+'Юнит 18'!W13</f>
        <v>-22249.4</v>
      </c>
      <c r="X13" s="92">
        <f t="shared" si="15"/>
        <v>1064181.4400000002</v>
      </c>
      <c r="Y13" s="89">
        <f>'Юнит 14'!Y13+'Юнит 15'!Y13+'Юнит 16'!Y13+'Юнит 17'!Y13+'Юнит 18'!Y13</f>
        <v>1611274.74</v>
      </c>
      <c r="Z13" s="89">
        <f>'Юнит 14'!Z13+'Юнит 15'!Z13+'Юнит 16'!Z13+'Юнит 17'!Z13+'Юнит 18'!Z13</f>
        <v>-33344.949999999997</v>
      </c>
      <c r="AA13" s="232">
        <f t="shared" si="16"/>
        <v>1577929.79</v>
      </c>
      <c r="AB13" s="92">
        <f t="shared" si="17"/>
        <v>1565965.78</v>
      </c>
      <c r="AC13" s="234">
        <f t="shared" si="18"/>
        <v>0.10452759988237249</v>
      </c>
      <c r="AD13" s="92">
        <f t="shared" si="19"/>
        <v>121736.01000000001</v>
      </c>
      <c r="AE13" s="89">
        <f>'Юнит 14'!AE13+'Юнит 15'!AE13+'Юнит 16'!AE13+'Юнит 17'!AE13+'Юнит 18'!AE13</f>
        <v>595842.66</v>
      </c>
      <c r="AF13" s="234">
        <f t="shared" si="20"/>
        <v>0.37761037517391699</v>
      </c>
      <c r="AG13" s="89">
        <f>'Юнит 14'!AG13+'Юнит 15'!AG13+'Юнит 16'!AG13+'Юнит 17'!AG13+'Юнит 18'!AG13</f>
        <v>126681.45</v>
      </c>
      <c r="AH13" s="89">
        <f>'Юнит 14'!AH13+'Юнит 15'!AH13+'Юнит 16'!AH13+'Юнит 17'!AH13+'Юнит 18'!AH13</f>
        <v>6000</v>
      </c>
      <c r="AI13" s="89">
        <f>'Юнит 14'!AI13+'Юнит 15'!AI13+'Юнит 16'!AI13+'Юнит 17'!AI13+'Юнит 18'!AI13</f>
        <v>163204</v>
      </c>
      <c r="AJ13" s="89">
        <f>'Юнит 14'!AJ13+'Юнит 15'!AJ13+'Юнит 16'!AJ13+'Юнит 17'!AJ13+'Юнит 18'!AJ13</f>
        <v>73739</v>
      </c>
      <c r="AK13" s="89">
        <f>'Юнит 14'!AK13+'Юнит 15'!AK13+'Юнит 16'!AK13+'Юнит 17'!AK13+'Юнит 18'!AK13</f>
        <v>0</v>
      </c>
      <c r="AL13" s="89">
        <f>'Юнит 14'!AL13+'Юнит 15'!AL13+'Юнит 16'!AL13+'Юнит 17'!AL13+'Юнит 18'!AL13</f>
        <v>3359.5820912158906</v>
      </c>
      <c r="AM13" s="89">
        <f>'Юнит 14'!AM13+'Юнит 15'!AM13+'Юнит 16'!AM13+'Юнит 17'!AM13+'Юнит 18'!AM13</f>
        <v>3934</v>
      </c>
      <c r="AN13" s="94">
        <f t="shared" si="21"/>
        <v>60764.760224000005</v>
      </c>
      <c r="AO13" s="95">
        <f t="shared" si="22"/>
        <v>422668.32768478413</v>
      </c>
      <c r="AP13" s="96"/>
      <c r="AQ13" s="97">
        <f t="shared" si="5"/>
        <v>1595.4800707785641</v>
      </c>
      <c r="AR13" s="98">
        <f t="shared" si="6"/>
        <v>123.09</v>
      </c>
      <c r="AS13" s="98">
        <f t="shared" si="7"/>
        <v>602.46982810920122</v>
      </c>
      <c r="AT13" s="98">
        <f t="shared" si="8"/>
        <v>125.55148662041626</v>
      </c>
      <c r="AU13" s="98">
        <f t="shared" si="23"/>
        <v>240.77601585728445</v>
      </c>
      <c r="AV13" s="98">
        <f t="array" ref="AV13">_xlfn.IFS(U13=0,AO13,U13&lt;0,AO13/-U13,U13&gt;0,AO13/U13)</f>
        <v>427.36939098562601</v>
      </c>
      <c r="AW13" s="234">
        <f t="shared" si="30"/>
        <v>0.26786256927488777</v>
      </c>
      <c r="AX13" s="234">
        <f t="shared" si="31"/>
        <v>3.472007400971858</v>
      </c>
      <c r="AY13" s="99"/>
      <c r="AZ13" s="94">
        <f t="shared" si="11"/>
        <v>856020.89014420891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8"/>
        <v>2053</v>
      </c>
      <c r="F14" s="93">
        <f>'Юнит 18'!F14</f>
        <v>25</v>
      </c>
      <c r="G14" s="93">
        <f>'Юнит 18'!G14</f>
        <v>8</v>
      </c>
      <c r="H14" s="93">
        <f>'Юнит 18'!H14</f>
        <v>416</v>
      </c>
      <c r="I14" s="93">
        <f>'Юнит 18'!I14</f>
        <v>2</v>
      </c>
      <c r="J14" s="93">
        <f>'Юнит 18'!J14</f>
        <v>1602</v>
      </c>
      <c r="K14" s="92">
        <v>123.09</v>
      </c>
      <c r="L14" s="92">
        <f t="shared" si="32"/>
        <v>252703.77000000002</v>
      </c>
      <c r="M14" s="89">
        <f>'Юнит 18'!M14</f>
        <v>139</v>
      </c>
      <c r="N14" s="89">
        <f>'Юнит 14'!N14+'Юнит 15'!N14+'Юнит 16'!N14+'Юнит 17'!N14+'Юнит 18'!N14</f>
        <v>289</v>
      </c>
      <c r="O14" s="89">
        <v>1318</v>
      </c>
      <c r="P14" s="89">
        <v>56</v>
      </c>
      <c r="Q14" s="406">
        <f t="shared" si="12"/>
        <v>0.63321799307958482</v>
      </c>
      <c r="R14" s="92">
        <f t="shared" si="13"/>
        <v>26.142857142857142</v>
      </c>
      <c r="S14" s="89">
        <f>'Юнит 14'!S14+'Юнит 15'!S14+'Юнит 16'!S14+'Юнит 17'!S14+'Юнит 18'!S14</f>
        <v>188</v>
      </c>
      <c r="T14" s="89">
        <f>'Юнит 14'!T14+'Юнит 15'!T14+'Юнит 16'!T14+'Юнит 17'!T14+'Юнит 18'!T14</f>
        <v>-5</v>
      </c>
      <c r="U14" s="92">
        <f t="shared" si="14"/>
        <v>183</v>
      </c>
      <c r="V14" s="89">
        <f>'Юнит 14'!V14+'Юнит 15'!V14+'Юнит 16'!V14+'Юнит 17'!V14+'Юнит 18'!V14</f>
        <v>166596.85</v>
      </c>
      <c r="W14" s="89">
        <f>'Юнит 14'!W14+'Юнит 15'!W14+'Юнит 16'!W14+'Юнит 17'!W14+'Юнит 18'!W14</f>
        <v>-4314</v>
      </c>
      <c r="X14" s="92">
        <f t="shared" si="15"/>
        <v>162282.85</v>
      </c>
      <c r="Y14" s="89">
        <f>'Юнит 14'!Y14+'Юнит 15'!Y14+'Юнит 16'!Y14+'Юнит 17'!Y14+'Юнит 18'!Y14</f>
        <v>246113.9</v>
      </c>
      <c r="Z14" s="89">
        <f>'Юнит 14'!Z14+'Юнит 15'!Z14+'Юнит 16'!Z14+'Юнит 17'!Z14+'Юнит 18'!Z14</f>
        <v>-6525.28</v>
      </c>
      <c r="AA14" s="232">
        <f t="shared" si="16"/>
        <v>239588.62</v>
      </c>
      <c r="AB14" s="92">
        <f t="shared" si="17"/>
        <v>213305.12</v>
      </c>
      <c r="AC14" s="234">
        <f t="shared" si="18"/>
        <v>1.587118993914792E-2</v>
      </c>
      <c r="AD14" s="92">
        <f t="shared" si="19"/>
        <v>22525.47</v>
      </c>
      <c r="AE14" s="89">
        <f>'Юнит 14'!AE14+'Юнит 15'!AE14+'Юнит 16'!AE14+'Юнит 17'!AE14+'Юнит 18'!AE14</f>
        <v>90023.92</v>
      </c>
      <c r="AF14" s="234">
        <f t="shared" si="20"/>
        <v>0.37574372271938461</v>
      </c>
      <c r="AG14" s="89">
        <f>'Юнит 14'!AG14+'Юнит 15'!AG14+'Юнит 16'!AG14+'Юнит 17'!AG14+'Юнит 18'!AG14</f>
        <v>23158.71999999999</v>
      </c>
      <c r="AH14" s="89">
        <f>'Юнит 14'!AH14+'Юнит 15'!AH14+'Юнит 16'!AH14+'Юнит 17'!AH14+'Юнит 18'!AH14</f>
        <v>1949</v>
      </c>
      <c r="AI14" s="89">
        <f>'Юнит 14'!AI14+'Юнит 15'!AI14+'Юнит 16'!AI14+'Юнит 17'!AI14+'Юнит 18'!AI14</f>
        <v>15395</v>
      </c>
      <c r="AJ14" s="89">
        <f>'Юнит 14'!AJ14+'Юнит 15'!AJ14+'Юнит 16'!AJ14+'Юнит 17'!AJ14+'Юнит 18'!AJ14</f>
        <v>1004</v>
      </c>
      <c r="AK14" s="89">
        <f>'Юнит 14'!AK14+'Юнит 15'!AK14+'Юнит 16'!AK14+'Юнит 17'!AK14+'Юнит 18'!AK14</f>
        <v>0</v>
      </c>
      <c r="AL14" s="89">
        <f>'Юнит 14'!AL14+'Юнит 15'!AL14+'Юнит 16'!AL14+'Юнит 17'!AL14+'Юнит 18'!AL14</f>
        <v>1754.9642557335992</v>
      </c>
      <c r="AM14" s="89">
        <f>'Юнит 14'!AM14+'Юнит 15'!AM14+'Юнит 16'!AM14+'Юнит 17'!AM14+'Юнит 18'!AM14</f>
        <v>140</v>
      </c>
      <c r="AN14" s="94">
        <f t="shared" si="21"/>
        <v>9266.350735</v>
      </c>
      <c r="AO14" s="95">
        <f t="shared" si="22"/>
        <v>74371.195009266405</v>
      </c>
      <c r="AP14" s="96"/>
      <c r="AQ14" s="97">
        <f t="shared" si="5"/>
        <v>1309.227431693989</v>
      </c>
      <c r="AR14" s="98">
        <f t="shared" si="6"/>
        <v>123.09</v>
      </c>
      <c r="AS14" s="98">
        <f t="shared" si="7"/>
        <v>491.93398907103824</v>
      </c>
      <c r="AT14" s="98">
        <f t="shared" si="8"/>
        <v>123.18468085106377</v>
      </c>
      <c r="AU14" s="98">
        <f t="shared" si="23"/>
        <v>97.59574468085107</v>
      </c>
      <c r="AV14" s="98">
        <f t="array" ref="AV14">_xlfn.IFS(U14=0,AO14,U14&lt;0,AO14/-U14,U14&gt;0,AO14/U14)</f>
        <v>406.39997272823172</v>
      </c>
      <c r="AW14" s="234">
        <f t="shared" si="30"/>
        <v>0.31041205132892541</v>
      </c>
      <c r="AX14" s="234">
        <f t="shared" si="31"/>
        <v>3.3016489782129477</v>
      </c>
      <c r="AY14" s="99"/>
      <c r="AZ14" s="94">
        <f t="shared" si="11"/>
        <v>834339.14401105966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8"/>
        <v>4442</v>
      </c>
      <c r="F15" s="93">
        <f>'Юнит 18'!F15</f>
        <v>40</v>
      </c>
      <c r="G15" s="93">
        <f>'Юнит 18'!G15</f>
        <v>4</v>
      </c>
      <c r="H15" s="93">
        <f>'Юнит 18'!H15</f>
        <v>275</v>
      </c>
      <c r="I15" s="93">
        <f>'Юнит 18'!I15</f>
        <v>0</v>
      </c>
      <c r="J15" s="93">
        <f>'Юнит 18'!J15</f>
        <v>4123</v>
      </c>
      <c r="K15" s="92">
        <v>123.09</v>
      </c>
      <c r="L15" s="92">
        <f t="shared" si="32"/>
        <v>546765.78</v>
      </c>
      <c r="M15" s="89">
        <f>'Юнит 18'!M15</f>
        <v>59</v>
      </c>
      <c r="N15" s="89">
        <f>'Юнит 14'!N15+'Юнит 15'!N15+'Юнит 16'!N15+'Юнит 17'!N15+'Юнит 18'!N15</f>
        <v>355</v>
      </c>
      <c r="O15" s="89">
        <v>1308</v>
      </c>
      <c r="P15" s="89">
        <v>67</v>
      </c>
      <c r="Q15" s="406">
        <f t="shared" si="12"/>
        <v>0.6873239436619718</v>
      </c>
      <c r="R15" s="92">
        <f t="shared" si="13"/>
        <v>34.857142857142854</v>
      </c>
      <c r="S15" s="89">
        <f>'Юнит 14'!S15+'Юнит 15'!S15+'Юнит 16'!S15+'Юнит 17'!S15+'Юнит 18'!S15</f>
        <v>246</v>
      </c>
      <c r="T15" s="89">
        <f>'Юнит 14'!T15+'Юнит 15'!T15+'Юнит 16'!T15+'Юнит 17'!T15+'Юнит 18'!T15</f>
        <v>-2</v>
      </c>
      <c r="U15" s="92">
        <f t="shared" si="14"/>
        <v>244</v>
      </c>
      <c r="V15" s="89">
        <f>'Юнит 14'!V15+'Юнит 15'!V15+'Юнит 16'!V15+'Юнит 17'!V15+'Юнит 18'!V15</f>
        <v>218127.8</v>
      </c>
      <c r="W15" s="89">
        <f>'Юнит 14'!W15+'Юнит 15'!W15+'Юнит 16'!W15+'Юнит 17'!W15+'Юнит 18'!W15</f>
        <v>-1862.46</v>
      </c>
      <c r="X15" s="92">
        <f t="shared" si="15"/>
        <v>216265.34</v>
      </c>
      <c r="Y15" s="89">
        <f>'Юнит 14'!Y15+'Юнит 15'!Y15+'Юнит 16'!Y15+'Юнит 17'!Y15+'Юнит 18'!Y15</f>
        <v>322950.96999999997</v>
      </c>
      <c r="Z15" s="89">
        <f>'Юнит 14'!Z15+'Юнит 15'!Z15+'Юнит 16'!Z15+'Юнит 17'!Z15+'Юнит 18'!Z15</f>
        <v>-2553.92</v>
      </c>
      <c r="AA15" s="232">
        <f t="shared" si="16"/>
        <v>320397.05</v>
      </c>
      <c r="AB15" s="92">
        <f t="shared" si="17"/>
        <v>311107.8</v>
      </c>
      <c r="AC15" s="234">
        <f t="shared" si="18"/>
        <v>2.1224223573276028E-2</v>
      </c>
      <c r="AD15" s="92">
        <f t="shared" si="19"/>
        <v>30033.96</v>
      </c>
      <c r="AE15" s="89">
        <f>'Юнит 14'!AE15+'Юнит 15'!AE15+'Юнит 16'!AE15+'Юнит 17'!AE15+'Юнит 18'!AE15</f>
        <v>121218.03</v>
      </c>
      <c r="AF15" s="234">
        <f t="shared" si="20"/>
        <v>0.37833691040538608</v>
      </c>
      <c r="AG15" s="89">
        <f>'Юнит 14'!AG15+'Юнит 15'!AG15+'Юнит 16'!AG15+'Юнит 17'!AG15+'Юнит 18'!AG15</f>
        <v>25227.219999999994</v>
      </c>
      <c r="AH15" s="89">
        <f>'Юнит 14'!AH15+'Юнит 15'!AH15+'Юнит 16'!AH15+'Юнит 17'!AH15+'Юнит 18'!AH15</f>
        <v>1755</v>
      </c>
      <c r="AI15" s="89">
        <f>'Юнит 14'!AI15+'Юнит 15'!AI15+'Юнит 16'!AI15+'Юнит 17'!AI15+'Юнит 18'!AI15</f>
        <v>15309</v>
      </c>
      <c r="AJ15" s="89">
        <f>'Юнит 14'!AJ15+'Юнит 15'!AJ15+'Юнит 16'!AJ15+'Юнит 17'!AJ15+'Юнит 18'!AJ15</f>
        <v>2937</v>
      </c>
      <c r="AK15" s="89">
        <f>'Юнит 14'!AK15+'Юнит 15'!AK15+'Юнит 16'!AK15+'Юнит 17'!AK15+'Юнит 18'!AK15</f>
        <v>0</v>
      </c>
      <c r="AL15" s="89">
        <f>'Юнит 14'!AL15+'Юнит 15'!AL15+'Юнит 16'!AL15+'Юнит 17'!AL15+'Юнит 18'!AL15</f>
        <v>1607.9083538201476</v>
      </c>
      <c r="AM15" s="89">
        <f>'Юнит 14'!AM15+'Юнит 15'!AM15+'Юнит 16'!AM15+'Юнит 17'!AM15+'Юнит 18'!AM15</f>
        <v>30</v>
      </c>
      <c r="AN15" s="94">
        <f t="shared" si="21"/>
        <v>12348.750914</v>
      </c>
      <c r="AO15" s="95">
        <f t="shared" si="22"/>
        <v>109930.18073217981</v>
      </c>
      <c r="AP15" s="96"/>
      <c r="AQ15" s="97">
        <f t="shared" si="5"/>
        <v>1313.1026639344261</v>
      </c>
      <c r="AR15" s="98">
        <f t="shared" si="6"/>
        <v>123.09</v>
      </c>
      <c r="AS15" s="98">
        <f t="shared" si="7"/>
        <v>496.79520491803277</v>
      </c>
      <c r="AT15" s="98">
        <f t="shared" si="8"/>
        <v>102.54967479674794</v>
      </c>
      <c r="AU15" s="98">
        <f t="shared" si="23"/>
        <v>81.304878048780495</v>
      </c>
      <c r="AV15" s="98">
        <f t="array" ref="AV15">_xlfn.IFS(U15=0,AO15,U15&lt;0,AO15/-U15,U15&gt;0,AO15/U15)</f>
        <v>450.53352759090086</v>
      </c>
      <c r="AW15" s="234">
        <f t="shared" si="30"/>
        <v>0.34310609517840385</v>
      </c>
      <c r="AX15" s="234">
        <f t="shared" si="31"/>
        <v>3.6601960158493854</v>
      </c>
      <c r="AY15" s="99"/>
      <c r="AZ15" s="94">
        <f t="shared" si="11"/>
        <v>2001269.9295587817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8"/>
        <v>2019</v>
      </c>
      <c r="F16" s="93">
        <f>'Юнит 18'!F16</f>
        <v>115</v>
      </c>
      <c r="G16" s="93">
        <f>'Юнит 18'!G16</f>
        <v>30</v>
      </c>
      <c r="H16" s="93">
        <f>'Юнит 18'!H16</f>
        <v>443</v>
      </c>
      <c r="I16" s="93">
        <f>'Юнит 18'!I16</f>
        <v>2</v>
      </c>
      <c r="J16" s="93">
        <f>'Юнит 18'!J16</f>
        <v>1429</v>
      </c>
      <c r="K16" s="92">
        <v>117.24</v>
      </c>
      <c r="L16" s="92">
        <f t="shared" si="32"/>
        <v>236707.56</v>
      </c>
      <c r="M16" s="89">
        <f>'Юнит 18'!M16</f>
        <v>35</v>
      </c>
      <c r="N16" s="89">
        <f>'Юнит 14'!N16+'Юнит 15'!N16+'Юнит 16'!N16+'Юнит 17'!N16+'Юнит 18'!N16</f>
        <v>1082</v>
      </c>
      <c r="O16" s="89">
        <v>1456</v>
      </c>
      <c r="P16" s="89">
        <v>69</v>
      </c>
      <c r="Q16" s="406">
        <f t="shared" si="12"/>
        <v>0.71811460258780035</v>
      </c>
      <c r="R16" s="92">
        <f t="shared" si="13"/>
        <v>111</v>
      </c>
      <c r="S16" s="89">
        <f>'Юнит 14'!S16+'Юнит 15'!S16+'Юнит 16'!S16+'Юнит 17'!S16+'Юнит 18'!S16</f>
        <v>787</v>
      </c>
      <c r="T16" s="89">
        <f>'Юнит 14'!T16+'Юнит 15'!T16+'Юнит 16'!T16+'Юнит 17'!T16+'Юнит 18'!T16</f>
        <v>-10</v>
      </c>
      <c r="U16" s="92">
        <f t="shared" si="14"/>
        <v>777</v>
      </c>
      <c r="V16" s="89">
        <f>'Юнит 14'!V16+'Юнит 15'!V16+'Юнит 16'!V16+'Юнит 17'!V16+'Юнит 18'!V16</f>
        <v>781654.56</v>
      </c>
      <c r="W16" s="89">
        <f>'Юнит 14'!W16+'Юнит 15'!W16+'Юнит 16'!W16+'Юнит 17'!W16+'Юнит 18'!W16</f>
        <v>-10009</v>
      </c>
      <c r="X16" s="92">
        <f t="shared" si="15"/>
        <v>771645.56</v>
      </c>
      <c r="Y16" s="89">
        <f>'Юнит 14'!Y16+'Юнит 15'!Y16+'Юнит 16'!Y16+'Юнит 17'!Y16+'Юнит 18'!Y16</f>
        <v>1159156.9100000001</v>
      </c>
      <c r="Z16" s="89">
        <f>'Юнит 14'!Z16+'Юнит 15'!Z16+'Юнит 16'!Z16+'Юнит 17'!Z16+'Юнит 18'!Z16</f>
        <v>-15017</v>
      </c>
      <c r="AA16" s="232">
        <f t="shared" si="16"/>
        <v>1144139.9100000001</v>
      </c>
      <c r="AB16" s="92">
        <f t="shared" si="17"/>
        <v>1087020.48</v>
      </c>
      <c r="AC16" s="234">
        <f t="shared" si="18"/>
        <v>7.5791837811702442E-2</v>
      </c>
      <c r="AD16" s="92">
        <f t="shared" si="19"/>
        <v>91095.48</v>
      </c>
      <c r="AE16" s="89">
        <f>'Юнит 14'!AE16+'Юнит 15'!AE16+'Юнит 16'!AE16+'Юнит 17'!AE16+'Юнит 18'!AE16</f>
        <v>432586.48000000027</v>
      </c>
      <c r="AF16" s="234">
        <f t="shared" si="20"/>
        <v>0.37808879510199084</v>
      </c>
      <c r="AG16" s="89">
        <f>'Юнит 14'!AG16+'Юнит 15'!AG16+'Юнит 16'!AG16+'Юнит 17'!AG16+'Юнит 18'!AG16</f>
        <v>75217.98000000001</v>
      </c>
      <c r="AH16" s="89">
        <f>'Юнит 14'!AH16+'Юнит 15'!AH16+'Юнит 16'!AH16+'Юнит 17'!AH16+'Юнит 18'!AH16</f>
        <v>2000</v>
      </c>
      <c r="AI16" s="89">
        <f>'Юнит 14'!AI16+'Юнит 15'!AI16+'Юнит 16'!AI16+'Юнит 17'!AI16+'Юнит 18'!AI16</f>
        <v>71465</v>
      </c>
      <c r="AJ16" s="89">
        <f>'Юнит 14'!AJ16+'Юнит 15'!AJ16+'Юнит 16'!AJ16+'Юнит 17'!AJ16+'Юнит 18'!AJ16</f>
        <v>21460</v>
      </c>
      <c r="AK16" s="89">
        <f>'Юнит 14'!AK16+'Юнит 15'!AK16+'Юнит 16'!AK16+'Юнит 17'!AK16+'Юнит 18'!AK16</f>
        <v>0</v>
      </c>
      <c r="AL16" s="89">
        <f>'Юнит 14'!AL16+'Юнит 15'!AL16+'Юнит 16'!AL16+'Юнит 17'!AL16+'Юнит 18'!AL16</f>
        <v>2640.0599895025953</v>
      </c>
      <c r="AM16" s="89">
        <f>'Юнит 14'!AM16+'Юнит 15'!AM16+'Юнит 16'!AM16+'Юнит 17'!AM16+'Юнит 18'!AM16</f>
        <v>1563</v>
      </c>
      <c r="AN16" s="94">
        <f t="shared" si="21"/>
        <v>44060.961476000004</v>
      </c>
      <c r="AO16" s="95">
        <f t="shared" si="22"/>
        <v>402050.94853449735</v>
      </c>
      <c r="AP16" s="96"/>
      <c r="AQ16" s="97">
        <f t="shared" si="5"/>
        <v>1472.509536679537</v>
      </c>
      <c r="AR16" s="98">
        <f t="shared" si="6"/>
        <v>117.24</v>
      </c>
      <c r="AS16" s="98">
        <f t="shared" si="7"/>
        <v>556.73935649935686</v>
      </c>
      <c r="AT16" s="98">
        <f t="shared" si="8"/>
        <v>95.575578144853893</v>
      </c>
      <c r="AU16" s="98">
        <f t="shared" si="23"/>
        <v>120.61626429479034</v>
      </c>
      <c r="AV16" s="98">
        <f t="array" ref="AV16">_xlfn.IFS(U16=0,AO16,U16&lt;0,AO16/-U16,U16&gt;0,AO16/U16)</f>
        <v>517.44008820398631</v>
      </c>
      <c r="AW16" s="234">
        <f t="shared" si="30"/>
        <v>0.35140016095977045</v>
      </c>
      <c r="AX16" s="234">
        <f t="shared" si="31"/>
        <v>4.4135114995222304</v>
      </c>
      <c r="AY16" s="99"/>
      <c r="AZ16" s="94">
        <f t="shared" si="11"/>
        <v>1044711.5380838483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8"/>
        <v>1459</v>
      </c>
      <c r="F17" s="93">
        <f>'Юнит 18'!F17</f>
        <v>20</v>
      </c>
      <c r="G17" s="93">
        <f>'Юнит 18'!G17</f>
        <v>12</v>
      </c>
      <c r="H17" s="93">
        <f>'Юнит 18'!H17</f>
        <v>73</v>
      </c>
      <c r="I17" s="93">
        <f>'Юнит 18'!I17</f>
        <v>1</v>
      </c>
      <c r="J17" s="93">
        <f>'Юнит 18'!J17</f>
        <v>1353</v>
      </c>
      <c r="K17" s="93">
        <v>123.09</v>
      </c>
      <c r="L17" s="92">
        <f t="shared" si="32"/>
        <v>179588.31</v>
      </c>
      <c r="M17" s="89">
        <f>'Юнит 18'!M17</f>
        <v>33</v>
      </c>
      <c r="N17" s="89">
        <f>'Юнит 14'!N17+'Юнит 15'!N17+'Юнит 16'!N17+'Юнит 17'!N17+'Юнит 18'!N17</f>
        <v>254</v>
      </c>
      <c r="O17" s="89">
        <v>1480</v>
      </c>
      <c r="P17" s="89">
        <v>50</v>
      </c>
      <c r="Q17" s="406">
        <f t="shared" si="12"/>
        <v>0.51574803149606296</v>
      </c>
      <c r="R17" s="92">
        <f t="shared" si="13"/>
        <v>18.714285714285715</v>
      </c>
      <c r="S17" s="89">
        <f>'Юнит 14'!S17+'Юнит 15'!S17+'Юнит 16'!S17+'Юнит 17'!S17+'Юнит 18'!S17</f>
        <v>137</v>
      </c>
      <c r="T17" s="89">
        <f>'Юнит 14'!T17+'Юнит 15'!T17+'Юнит 16'!T17+'Юнит 17'!T17+'Юнит 18'!T17</f>
        <v>-6</v>
      </c>
      <c r="U17" s="92">
        <f t="shared" si="14"/>
        <v>131</v>
      </c>
      <c r="V17" s="89">
        <f>'Юнит 14'!V17+'Юнит 15'!V17+'Юнит 16'!V17+'Юнит 17'!V17+'Юнит 18'!V17</f>
        <v>136437.38</v>
      </c>
      <c r="W17" s="89">
        <f>'Юнит 14'!W17+'Юнит 15'!W17+'Юнит 16'!W17+'Юнит 17'!W17+'Юнит 18'!W17</f>
        <v>-5829</v>
      </c>
      <c r="X17" s="92">
        <f t="shared" si="15"/>
        <v>130608.38</v>
      </c>
      <c r="Y17" s="89">
        <f>'Юнит 14'!Y17+'Юнит 15'!Y17+'Юнит 16'!Y17+'Юнит 17'!Y17+'Юнит 18'!Y17</f>
        <v>201860.52</v>
      </c>
      <c r="Z17" s="89">
        <f>'Юнит 14'!Z17+'Юнит 15'!Z17+'Юнит 16'!Z17+'Юнит 17'!Z17+'Юнит 18'!Z17</f>
        <v>-8880</v>
      </c>
      <c r="AA17" s="232">
        <f t="shared" si="16"/>
        <v>192980.52</v>
      </c>
      <c r="AB17" s="92">
        <f t="shared" si="17"/>
        <v>187960</v>
      </c>
      <c r="AC17" s="234">
        <f t="shared" si="18"/>
        <v>1.278370603526801E-2</v>
      </c>
      <c r="AD17" s="92">
        <f t="shared" si="19"/>
        <v>16124.79</v>
      </c>
      <c r="AE17" s="89">
        <f>'Юнит 14'!AE17+'Юнит 15'!AE17+'Юнит 16'!AE17+'Юнит 17'!AE17+'Юнит 18'!AE17</f>
        <v>73050.879999999976</v>
      </c>
      <c r="AF17" s="234">
        <f t="shared" si="20"/>
        <v>0.37854017597216538</v>
      </c>
      <c r="AG17" s="89">
        <f>'Юнит 14'!AG17+'Юнит 15'!AG17+'Юнит 16'!AG17+'Юнит 17'!AG17+'Юнит 18'!AG17</f>
        <v>18565.890000000003</v>
      </c>
      <c r="AH17" s="89">
        <f>'Юнит 14'!AH17+'Юнит 15'!AH17+'Юнит 16'!AH17+'Юнит 17'!AH17+'Юнит 18'!AH17</f>
        <v>6</v>
      </c>
      <c r="AI17" s="89">
        <f>'Юнит 14'!AI17+'Юнит 15'!AI17+'Юнит 16'!AI17+'Юнит 17'!AI17+'Юнит 18'!AI17</f>
        <v>15968</v>
      </c>
      <c r="AJ17" s="89">
        <f>'Юнит 14'!AJ17+'Юнит 15'!AJ17+'Юнит 16'!AJ17+'Юнит 17'!AJ17+'Юнит 18'!AJ17</f>
        <v>3223</v>
      </c>
      <c r="AK17" s="89">
        <f>'Юнит 14'!AK17+'Юнит 15'!AK17+'Юнит 16'!AK17+'Юнит 17'!AK17+'Юнит 18'!AK17</f>
        <v>0</v>
      </c>
      <c r="AL17" s="89">
        <f>'Юнит 14'!AL17+'Юнит 15'!AL17+'Юнит 16'!AL17+'Юнит 17'!AL17+'Юнит 18'!AL17</f>
        <v>376.82249949856981</v>
      </c>
      <c r="AM17" s="89">
        <f>'Юнит 14'!AM17+'Юнит 15'!AM17+'Юнит 16'!AM17+'Юнит 17'!AM17+'Юнит 18'!AM17</f>
        <v>0</v>
      </c>
      <c r="AN17" s="94">
        <f t="shared" si="21"/>
        <v>7457.7384979999997</v>
      </c>
      <c r="AO17" s="95">
        <f t="shared" si="22"/>
        <v>58207.399002501443</v>
      </c>
      <c r="AP17" s="96"/>
      <c r="AQ17" s="97">
        <f t="shared" si="5"/>
        <v>1473.1337404580152</v>
      </c>
      <c r="AR17" s="98">
        <f t="shared" si="6"/>
        <v>123.09</v>
      </c>
      <c r="AS17" s="98">
        <f t="shared" si="7"/>
        <v>557.64030534351127</v>
      </c>
      <c r="AT17" s="98">
        <f t="shared" si="8"/>
        <v>135.51744525547448</v>
      </c>
      <c r="AU17" s="98">
        <f t="shared" si="23"/>
        <v>140.12408759124088</v>
      </c>
      <c r="AV17" s="98">
        <f t="array" ref="AV17">_xlfn.IFS(U17=0,AO17,U17&lt;0,AO17/-U17,U17&gt;0,AO17/U17)</f>
        <v>444.33129009543086</v>
      </c>
      <c r="AW17" s="234">
        <f t="shared" si="30"/>
        <v>0.30162318457065745</v>
      </c>
      <c r="AX17" s="234">
        <f t="shared" si="31"/>
        <v>3.6098081899051984</v>
      </c>
      <c r="AY17" s="99"/>
      <c r="AZ17" s="94">
        <f t="shared" si="11"/>
        <v>648279.35224923363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8"/>
        <v>1384</v>
      </c>
      <c r="F18" s="93">
        <f>'Юнит 18'!F18</f>
        <v>28</v>
      </c>
      <c r="G18" s="93">
        <f>'Юнит 18'!G18</f>
        <v>10</v>
      </c>
      <c r="H18" s="93">
        <f>'Юнит 18'!H18</f>
        <v>385</v>
      </c>
      <c r="I18" s="93">
        <f>'Юнит 18'!I18</f>
        <v>2</v>
      </c>
      <c r="J18" s="93">
        <f>'Юнит 18'!J18</f>
        <v>959</v>
      </c>
      <c r="K18" s="93">
        <v>123.09</v>
      </c>
      <c r="L18" s="92">
        <f t="shared" si="32"/>
        <v>170356.56</v>
      </c>
      <c r="M18" s="89">
        <f>'Юнит 18'!M18</f>
        <v>386</v>
      </c>
      <c r="N18" s="89">
        <f>'Юнит 14'!N18+'Юнит 15'!N18+'Юнит 16'!N18+'Юнит 17'!N18+'Юнит 18'!N18</f>
        <v>300</v>
      </c>
      <c r="O18" s="89">
        <v>1750</v>
      </c>
      <c r="P18" s="89">
        <v>44</v>
      </c>
      <c r="Q18" s="406">
        <f t="shared" si="12"/>
        <v>0.44666666666666666</v>
      </c>
      <c r="R18" s="92">
        <f t="shared" si="13"/>
        <v>19.142857142857142</v>
      </c>
      <c r="S18" s="89">
        <f>'Юнит 14'!S18+'Юнит 15'!S18+'Юнит 16'!S18+'Юнит 17'!S18+'Юнит 18'!S18</f>
        <v>139</v>
      </c>
      <c r="T18" s="89">
        <f>'Юнит 14'!T18+'Юнит 15'!T18+'Юнит 16'!T18+'Юнит 17'!T18+'Юнит 18'!T18</f>
        <v>-5</v>
      </c>
      <c r="U18" s="92">
        <f t="shared" si="14"/>
        <v>134</v>
      </c>
      <c r="V18" s="89">
        <f>'Юнит 14'!V18+'Юнит 15'!V18+'Юнит 16'!V18+'Юнит 17'!V18+'Юнит 18'!V18</f>
        <v>163147.64000000001</v>
      </c>
      <c r="W18" s="89">
        <f>'Юнит 14'!W18+'Юнит 15'!W18+'Юнит 16'!W18+'Юнит 17'!W18+'Юнит 18'!W18</f>
        <v>-5933.54</v>
      </c>
      <c r="X18" s="92">
        <f t="shared" si="15"/>
        <v>157214.1</v>
      </c>
      <c r="Y18" s="89">
        <f>'Юнит 14'!Y18+'Юнит 15'!Y18+'Юнит 16'!Y18+'Юнит 17'!Y18+'Юнит 18'!Y18</f>
        <v>243727.95</v>
      </c>
      <c r="Z18" s="89">
        <f>'Юнит 14'!Z18+'Юнит 15'!Z18+'Юнит 16'!Z18+'Юнит 17'!Z18+'Юнит 18'!Z18</f>
        <v>-9046.17</v>
      </c>
      <c r="AA18" s="232">
        <f t="shared" si="16"/>
        <v>234681.78</v>
      </c>
      <c r="AB18" s="92">
        <f t="shared" si="17"/>
        <v>231000</v>
      </c>
      <c r="AC18" s="234">
        <f t="shared" si="18"/>
        <v>1.5546143659232752E-2</v>
      </c>
      <c r="AD18" s="92">
        <f t="shared" si="19"/>
        <v>16494.060000000001</v>
      </c>
      <c r="AE18" s="89">
        <f>'Юнит 14'!AE18+'Юнит 15'!AE18+'Юнит 16'!AE18+'Юнит 17'!AE18+'Юнит 18'!AE18</f>
        <v>88719.25999999998</v>
      </c>
      <c r="AF18" s="234">
        <f t="shared" si="20"/>
        <v>0.37804068130044005</v>
      </c>
      <c r="AG18" s="89">
        <f>'Юнит 14'!AG18+'Юнит 15'!AG18+'Юнит 16'!AG18+'Юнит 17'!AG18+'Юнит 18'!AG18</f>
        <v>25521.97</v>
      </c>
      <c r="AH18" s="89">
        <f>'Юнит 14'!AH18+'Юнит 15'!AH18+'Юнит 16'!AH18+'Юнит 17'!AH18+'Юнит 18'!AH18</f>
        <v>0</v>
      </c>
      <c r="AI18" s="89">
        <f>'Юнит 14'!AI18+'Юнит 15'!AI18+'Юнит 16'!AI18+'Юнит 17'!AI18+'Юнит 18'!AI18</f>
        <v>38329</v>
      </c>
      <c r="AJ18" s="89">
        <f>'Юнит 14'!AJ18+'Юнит 15'!AJ18+'Юнит 16'!AJ18+'Юнит 17'!AJ18+'Юнит 18'!AJ18</f>
        <v>4754</v>
      </c>
      <c r="AK18" s="89">
        <f>'Юнит 14'!AK18+'Юнит 15'!AK18+'Юнит 16'!AK18+'Юнит 17'!AK18+'Юнит 18'!AK18</f>
        <v>0</v>
      </c>
      <c r="AL18" s="89">
        <f>'Юнит 14'!AL18+'Юнит 15'!AL18+'Юнит 16'!AL18+'Юнит 17'!AL18+'Юнит 18'!AL18</f>
        <v>1816.1475570698806</v>
      </c>
      <c r="AM18" s="89">
        <f>'Юнит 14'!AM18+'Юнит 15'!AM18+'Юнит 16'!AM18+'Юнит 17'!AM18+'Юнит 18'!AM18</f>
        <v>30</v>
      </c>
      <c r="AN18" s="94">
        <f t="shared" si="21"/>
        <v>8976.9251100000001</v>
      </c>
      <c r="AO18" s="95">
        <f t="shared" si="22"/>
        <v>50040.417332930141</v>
      </c>
      <c r="AP18" s="96"/>
      <c r="AQ18" s="97">
        <f t="shared" si="5"/>
        <v>1751.3565671641791</v>
      </c>
      <c r="AR18" s="98">
        <f t="shared" si="6"/>
        <v>123.09</v>
      </c>
      <c r="AS18" s="98">
        <f t="shared" si="7"/>
        <v>662.08402985074611</v>
      </c>
      <c r="AT18" s="98">
        <f t="shared" si="8"/>
        <v>183.61129496402879</v>
      </c>
      <c r="AU18" s="98">
        <f t="shared" si="23"/>
        <v>309.9496402877698</v>
      </c>
      <c r="AV18" s="98">
        <f t="array" ref="AV18">_xlfn.IFS(U18=0,AO18,U18&lt;0,AO18/-U18,U18&gt;0,AO18/U18)</f>
        <v>373.43595024574734</v>
      </c>
      <c r="AW18" s="234">
        <f t="shared" si="30"/>
        <v>0.21322668224576335</v>
      </c>
      <c r="AX18" s="234">
        <f t="shared" si="31"/>
        <v>3.0338447497420371</v>
      </c>
      <c r="AY18" s="99"/>
      <c r="AZ18" s="94">
        <f t="shared" si="11"/>
        <v>516835.35514011432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8"/>
        <v>1</v>
      </c>
      <c r="F19" s="93">
        <f>'Юнит 18'!F19</f>
        <v>0</v>
      </c>
      <c r="G19" s="93">
        <f>'Юнит 18'!G19</f>
        <v>0</v>
      </c>
      <c r="H19" s="93">
        <f>'Юнит 18'!H19</f>
        <v>0</v>
      </c>
      <c r="I19" s="93">
        <f>'Юнит 18'!I19</f>
        <v>1</v>
      </c>
      <c r="J19" s="93">
        <f>'Юнит 18'!J19</f>
        <v>0</v>
      </c>
      <c r="K19" s="93">
        <v>123.09</v>
      </c>
      <c r="L19" s="92">
        <f t="shared" si="32"/>
        <v>123.09</v>
      </c>
      <c r="M19" s="89">
        <f>'Юнит 18'!M19</f>
        <v>0</v>
      </c>
      <c r="N19" s="89">
        <f>'Юнит 14'!N19+'Юнит 15'!N19+'Юнит 16'!N19+'Юнит 17'!N19+'Юнит 18'!N19</f>
        <v>0</v>
      </c>
      <c r="O19" s="89">
        <v>0</v>
      </c>
      <c r="P19" s="89">
        <v>0</v>
      </c>
      <c r="Q19" s="406"/>
      <c r="R19" s="92">
        <f t="shared" si="13"/>
        <v>0</v>
      </c>
      <c r="S19" s="89">
        <f>'Юнит 14'!S19+'Юнит 15'!S19+'Юнит 16'!S19+'Юнит 17'!S19+'Юнит 18'!S19</f>
        <v>0</v>
      </c>
      <c r="T19" s="89">
        <f>'Юнит 14'!T19+'Юнит 15'!T19+'Юнит 16'!T19+'Юнит 17'!T19+'Юнит 18'!T19</f>
        <v>0</v>
      </c>
      <c r="U19" s="92">
        <f t="shared" si="14"/>
        <v>0</v>
      </c>
      <c r="V19" s="89">
        <f>'Юнит 14'!V19+'Юнит 15'!V19+'Юнит 16'!V19+'Юнит 17'!V19+'Юнит 18'!V19</f>
        <v>0</v>
      </c>
      <c r="W19" s="89">
        <f>'Юнит 14'!W19+'Юнит 15'!W19+'Юнит 16'!W19+'Юнит 17'!W19+'Юнит 18'!W19</f>
        <v>0</v>
      </c>
      <c r="X19" s="92">
        <f t="shared" si="15"/>
        <v>0</v>
      </c>
      <c r="Y19" s="89">
        <f>'Юнит 14'!Y19+'Юнит 15'!Y19+'Юнит 16'!Y19+'Юнит 17'!Y19+'Юнит 18'!Y19</f>
        <v>0</v>
      </c>
      <c r="Z19" s="89">
        <f>'Юнит 14'!Z19+'Юнит 15'!Z19+'Юнит 16'!Z19+'Юнит 17'!Z19+'Юнит 18'!Z19</f>
        <v>0</v>
      </c>
      <c r="AA19" s="23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89">
        <f>'Юнит 14'!AE19+'Юнит 15'!AE19+'Юнит 16'!AE19+'Юнит 17'!AE19+'Юнит 18'!AE19</f>
        <v>0</v>
      </c>
      <c r="AF19" s="234">
        <f t="shared" si="20"/>
        <v>0</v>
      </c>
      <c r="AG19" s="89">
        <f>'Юнит 14'!AG19+'Юнит 15'!AG19+'Юнит 16'!AG19+'Юнит 17'!AG19+'Юнит 18'!AG19</f>
        <v>0</v>
      </c>
      <c r="AH19" s="89">
        <f>'Юнит 14'!AH19+'Юнит 15'!AH19+'Юнит 16'!AH19+'Юнит 17'!AH19+'Юнит 18'!AH19</f>
        <v>0</v>
      </c>
      <c r="AI19" s="89">
        <f>'Юнит 14'!AI19+'Юнит 15'!AI19+'Юнит 16'!AI19+'Юнит 17'!AI19+'Юнит 18'!AI19</f>
        <v>0</v>
      </c>
      <c r="AJ19" s="89">
        <f>'Юнит 14'!AJ19+'Юнит 15'!AJ19+'Юнит 16'!AJ19+'Юнит 17'!AJ19+'Юнит 18'!AJ19</f>
        <v>0</v>
      </c>
      <c r="AK19" s="89">
        <f>'Юнит 14'!AK19+'Юнит 15'!AK19+'Юнит 16'!AK19+'Юнит 17'!AK19+'Юнит 18'!AK19</f>
        <v>0</v>
      </c>
      <c r="AL19" s="89">
        <f>'Юнит 14'!AL19+'Юнит 15'!AL19+'Юнит 16'!AL19+'Юнит 17'!AL19+'Юнит 18'!AL19</f>
        <v>0</v>
      </c>
      <c r="AM19" s="89">
        <f>'Юнит 14'!AM19+'Юнит 15'!AM19+'Юнит 16'!AM19+'Юнит 17'!AM19+'Юнит 18'!AM19</f>
        <v>0</v>
      </c>
      <c r="AN19" s="94">
        <f t="shared" si="21"/>
        <v>0</v>
      </c>
      <c r="AO19" s="95">
        <f t="shared" si="22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0"/>
        <v>0</v>
      </c>
      <c r="AX19" s="234">
        <f t="shared" si="31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8"/>
        <v>294</v>
      </c>
      <c r="F20" s="93">
        <f>'Юнит 18'!F20</f>
        <v>6</v>
      </c>
      <c r="G20" s="93">
        <f>'Юнит 18'!G20</f>
        <v>1</v>
      </c>
      <c r="H20" s="93">
        <f>'Юнит 18'!H20</f>
        <v>145</v>
      </c>
      <c r="I20" s="93">
        <f>'Юнит 18'!I20</f>
        <v>1</v>
      </c>
      <c r="J20" s="93">
        <f>'Юнит 18'!J20</f>
        <v>141</v>
      </c>
      <c r="K20" s="93">
        <v>117.24</v>
      </c>
      <c r="L20" s="92">
        <f t="shared" si="32"/>
        <v>34468.559999999998</v>
      </c>
      <c r="M20" s="89">
        <f>'Юнит 18'!M20</f>
        <v>209</v>
      </c>
      <c r="N20" s="89">
        <f>'Юнит 14'!N20+'Юнит 15'!N20+'Юнит 16'!N20+'Юнит 17'!N20+'Юнит 18'!N20</f>
        <v>38</v>
      </c>
      <c r="O20" s="89">
        <v>1210</v>
      </c>
      <c r="P20" s="89">
        <v>63</v>
      </c>
      <c r="Q20" s="406">
        <f t="shared" ref="Q20:Q22" si="33">U20/N20</f>
        <v>0.65789473684210531</v>
      </c>
      <c r="R20" s="92">
        <f t="shared" si="13"/>
        <v>3.5714285714285716</v>
      </c>
      <c r="S20" s="89">
        <f>'Юнит 14'!S20+'Юнит 15'!S20+'Юнит 16'!S20+'Юнит 17'!S20+'Юнит 18'!S20</f>
        <v>26</v>
      </c>
      <c r="T20" s="89">
        <f>'Юнит 14'!T20+'Юнит 15'!T20+'Юнит 16'!T20+'Юнит 17'!T20+'Юнит 18'!T20</f>
        <v>-1</v>
      </c>
      <c r="U20" s="92">
        <f t="shared" si="14"/>
        <v>25</v>
      </c>
      <c r="V20" s="89">
        <f>'Юнит 14'!V20+'Юнит 15'!V20+'Юнит 16'!V20+'Юнит 17'!V20+'Юнит 18'!V20</f>
        <v>22093.95</v>
      </c>
      <c r="W20" s="89">
        <f>'Юнит 14'!W20+'Юнит 15'!W20+'Юнит 16'!W20+'Юнит 17'!W20+'Юнит 18'!W20</f>
        <v>-824</v>
      </c>
      <c r="X20" s="92">
        <f t="shared" si="15"/>
        <v>21269.95</v>
      </c>
      <c r="Y20" s="89">
        <f>'Юнит 14'!Y20+'Юнит 15'!Y20+'Юнит 16'!Y20+'Юнит 17'!Y20+'Юнит 18'!Y20</f>
        <v>32226.760000000002</v>
      </c>
      <c r="Z20" s="89">
        <f>'Юнит 14'!Z20+'Юнит 15'!Z20+'Юнит 16'!Z20+'Юнит 17'!Z20+'Юнит 18'!Z20</f>
        <v>-1201</v>
      </c>
      <c r="AA20" s="232">
        <f t="shared" si="16"/>
        <v>31025.760000000002</v>
      </c>
      <c r="AB20" s="92">
        <f t="shared" si="17"/>
        <v>28967.4</v>
      </c>
      <c r="AC20" s="234">
        <f t="shared" si="18"/>
        <v>2.0552550866832406E-3</v>
      </c>
      <c r="AD20" s="92">
        <f t="shared" si="19"/>
        <v>2931</v>
      </c>
      <c r="AE20" s="89">
        <f>'Юнит 14'!AE20+'Юнит 15'!AE20+'Юнит 16'!AE20+'Юнит 17'!AE20+'Юнит 18'!AE20</f>
        <v>11764.609999999999</v>
      </c>
      <c r="AF20" s="234">
        <f t="shared" si="20"/>
        <v>0.37918845501286669</v>
      </c>
      <c r="AG20" s="89">
        <f>'Юнит 14'!AG20+'Юнит 15'!AG20+'Юнит 16'!AG20+'Юнит 17'!AG20+'Юнит 18'!AG20</f>
        <v>2337.37</v>
      </c>
      <c r="AH20" s="89">
        <f>'Юнит 14'!AH20+'Юнит 15'!AH20+'Юнит 16'!AH20+'Юнит 17'!AH20+'Юнит 18'!AH20</f>
        <v>0</v>
      </c>
      <c r="AI20" s="89">
        <f>'Юнит 14'!AI20+'Юнит 15'!AI20+'Юнит 16'!AI20+'Юнит 17'!AI20+'Юнит 18'!AI20</f>
        <v>6767</v>
      </c>
      <c r="AJ20" s="89">
        <f>'Юнит 14'!AJ20+'Юнит 15'!AJ20+'Юнит 16'!AJ20+'Юнит 17'!AJ20+'Юнит 18'!AJ20</f>
        <v>0</v>
      </c>
      <c r="AK20" s="89">
        <f>'Юнит 14'!AK20+'Юнит 15'!AK20+'Юнит 16'!AK20+'Юнит 17'!AK20+'Юнит 18'!AK20</f>
        <v>0</v>
      </c>
      <c r="AL20" s="89">
        <f>'Юнит 14'!AL20+'Юнит 15'!AL20+'Юнит 16'!AL20+'Юнит 17'!AL20+'Юнит 18'!AL20</f>
        <v>668.99786767418846</v>
      </c>
      <c r="AM20" s="89">
        <f>'Юнит 14'!AM20+'Юнит 15'!AM20+'Юнит 16'!AM20+'Юнит 17'!AM20+'Юнит 18'!AM20</f>
        <v>0</v>
      </c>
      <c r="AN20" s="94">
        <f t="shared" si="21"/>
        <v>1214.5141450000001</v>
      </c>
      <c r="AO20" s="95">
        <f t="shared" si="22"/>
        <v>5342.2679873258139</v>
      </c>
      <c r="AP20" s="96"/>
      <c r="AQ20" s="97">
        <f t="shared" si="5"/>
        <v>1241.0304000000001</v>
      </c>
      <c r="AR20" s="98">
        <f>K20</f>
        <v>117.24</v>
      </c>
      <c r="AS20" s="98">
        <f t="shared" si="7"/>
        <v>470.58439999999996</v>
      </c>
      <c r="AT20" s="98">
        <f t="shared" si="8"/>
        <v>89.898846153846151</v>
      </c>
      <c r="AU20" s="98">
        <f t="shared" si="23"/>
        <v>260.26923076923077</v>
      </c>
      <c r="AV20" s="98">
        <f t="array" ref="AV20">_xlfn.IFS(U20=0,AO20,U20&lt;0,AO20/-U20,U20&gt;0,AO20/U20)</f>
        <v>213.69071949303256</v>
      </c>
      <c r="AW20" s="234">
        <f t="shared" si="30"/>
        <v>0.1721881426055579</v>
      </c>
      <c r="AX20" s="234">
        <f t="shared" si="31"/>
        <v>1.8226775801179851</v>
      </c>
      <c r="AY20" s="99"/>
      <c r="AZ20" s="94">
        <f t="shared" si="11"/>
        <v>62825.071530951573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8"/>
        <v>299</v>
      </c>
      <c r="F21" s="93">
        <f>'Юнит 18'!F21</f>
        <v>3</v>
      </c>
      <c r="G21" s="93" t="str">
        <f>'Юнит 18'!G21</f>
        <v/>
      </c>
      <c r="H21" s="93">
        <f>'Юнит 18'!H21</f>
        <v>148</v>
      </c>
      <c r="I21" s="93">
        <f>'Юнит 18'!I21</f>
        <v>1</v>
      </c>
      <c r="J21" s="93">
        <f>'Юнит 18'!J21</f>
        <v>147</v>
      </c>
      <c r="K21" s="93">
        <v>117.24</v>
      </c>
      <c r="L21" s="92">
        <f t="shared" si="32"/>
        <v>35054.76</v>
      </c>
      <c r="M21" s="89">
        <f>'Юнит 18'!M21</f>
        <v>503</v>
      </c>
      <c r="N21" s="89">
        <f>'Юнит 14'!N21+'Юнит 15'!N21+'Юнит 16'!N21+'Юнит 17'!N21+'Юнит 18'!N21</f>
        <v>40</v>
      </c>
      <c r="O21" s="89">
        <v>1212</v>
      </c>
      <c r="P21" s="89">
        <v>46</v>
      </c>
      <c r="Q21" s="406">
        <f t="shared" si="33"/>
        <v>0.55000000000000004</v>
      </c>
      <c r="R21" s="92">
        <f t="shared" si="13"/>
        <v>3.1428571428571428</v>
      </c>
      <c r="S21" s="89">
        <f>'Юнит 14'!S21+'Юнит 15'!S21+'Юнит 16'!S21+'Юнит 17'!S21+'Юнит 18'!S21</f>
        <v>24</v>
      </c>
      <c r="T21" s="89">
        <f>'Юнит 14'!T21+'Юнит 15'!T21+'Юнит 16'!T21+'Юнит 17'!T21+'Юнит 18'!T21</f>
        <v>-2</v>
      </c>
      <c r="U21" s="92">
        <f t="shared" si="14"/>
        <v>22</v>
      </c>
      <c r="V21" s="89">
        <f>'Юнит 14'!V21+'Юнит 15'!V21+'Юнит 16'!V21+'Юнит 17'!V21+'Юнит 18'!V21</f>
        <v>19836.559999999998</v>
      </c>
      <c r="W21" s="89">
        <f>'Юнит 14'!W21+'Юнит 15'!W21+'Юнит 16'!W21+'Юнит 17'!W21+'Юнит 18'!W21</f>
        <v>-1674</v>
      </c>
      <c r="X21" s="92">
        <f t="shared" si="15"/>
        <v>18162.559999999998</v>
      </c>
      <c r="Y21" s="89">
        <f>'Юнит 14'!Y21+'Юнит 15'!Y21+'Юнит 16'!Y21+'Юнит 17'!Y21+'Юнит 18'!Y21</f>
        <v>29247.510000000002</v>
      </c>
      <c r="Z21" s="89">
        <f>'Юнит 14'!Z21+'Юнит 15'!Z21+'Юнит 16'!Z21+'Юнит 17'!Z21+'Юнит 18'!Z21</f>
        <v>-2458</v>
      </c>
      <c r="AA21" s="232">
        <f t="shared" si="16"/>
        <v>26789.510000000002</v>
      </c>
      <c r="AB21" s="92">
        <f t="shared" si="17"/>
        <v>22300.799999999999</v>
      </c>
      <c r="AC21" s="234">
        <f t="shared" si="18"/>
        <v>1.7746310387642893E-3</v>
      </c>
      <c r="AD21" s="92">
        <f t="shared" si="19"/>
        <v>2579.2799999999997</v>
      </c>
      <c r="AE21" s="89">
        <f>'Юнит 14'!AE21+'Юнит 15'!AE21+'Юнит 16'!AE21+'Юнит 17'!AE21+'Юнит 18'!AE21</f>
        <v>10168.009999999998</v>
      </c>
      <c r="AF21" s="234">
        <f t="shared" si="20"/>
        <v>0.37955192162902562</v>
      </c>
      <c r="AG21" s="89">
        <f>'Юнит 14'!AG21+'Юнит 15'!AG21+'Юнит 16'!AG21+'Юнит 17'!AG21+'Юнит 18'!AG21</f>
        <v>2842.42</v>
      </c>
      <c r="AH21" s="89">
        <f>'Юнит 14'!AH21+'Юнит 15'!AH21+'Юнит 16'!AH21+'Юнит 17'!AH21+'Юнит 18'!AH21</f>
        <v>791</v>
      </c>
      <c r="AI21" s="89">
        <f>'Юнит 14'!AI21+'Юнит 15'!AI21+'Юнит 16'!AI21+'Юнит 17'!AI21+'Юнит 18'!AI21</f>
        <v>7907</v>
      </c>
      <c r="AJ21" s="89">
        <f>'Юнит 14'!AJ21+'Юнит 15'!AJ21+'Юнит 16'!AJ21+'Юнит 17'!AJ21+'Юнит 18'!AJ21</f>
        <v>0</v>
      </c>
      <c r="AK21" s="89">
        <f>'Юнит 14'!AK21+'Юнит 15'!AK21+'Юнит 16'!AK21+'Юнит 17'!AK21+'Юнит 18'!AK21</f>
        <v>0</v>
      </c>
      <c r="AL21" s="89">
        <f>'Юнит 14'!AL21+'Юнит 15'!AL21+'Юнит 16'!AL21+'Юнит 17'!AL21+'Юнит 18'!AL21</f>
        <v>649.96493328185488</v>
      </c>
      <c r="AM21" s="89">
        <f>'Юнит 14'!AM21+'Юнит 15'!AM21+'Юнит 16'!AM21+'Юнит 17'!AM21+'Юнит 18'!AM21</f>
        <v>0</v>
      </c>
      <c r="AN21" s="94">
        <f t="shared" si="21"/>
        <v>1037.0821759999999</v>
      </c>
      <c r="AO21" s="95">
        <f t="shared" si="22"/>
        <v>814.75289071814996</v>
      </c>
      <c r="AP21" s="96"/>
      <c r="AQ21" s="97">
        <f t="shared" si="5"/>
        <v>1217.7050000000002</v>
      </c>
      <c r="AR21" s="98">
        <f t="shared" ref="AR21:AR98" si="34">K21</f>
        <v>117.24</v>
      </c>
      <c r="AS21" s="98">
        <f t="shared" si="7"/>
        <v>462.18227272727268</v>
      </c>
      <c r="AT21" s="98">
        <f t="shared" si="8"/>
        <v>118.43416666666667</v>
      </c>
      <c r="AU21" s="98">
        <f t="shared" si="23"/>
        <v>362.41666666666669</v>
      </c>
      <c r="AV21" s="98">
        <f t="array" ref="AV21">_xlfn.IFS(U21=0,AO21,U21&lt;0,AO21/-U21,U21&gt;0,AO21/U21)</f>
        <v>37.034222305370456</v>
      </c>
      <c r="AW21" s="234">
        <f t="shared" si="30"/>
        <v>3.0413131509988423E-2</v>
      </c>
      <c r="AX21" s="234">
        <f t="shared" si="31"/>
        <v>0.31588384770872108</v>
      </c>
      <c r="AY21" s="99"/>
      <c r="AZ21" s="94">
        <f t="shared" si="11"/>
        <v>11073.232469305767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8"/>
        <v>288</v>
      </c>
      <c r="F22" s="93">
        <f>'Юнит 18'!F22</f>
        <v>3</v>
      </c>
      <c r="G22" s="93">
        <f>'Юнит 18'!G22</f>
        <v>1</v>
      </c>
      <c r="H22" s="93">
        <f>'Юнит 18'!H22</f>
        <v>136</v>
      </c>
      <c r="I22" s="93">
        <f>'Юнит 18'!I22</f>
        <v>1</v>
      </c>
      <c r="J22" s="93">
        <f>'Юнит 18'!J22</f>
        <v>147</v>
      </c>
      <c r="K22" s="93">
        <v>117.24</v>
      </c>
      <c r="L22" s="92">
        <f t="shared" si="32"/>
        <v>33765.119999999995</v>
      </c>
      <c r="M22" s="89">
        <f>'Юнит 18'!M22</f>
        <v>194</v>
      </c>
      <c r="N22" s="89">
        <f>'Юнит 14'!N22+'Юнит 15'!N22+'Юнит 16'!N22+'Юнит 17'!N22+'Юнит 18'!N22</f>
        <v>49</v>
      </c>
      <c r="O22" s="89">
        <v>1217</v>
      </c>
      <c r="P22" s="89">
        <v>64</v>
      </c>
      <c r="Q22" s="406">
        <f t="shared" si="33"/>
        <v>0.65306122448979587</v>
      </c>
      <c r="R22" s="92">
        <f t="shared" si="13"/>
        <v>4.5714285714285712</v>
      </c>
      <c r="S22" s="89">
        <f>'Юнит 14'!S22+'Юнит 15'!S22+'Юнит 16'!S22+'Юнит 17'!S22+'Юнит 18'!S22</f>
        <v>32</v>
      </c>
      <c r="T22" s="89">
        <f>'Юнит 14'!T22+'Юнит 15'!T22+'Юнит 16'!T22+'Юнит 17'!T22+'Юнит 18'!T22</f>
        <v>0</v>
      </c>
      <c r="U22" s="92">
        <f t="shared" si="14"/>
        <v>32</v>
      </c>
      <c r="V22" s="89">
        <f>'Юнит 14'!V22+'Юнит 15'!V22+'Юнит 16'!V22+'Юнит 17'!V22+'Юнит 18'!V22</f>
        <v>26381.57</v>
      </c>
      <c r="W22" s="89">
        <f>'Юнит 14'!W22+'Юнит 15'!W22+'Юнит 16'!W22+'Юнит 17'!W22+'Юнит 18'!W22</f>
        <v>0</v>
      </c>
      <c r="X22" s="92">
        <f t="shared" si="15"/>
        <v>26381.57</v>
      </c>
      <c r="Y22" s="89">
        <f>'Юнит 14'!Y22+'Юнит 15'!Y22+'Юнит 16'!Y22+'Юнит 17'!Y22+'Юнит 18'!Y22</f>
        <v>39313.009999999995</v>
      </c>
      <c r="Z22" s="89">
        <f>'Юнит 14'!Z22+'Юнит 15'!Z22+'Юнит 16'!Z22+'Юнит 17'!Z22+'Юнит 18'!Z22</f>
        <v>0</v>
      </c>
      <c r="AA22" s="232">
        <f t="shared" si="16"/>
        <v>39313.009999999995</v>
      </c>
      <c r="AB22" s="92">
        <f t="shared" si="17"/>
        <v>38165.120000000003</v>
      </c>
      <c r="AC22" s="234">
        <f t="shared" si="18"/>
        <v>2.6042315732258963E-3</v>
      </c>
      <c r="AD22" s="92">
        <f t="shared" si="19"/>
        <v>3751.68</v>
      </c>
      <c r="AE22" s="89">
        <f>'Юнит 14'!AE22+'Юнит 15'!AE22+'Юнит 16'!AE22+'Юнит 17'!AE22+'Юнит 18'!AE22</f>
        <v>14882.91</v>
      </c>
      <c r="AF22" s="234">
        <f t="shared" si="20"/>
        <v>0.37857467540643674</v>
      </c>
      <c r="AG22" s="89">
        <f>'Юнит 14'!AG22+'Юнит 15'!AG22+'Юнит 16'!AG22+'Юнит 17'!AG22+'Юнит 18'!AG22</f>
        <v>3052.62</v>
      </c>
      <c r="AH22" s="89">
        <f>'Юнит 14'!AH22+'Юнит 15'!AH22+'Юнит 16'!AH22+'Юнит 17'!AH22+'Юнит 18'!AH22</f>
        <v>0</v>
      </c>
      <c r="AI22" s="89">
        <f>'Юнит 14'!AI22+'Юнит 15'!AI22+'Юнит 16'!AI22+'Юнит 17'!AI22+'Юнит 18'!AI22</f>
        <v>7000</v>
      </c>
      <c r="AJ22" s="89">
        <f>'Юнит 14'!AJ22+'Юнит 15'!AJ22+'Юнит 16'!AJ22+'Юнит 17'!AJ22+'Юнит 18'!AJ22</f>
        <v>0</v>
      </c>
      <c r="AK22" s="89">
        <f>'Юнит 14'!AK22+'Юнит 15'!AK22+'Юнит 16'!AK22+'Юнит 17'!AK22+'Юнит 18'!AK22</f>
        <v>0</v>
      </c>
      <c r="AL22" s="89">
        <f>'Юнит 14'!AL22+'Юнит 15'!AL22+'Юнит 16'!AL22+'Юнит 17'!AL22+'Юнит 18'!AL22</f>
        <v>620.04937027518713</v>
      </c>
      <c r="AM22" s="89">
        <f>'Юнит 14'!AM22+'Юнит 15'!AM22+'Юнит 16'!AM22+'Юнит 17'!AM22+'Юнит 18'!AM22</f>
        <v>0</v>
      </c>
      <c r="AN22" s="94">
        <f t="shared" si="21"/>
        <v>1506.387647</v>
      </c>
      <c r="AO22" s="95">
        <f t="shared" si="22"/>
        <v>8499.3629827248096</v>
      </c>
      <c r="AP22" s="96"/>
      <c r="AQ22" s="97">
        <f t="shared" si="5"/>
        <v>1228.5315624999998</v>
      </c>
      <c r="AR22" s="98">
        <f t="shared" si="34"/>
        <v>117.24</v>
      </c>
      <c r="AS22" s="98">
        <f t="shared" si="7"/>
        <v>465.0909375</v>
      </c>
      <c r="AT22" s="98">
        <f t="shared" si="8"/>
        <v>95.394374999999997</v>
      </c>
      <c r="AU22" s="98">
        <f t="shared" si="23"/>
        <v>218.75</v>
      </c>
      <c r="AV22" s="98">
        <f t="array" ref="AV22">_xlfn.IFS(U22=0,AO22,U22&lt;0,AO22/-U22,U22&gt;0,AO22/U22)</f>
        <v>265.6050932101503</v>
      </c>
      <c r="AW22" s="234">
        <f t="shared" si="30"/>
        <v>0.216197207558638</v>
      </c>
      <c r="AX22" s="234">
        <f t="shared" si="31"/>
        <v>2.2654818595202175</v>
      </c>
      <c r="AY22" s="99"/>
      <c r="AZ22" s="94">
        <f t="shared" si="11"/>
        <v>76494.266844523285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8"/>
        <v>1</v>
      </c>
      <c r="F23" s="93">
        <f>'Юнит 18'!F23</f>
        <v>0</v>
      </c>
      <c r="G23" s="93">
        <f>'Юнит 18'!G23</f>
        <v>0</v>
      </c>
      <c r="H23" s="93">
        <f>'Юнит 18'!H23</f>
        <v>0</v>
      </c>
      <c r="I23" s="93">
        <f>'Юнит 18'!I23</f>
        <v>1</v>
      </c>
      <c r="J23" s="93">
        <f>'Юнит 18'!J23</f>
        <v>0</v>
      </c>
      <c r="K23" s="93">
        <v>117.24</v>
      </c>
      <c r="L23" s="92">
        <f t="shared" si="32"/>
        <v>117.24</v>
      </c>
      <c r="M23" s="89">
        <f>'Юнит 18'!M23</f>
        <v>999</v>
      </c>
      <c r="N23" s="89">
        <f>'Юнит 14'!N23+'Юнит 15'!N23+'Юнит 16'!N23+'Юнит 17'!N23+'Юнит 18'!N23</f>
        <v>0</v>
      </c>
      <c r="O23" s="89">
        <v>0</v>
      </c>
      <c r="P23" s="89">
        <v>0</v>
      </c>
      <c r="Q23" s="406"/>
      <c r="R23" s="92">
        <f t="shared" si="13"/>
        <v>0</v>
      </c>
      <c r="S23" s="89">
        <f>'Юнит 14'!S23+'Юнит 15'!S23+'Юнит 16'!S23+'Юнит 17'!S23+'Юнит 18'!S23</f>
        <v>0</v>
      </c>
      <c r="T23" s="89">
        <f>'Юнит 14'!T23+'Юнит 15'!T23+'Юнит 16'!T23+'Юнит 17'!T23+'Юнит 18'!T23</f>
        <v>0</v>
      </c>
      <c r="U23" s="92">
        <f t="shared" si="14"/>
        <v>0</v>
      </c>
      <c r="V23" s="89">
        <f>'Юнит 14'!V23+'Юнит 15'!V23+'Юнит 16'!V23+'Юнит 17'!V23+'Юнит 18'!V23</f>
        <v>0</v>
      </c>
      <c r="W23" s="89">
        <f>'Юнит 14'!W23+'Юнит 15'!W23+'Юнит 16'!W23+'Юнит 17'!W23+'Юнит 18'!W23</f>
        <v>0</v>
      </c>
      <c r="X23" s="92">
        <f t="shared" si="15"/>
        <v>0</v>
      </c>
      <c r="Y23" s="89">
        <f>'Юнит 14'!Y23+'Юнит 15'!Y23+'Юнит 16'!Y23+'Юнит 17'!Y23+'Юнит 18'!Y23</f>
        <v>0</v>
      </c>
      <c r="Z23" s="89">
        <f>'Юнит 14'!Z23+'Юнит 15'!Z23+'Юнит 16'!Z23+'Юнит 17'!Z23+'Юнит 18'!Z23</f>
        <v>0</v>
      </c>
      <c r="AA23" s="23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89">
        <f>'Юнит 14'!AE23+'Юнит 15'!AE23+'Юнит 16'!AE23+'Юнит 17'!AE23+'Юнит 18'!AE23</f>
        <v>0</v>
      </c>
      <c r="AF23" s="234">
        <f t="shared" si="20"/>
        <v>0</v>
      </c>
      <c r="AG23" s="89">
        <f>'Юнит 14'!AG23+'Юнит 15'!AG23+'Юнит 16'!AG23+'Юнит 17'!AG23+'Юнит 18'!AG23</f>
        <v>0</v>
      </c>
      <c r="AH23" s="89">
        <f>'Юнит 14'!AH23+'Юнит 15'!AH23+'Юнит 16'!AH23+'Юнит 17'!AH23+'Юнит 18'!AH23</f>
        <v>0</v>
      </c>
      <c r="AI23" s="89">
        <f>'Юнит 14'!AI23+'Юнит 15'!AI23+'Юнит 16'!AI23+'Юнит 17'!AI23+'Юнит 18'!AI23</f>
        <v>0</v>
      </c>
      <c r="AJ23" s="89">
        <f>'Юнит 14'!AJ23+'Юнит 15'!AJ23+'Юнит 16'!AJ23+'Юнит 17'!AJ23+'Юнит 18'!AJ23</f>
        <v>0</v>
      </c>
      <c r="AK23" s="89">
        <f>'Юнит 14'!AK23+'Юнит 15'!AK23+'Юнит 16'!AK23+'Юнит 17'!AK23+'Юнит 18'!AK23</f>
        <v>0</v>
      </c>
      <c r="AL23" s="89">
        <f>'Юнит 14'!AL23+'Юнит 15'!AL23+'Юнит 16'!AL23+'Юнит 17'!AL23+'Юнит 18'!AL23</f>
        <v>0</v>
      </c>
      <c r="AM23" s="89">
        <f>'Юнит 14'!AM23+'Юнит 15'!AM23+'Юнит 16'!AM23+'Юнит 17'!AM23+'Юнит 18'!AM23</f>
        <v>0</v>
      </c>
      <c r="AN23" s="94">
        <f t="shared" si="21"/>
        <v>0</v>
      </c>
      <c r="AO23" s="95">
        <f t="shared" si="22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0"/>
        <v>0</v>
      </c>
      <c r="AX23" s="234">
        <f t="shared" si="31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8"/>
        <v>26</v>
      </c>
      <c r="F24" s="93" t="str">
        <f>'Юнит 18'!F24</f>
        <v/>
      </c>
      <c r="G24" s="93" t="str">
        <f>'Юнит 18'!G24</f>
        <v/>
      </c>
      <c r="H24" s="93">
        <f>'Юнит 18'!H24</f>
        <v>25</v>
      </c>
      <c r="I24" s="93">
        <f>'Юнит 18'!I24</f>
        <v>1</v>
      </c>
      <c r="J24" s="93">
        <f>'Юнит 18'!J24</f>
        <v>0</v>
      </c>
      <c r="K24" s="93">
        <v>117.24</v>
      </c>
      <c r="L24" s="92">
        <f t="shared" si="32"/>
        <v>3048.24</v>
      </c>
      <c r="M24" s="89">
        <f>'Юнит 18'!M24</f>
        <v>304</v>
      </c>
      <c r="N24" s="89">
        <f>'Юнит 14'!N24+'Юнит 15'!N24+'Юнит 16'!N24+'Юнит 17'!N24+'Юнит 18'!N24</f>
        <v>3</v>
      </c>
      <c r="O24" s="89">
        <v>918</v>
      </c>
      <c r="P24" s="89">
        <v>67</v>
      </c>
      <c r="Q24" s="406">
        <f t="shared" ref="Q24" si="35">U24/N24</f>
        <v>0.66666666666666663</v>
      </c>
      <c r="R24" s="92">
        <f t="shared" si="13"/>
        <v>0.2857142857142857</v>
      </c>
      <c r="S24" s="89">
        <f>'Юнит 14'!S24+'Юнит 15'!S24+'Юнит 16'!S24+'Юнит 17'!S24+'Юнит 18'!S24</f>
        <v>2</v>
      </c>
      <c r="T24" s="89">
        <f>'Юнит 14'!T24+'Юнит 15'!T24+'Юнит 16'!T24+'Юнит 17'!T24+'Юнит 18'!T24</f>
        <v>0</v>
      </c>
      <c r="U24" s="92">
        <f t="shared" si="14"/>
        <v>2</v>
      </c>
      <c r="V24" s="89">
        <f>'Юнит 14'!V24+'Юнит 15'!V24+'Юнит 16'!V24+'Юнит 17'!V24+'Юнит 18'!V24</f>
        <v>1371.21</v>
      </c>
      <c r="W24" s="89">
        <f>'Юнит 14'!W24+'Юнит 15'!W24+'Юнит 16'!W24+'Юнит 17'!W24+'Юнит 18'!W24</f>
        <v>0</v>
      </c>
      <c r="X24" s="92">
        <f t="shared" si="15"/>
        <v>1371.21</v>
      </c>
      <c r="Y24" s="89">
        <f>'Юнит 14'!Y24+'Юнит 15'!Y24+'Юнит 16'!Y24+'Юнит 17'!Y24+'Юнит 18'!Y24</f>
        <v>1835.76</v>
      </c>
      <c r="Z24" s="89">
        <f>'Юнит 14'!Z24+'Юнит 15'!Z24+'Юнит 16'!Z24+'Юнит 17'!Z24+'Юнит 18'!Z24</f>
        <v>0</v>
      </c>
      <c r="AA24" s="232">
        <f t="shared" si="16"/>
        <v>1835.76</v>
      </c>
      <c r="AB24" s="92">
        <f t="shared" si="17"/>
        <v>1845.18</v>
      </c>
      <c r="AC24" s="234">
        <f t="shared" si="18"/>
        <v>1.2160717667930215E-4</v>
      </c>
      <c r="AD24" s="92">
        <f t="shared" si="19"/>
        <v>234.48</v>
      </c>
      <c r="AE24" s="89">
        <f>'Юнит 14'!AE24+'Юнит 15'!AE24+'Юнит 16'!AE24+'Юнит 17'!AE24+'Юнит 18'!AE24</f>
        <v>690.66000000000008</v>
      </c>
      <c r="AF24" s="234">
        <f t="shared" si="20"/>
        <v>0.3762256504118186</v>
      </c>
      <c r="AG24" s="89">
        <f>'Юнит 14'!AG24+'Юнит 15'!AG24+'Юнит 16'!AG24+'Юнит 17'!AG24+'Юнит 18'!AG24</f>
        <v>172.5</v>
      </c>
      <c r="AH24" s="89">
        <f>'Юнит 14'!AH24+'Юнит 15'!AH24+'Юнит 16'!AH24+'Юнит 17'!AH24+'Юнит 18'!AH24</f>
        <v>0</v>
      </c>
      <c r="AI24" s="89">
        <f>'Юнит 14'!AI24+'Юнит 15'!AI24+'Юнит 16'!AI24+'Юнит 17'!AI24+'Юнит 18'!AI24</f>
        <v>0</v>
      </c>
      <c r="AJ24" s="89">
        <f>'Юнит 14'!AJ24+'Юнит 15'!AJ24+'Юнит 16'!AJ24+'Юнит 17'!AJ24+'Юнит 18'!AJ24</f>
        <v>0</v>
      </c>
      <c r="AK24" s="89">
        <f>'Юнит 14'!AK24+'Юнит 15'!AK24+'Юнит 16'!AK24+'Юнит 17'!AK24+'Юнит 18'!AK24</f>
        <v>0</v>
      </c>
      <c r="AL24" s="89">
        <f>'Юнит 14'!AL24+'Юнит 15'!AL24+'Юнит 16'!AL24+'Юнит 17'!AL24+'Юнит 18'!AL24</f>
        <v>97.169640573710225</v>
      </c>
      <c r="AM24" s="89">
        <f>'Юнит 14'!AM24+'Юнит 15'!AM24+'Юнит 16'!AM24+'Юнит 17'!AM24+'Юнит 18'!AM24</f>
        <v>0</v>
      </c>
      <c r="AN24" s="94">
        <f t="shared" si="21"/>
        <v>78.296091000000004</v>
      </c>
      <c r="AO24" s="95">
        <f t="shared" si="22"/>
        <v>562.6542684262896</v>
      </c>
      <c r="AP24" s="96"/>
      <c r="AQ24" s="97">
        <f t="shared" si="5"/>
        <v>917.88</v>
      </c>
      <c r="AR24" s="98">
        <f t="shared" si="34"/>
        <v>117.24</v>
      </c>
      <c r="AS24" s="98">
        <f t="shared" si="7"/>
        <v>345.33000000000004</v>
      </c>
      <c r="AT24" s="98">
        <f t="shared" si="8"/>
        <v>86.25</v>
      </c>
      <c r="AU24" s="98">
        <f t="shared" si="23"/>
        <v>0</v>
      </c>
      <c r="AV24" s="98">
        <f t="array" ref="AV24">_xlfn.IFS(U24=0,AO24,U24&lt;0,AO24/-U24,U24&gt;0,AO24/U24)</f>
        <v>281.3271342131448</v>
      </c>
      <c r="AW24" s="234">
        <f t="shared" si="30"/>
        <v>0.30649663813695122</v>
      </c>
      <c r="AX24" s="234">
        <f t="shared" si="31"/>
        <v>2.3995831986791609</v>
      </c>
      <c r="AY24" s="99"/>
      <c r="AZ24" s="94">
        <f t="shared" si="11"/>
        <v>7314.5054895417652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8"/>
        <v>1</v>
      </c>
      <c r="F25" s="93">
        <f>'Юнит 18'!F25</f>
        <v>0</v>
      </c>
      <c r="G25" s="93">
        <f>'Юнит 18'!G25</f>
        <v>0</v>
      </c>
      <c r="H25" s="93">
        <f>'Юнит 18'!H25</f>
        <v>0</v>
      </c>
      <c r="I25" s="93">
        <f>'Юнит 18'!I25</f>
        <v>1</v>
      </c>
      <c r="J25" s="93">
        <f>'Юнит 18'!J25</f>
        <v>0</v>
      </c>
      <c r="K25" s="93">
        <v>117.24</v>
      </c>
      <c r="L25" s="92">
        <f t="shared" si="32"/>
        <v>117.24</v>
      </c>
      <c r="M25" s="89">
        <f>'Юнит 18'!M25</f>
        <v>1</v>
      </c>
      <c r="N25" s="89">
        <f>'Юнит 14'!N25+'Юнит 15'!N25+'Юнит 16'!N25+'Юнит 17'!N25+'Юнит 18'!N25</f>
        <v>0</v>
      </c>
      <c r="O25" s="89">
        <v>0</v>
      </c>
      <c r="P25" s="89">
        <v>0</v>
      </c>
      <c r="Q25" s="406"/>
      <c r="R25" s="92">
        <f t="shared" si="13"/>
        <v>0</v>
      </c>
      <c r="S25" s="89">
        <f>'Юнит 14'!S25+'Юнит 15'!S25+'Юнит 16'!S25+'Юнит 17'!S25+'Юнит 18'!S25</f>
        <v>0</v>
      </c>
      <c r="T25" s="89">
        <f>'Юнит 14'!T25+'Юнит 15'!T25+'Юнит 16'!T25+'Юнит 17'!T25+'Юнит 18'!T25</f>
        <v>0</v>
      </c>
      <c r="U25" s="92">
        <f t="shared" si="14"/>
        <v>0</v>
      </c>
      <c r="V25" s="89">
        <f>'Юнит 14'!V25+'Юнит 15'!V25+'Юнит 16'!V25+'Юнит 17'!V25+'Юнит 18'!V25</f>
        <v>0</v>
      </c>
      <c r="W25" s="89">
        <f>'Юнит 14'!W25+'Юнит 15'!W25+'Юнит 16'!W25+'Юнит 17'!W25+'Юнит 18'!W25</f>
        <v>0</v>
      </c>
      <c r="X25" s="92">
        <f t="shared" si="15"/>
        <v>0</v>
      </c>
      <c r="Y25" s="89">
        <f>'Юнит 14'!Y25+'Юнит 15'!Y25+'Юнит 16'!Y25+'Юнит 17'!Y25+'Юнит 18'!Y25</f>
        <v>0</v>
      </c>
      <c r="Z25" s="89">
        <f>'Юнит 14'!Z25+'Юнит 15'!Z25+'Юнит 16'!Z25+'Юнит 17'!Z25+'Юнит 18'!Z25</f>
        <v>0</v>
      </c>
      <c r="AA25" s="23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89">
        <f>'Юнит 14'!AE25+'Юнит 15'!AE25+'Юнит 16'!AE25+'Юнит 17'!AE25+'Юнит 18'!AE25</f>
        <v>0</v>
      </c>
      <c r="AF25" s="234">
        <f t="shared" si="20"/>
        <v>0</v>
      </c>
      <c r="AG25" s="89">
        <f>'Юнит 14'!AG25+'Юнит 15'!AG25+'Юнит 16'!AG25+'Юнит 17'!AG25+'Юнит 18'!AG25</f>
        <v>0</v>
      </c>
      <c r="AH25" s="89">
        <f>'Юнит 14'!AH25+'Юнит 15'!AH25+'Юнит 16'!AH25+'Юнит 17'!AH25+'Юнит 18'!AH25</f>
        <v>0</v>
      </c>
      <c r="AI25" s="89">
        <f>'Юнит 14'!AI25+'Юнит 15'!AI25+'Юнит 16'!AI25+'Юнит 17'!AI25+'Юнит 18'!AI25</f>
        <v>0</v>
      </c>
      <c r="AJ25" s="89">
        <f>'Юнит 14'!AJ25+'Юнит 15'!AJ25+'Юнит 16'!AJ25+'Юнит 17'!AJ25+'Юнит 18'!AJ25</f>
        <v>0</v>
      </c>
      <c r="AK25" s="89">
        <f>'Юнит 14'!AK25+'Юнит 15'!AK25+'Юнит 16'!AK25+'Юнит 17'!AK25+'Юнит 18'!AK25</f>
        <v>0</v>
      </c>
      <c r="AL25" s="89">
        <f>'Юнит 14'!AL25+'Юнит 15'!AL25+'Юнит 16'!AL25+'Юнит 17'!AL25+'Юнит 18'!AL25</f>
        <v>0</v>
      </c>
      <c r="AM25" s="89">
        <f>'Юнит 14'!AM25+'Юнит 15'!AM25+'Юнит 16'!AM25+'Юнит 17'!AM25+'Юнит 18'!AM25</f>
        <v>0</v>
      </c>
      <c r="AN25" s="94">
        <f t="shared" si="21"/>
        <v>0</v>
      </c>
      <c r="AO25" s="95">
        <f t="shared" si="22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0"/>
        <v>0</v>
      </c>
      <c r="AX25" s="234">
        <f t="shared" si="31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8"/>
        <v>752</v>
      </c>
      <c r="F26" s="93">
        <f>'Юнит 18'!F26</f>
        <v>7</v>
      </c>
      <c r="G26" s="93" t="str">
        <f>'Юнит 18'!G26</f>
        <v/>
      </c>
      <c r="H26" s="93">
        <f>'Юнит 18'!H26</f>
        <v>357</v>
      </c>
      <c r="I26" s="93">
        <f>'Юнит 18'!I26</f>
        <v>376</v>
      </c>
      <c r="J26" s="93">
        <f>'Юнит 18'!J26</f>
        <v>12</v>
      </c>
      <c r="K26" s="93">
        <v>123.09</v>
      </c>
      <c r="L26" s="92">
        <f t="shared" si="32"/>
        <v>92563.680000000008</v>
      </c>
      <c r="M26" s="89">
        <f>'Юнит 18'!M26</f>
        <v>999</v>
      </c>
      <c r="N26" s="89">
        <f>'Юнит 14'!N26+'Юнит 15'!N26+'Юнит 16'!N26+'Юнит 17'!N26+'Юнит 18'!N26</f>
        <v>83</v>
      </c>
      <c r="O26" s="89">
        <v>1240</v>
      </c>
      <c r="P26" s="89">
        <v>29</v>
      </c>
      <c r="Q26" s="406">
        <f t="shared" ref="Q26:Q28" si="36">U26/N26</f>
        <v>0.39759036144578314</v>
      </c>
      <c r="R26" s="92">
        <f t="shared" si="13"/>
        <v>4.7142857142857144</v>
      </c>
      <c r="S26" s="89">
        <f>'Юнит 14'!S26+'Юнит 15'!S26+'Юнит 16'!S26+'Юнит 17'!S26+'Юнит 18'!S26</f>
        <v>33</v>
      </c>
      <c r="T26" s="89">
        <f>'Юнит 14'!T26+'Юнит 15'!T26+'Юнит 16'!T26+'Юнит 17'!T26+'Юнит 18'!T26</f>
        <v>0</v>
      </c>
      <c r="U26" s="92">
        <f t="shared" si="14"/>
        <v>33</v>
      </c>
      <c r="V26" s="89">
        <f>'Юнит 14'!V26+'Юнит 15'!V26+'Юнит 16'!V26+'Юнит 17'!V26+'Юнит 18'!V26</f>
        <v>26465.96</v>
      </c>
      <c r="W26" s="89">
        <f>'Юнит 14'!W26+'Юнит 15'!W26+'Юнит 16'!W26+'Юнит 17'!W26+'Юнит 18'!W26</f>
        <v>0</v>
      </c>
      <c r="X26" s="92">
        <f t="shared" si="15"/>
        <v>26465.96</v>
      </c>
      <c r="Y26" s="89">
        <f>'Юнит 14'!Y26+'Юнит 15'!Y26+'Юнит 16'!Y26+'Юнит 17'!Y26+'Юнит 18'!Y26</f>
        <v>39680.44</v>
      </c>
      <c r="Z26" s="89">
        <f>'Юнит 14'!Z26+'Юнит 15'!Z26+'Юнит 16'!Z26+'Юнит 17'!Z26+'Юнит 18'!Z26</f>
        <v>0</v>
      </c>
      <c r="AA26" s="232">
        <f t="shared" si="16"/>
        <v>39680.44</v>
      </c>
      <c r="AB26" s="92">
        <f t="shared" si="17"/>
        <v>29846.799999999999</v>
      </c>
      <c r="AC26" s="234">
        <f t="shared" si="18"/>
        <v>2.6285714242561382E-3</v>
      </c>
      <c r="AD26" s="92">
        <f t="shared" si="19"/>
        <v>4061.9700000000003</v>
      </c>
      <c r="AE26" s="89">
        <f>'Юнит 14'!AE26+'Юнит 15'!AE26+'Юнит 16'!AE26+'Юнит 17'!AE26+'Юнит 18'!AE26</f>
        <v>14625.25</v>
      </c>
      <c r="AF26" s="234">
        <f t="shared" si="20"/>
        <v>0.3685758020828398</v>
      </c>
      <c r="AG26" s="89">
        <f>'Юнит 14'!AG26+'Юнит 15'!AG26+'Юнит 16'!AG26+'Юнит 17'!AG26+'Юнит 18'!AG26</f>
        <v>9230.6299999999992</v>
      </c>
      <c r="AH26" s="89">
        <f>'Юнит 14'!AH26+'Юнит 15'!AH26+'Юнит 16'!AH26+'Юнит 17'!AH26+'Юнит 18'!AH26</f>
        <v>869</v>
      </c>
      <c r="AI26" s="89">
        <f>'Юнит 14'!AI26+'Юнит 15'!AI26+'Юнит 16'!AI26+'Юнит 17'!AI26+'Юнит 18'!AI26</f>
        <v>2069</v>
      </c>
      <c r="AJ26" s="89">
        <f>'Юнит 14'!AJ26+'Юнит 15'!AJ26+'Юнит 16'!AJ26+'Юнит 17'!AJ26+'Юнит 18'!AJ26</f>
        <v>0</v>
      </c>
      <c r="AK26" s="89">
        <f>'Юнит 14'!AK26+'Юнит 15'!AK26+'Юнит 16'!AK26+'Юнит 17'!AK26+'Юнит 18'!AK26</f>
        <v>0</v>
      </c>
      <c r="AL26" s="89">
        <f>'Юнит 14'!AL26+'Юнит 15'!AL26+'Юнит 16'!AL26+'Юнит 17'!AL26+'Юнит 18'!AL26</f>
        <v>1712.2802825392489</v>
      </c>
      <c r="AM26" s="89">
        <f>'Юнит 14'!AM26+'Юнит 15'!AM26+'Юнит 16'!AM26+'Юнит 17'!AM26+'Юнит 18'!AM26</f>
        <v>0</v>
      </c>
      <c r="AN26" s="94">
        <f t="shared" si="21"/>
        <v>1511.2063159999998</v>
      </c>
      <c r="AO26" s="95">
        <f t="shared" si="22"/>
        <v>5601.103401460753</v>
      </c>
      <c r="AP26" s="96"/>
      <c r="AQ26" s="97">
        <f t="shared" si="5"/>
        <v>1202.4375757575758</v>
      </c>
      <c r="AR26" s="98">
        <f t="shared" si="34"/>
        <v>123.09</v>
      </c>
      <c r="AS26" s="98">
        <f t="shared" si="7"/>
        <v>443.18939393939394</v>
      </c>
      <c r="AT26" s="98">
        <f t="shared" si="8"/>
        <v>279.71606060606058</v>
      </c>
      <c r="AU26" s="98">
        <f t="shared" si="23"/>
        <v>89.030303030303031</v>
      </c>
      <c r="AV26" s="98">
        <f t="array" ref="AV26">_xlfn.IFS(U26=0,AO26,U26&lt;0,AO26/-U26,U26&gt;0,AO26/U26)</f>
        <v>169.73040610487129</v>
      </c>
      <c r="AW26" s="234">
        <f t="shared" si="30"/>
        <v>0.14115527452469662</v>
      </c>
      <c r="AX26" s="234">
        <f t="shared" si="31"/>
        <v>1.3789130400915695</v>
      </c>
      <c r="AY26" s="99"/>
      <c r="AZ26" s="94">
        <f t="shared" si="11"/>
        <v>127637.26539086321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8"/>
        <v>701</v>
      </c>
      <c r="F27" s="93">
        <f>'Юнит 18'!F27</f>
        <v>3</v>
      </c>
      <c r="G27" s="93" t="str">
        <f>'Юнит 18'!G27</f>
        <v/>
      </c>
      <c r="H27" s="93" t="str">
        <f>'Юнит 18'!H27</f>
        <v/>
      </c>
      <c r="I27" s="93">
        <f>'Юнит 18'!I27</f>
        <v>320</v>
      </c>
      <c r="J27" s="93">
        <f>'Юнит 18'!J27</f>
        <v>378</v>
      </c>
      <c r="K27" s="93">
        <v>181.59</v>
      </c>
      <c r="L27" s="92">
        <f t="shared" si="32"/>
        <v>127294.59</v>
      </c>
      <c r="M27" s="89">
        <f>'Юнит 18'!M27</f>
        <v>15</v>
      </c>
      <c r="N27" s="89">
        <f>'Юнит 14'!N27+'Юнит 15'!N27+'Юнит 16'!N27+'Юнит 17'!N27+'Юнит 18'!N27</f>
        <v>12</v>
      </c>
      <c r="O27" s="89">
        <v>478</v>
      </c>
      <c r="P27" s="89">
        <v>44</v>
      </c>
      <c r="Q27" s="406">
        <f t="shared" si="36"/>
        <v>0.66666666666666663</v>
      </c>
      <c r="R27" s="92">
        <f t="shared" si="13"/>
        <v>1.1428571428571428</v>
      </c>
      <c r="S27" s="89">
        <f>'Юнит 14'!S27+'Юнит 15'!S27+'Юнит 16'!S27+'Юнит 17'!S27+'Юнит 18'!S27</f>
        <v>8</v>
      </c>
      <c r="T27" s="89">
        <f>'Юнит 14'!T27+'Юнит 15'!T27+'Юнит 16'!T27+'Юнит 17'!T27+'Юнит 18'!T27</f>
        <v>0</v>
      </c>
      <c r="U27" s="92">
        <f t="shared" si="14"/>
        <v>8</v>
      </c>
      <c r="V27" s="89">
        <f>'Юнит 14'!V27+'Юнит 15'!V27+'Юнит 16'!V27+'Юнит 17'!V27+'Юнит 18'!V27</f>
        <v>2191.0200000000004</v>
      </c>
      <c r="W27" s="89">
        <f>'Юнит 14'!W27+'Юнит 15'!W27+'Юнит 16'!W27+'Юнит 17'!W27+'Юнит 18'!W27</f>
        <v>0</v>
      </c>
      <c r="X27" s="92">
        <f t="shared" si="15"/>
        <v>2191.0200000000004</v>
      </c>
      <c r="Y27" s="89">
        <f>'Юнит 14'!Y27+'Юнит 15'!Y27+'Юнит 16'!Y27+'Юнит 17'!Y27+'Юнит 18'!Y27</f>
        <v>3346.95</v>
      </c>
      <c r="Z27" s="89">
        <f>'Юнит 14'!Z27+'Юнит 15'!Z27+'Юнит 16'!Z27+'Юнит 17'!Z27+'Юнит 18'!Z27</f>
        <v>0</v>
      </c>
      <c r="AA27" s="232">
        <f t="shared" si="16"/>
        <v>3346.95</v>
      </c>
      <c r="AB27" s="92">
        <f t="shared" si="17"/>
        <v>2523.84</v>
      </c>
      <c r="AC27" s="234">
        <f t="shared" si="18"/>
        <v>2.2171369895127374E-4</v>
      </c>
      <c r="AD27" s="92">
        <f t="shared" si="19"/>
        <v>1452.72</v>
      </c>
      <c r="AE27" s="89">
        <f>'Юнит 14'!AE27+'Юнит 15'!AE27+'Юнит 16'!AE27+'Юнит 17'!AE27+'Юнит 18'!AE27</f>
        <v>878.17000000000007</v>
      </c>
      <c r="AF27" s="234">
        <f t="shared" si="20"/>
        <v>0.26237918104542945</v>
      </c>
      <c r="AG27" s="89">
        <f>'Юнит 14'!AG27+'Юнит 15'!AG27+'Юнит 16'!AG27+'Юнит 17'!AG27+'Юнит 18'!AG27</f>
        <v>1170.74</v>
      </c>
      <c r="AH27" s="89">
        <f>'Юнит 14'!AH27+'Юнит 15'!AH27+'Юнит 16'!AH27+'Юнит 17'!AH27+'Юнит 18'!AH27</f>
        <v>0</v>
      </c>
      <c r="AI27" s="89">
        <f>'Юнит 14'!AI27+'Юнит 15'!AI27+'Юнит 16'!AI27+'Юнит 17'!AI27+'Юнит 18'!AI27</f>
        <v>0</v>
      </c>
      <c r="AJ27" s="89">
        <f>'Юнит 14'!AJ27+'Юнит 15'!AJ27+'Юнит 16'!AJ27+'Юнит 17'!AJ27+'Юнит 18'!AJ27</f>
        <v>0</v>
      </c>
      <c r="AK27" s="89">
        <f>'Юнит 14'!AK27+'Юнит 15'!AK27+'Юнит 16'!AK27+'Юнит 17'!AK27+'Юнит 18'!AK27</f>
        <v>0</v>
      </c>
      <c r="AL27" s="89">
        <f>'Юнит 14'!AL27+'Юнит 15'!AL27+'Юнит 16'!AL27+'Юнит 17'!AL27+'Юнит 18'!AL27</f>
        <v>2.7396857880996541</v>
      </c>
      <c r="AM27" s="89">
        <f>'Юнит 14'!AM27+'Юнит 15'!AM27+'Юнит 16'!AM27+'Юнит 17'!AM27+'Юнит 18'!AM27</f>
        <v>0</v>
      </c>
      <c r="AN27" s="94">
        <f t="shared" si="21"/>
        <v>125.10724200000001</v>
      </c>
      <c r="AO27" s="95">
        <f t="shared" si="22"/>
        <v>-282.52692778809995</v>
      </c>
      <c r="AP27" s="96"/>
      <c r="AQ27" s="97">
        <f t="shared" si="5"/>
        <v>418.36874999999998</v>
      </c>
      <c r="AR27" s="98">
        <f t="shared" si="34"/>
        <v>181.59</v>
      </c>
      <c r="AS27" s="98">
        <f t="shared" si="7"/>
        <v>109.77125000000001</v>
      </c>
      <c r="AT27" s="98">
        <f t="shared" si="8"/>
        <v>146.3425</v>
      </c>
      <c r="AU27" s="98">
        <f t="shared" si="23"/>
        <v>0</v>
      </c>
      <c r="AV27" s="98">
        <f t="array" ref="AV27">_xlfn.IFS(U27=0,AO27,U27&lt;0,AO27/-U27,U27&gt;0,AO27/U27)</f>
        <v>-35.315865973512494</v>
      </c>
      <c r="AW27" s="234">
        <f t="shared" si="30"/>
        <v>-8.44132502093249E-2</v>
      </c>
      <c r="AX27" s="234">
        <f t="shared" si="31"/>
        <v>-0.1944813369321686</v>
      </c>
      <c r="AY27" s="99"/>
      <c r="AZ27" s="94">
        <f t="shared" si="11"/>
        <v>-24756.422047432257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696</v>
      </c>
      <c r="F28" s="93">
        <f>'Юнит 18'!F28</f>
        <v>50</v>
      </c>
      <c r="G28" s="93">
        <f>'Юнит 18'!G28</f>
        <v>12</v>
      </c>
      <c r="H28" s="93">
        <f>'Юнит 18'!H28</f>
        <v>634</v>
      </c>
      <c r="I28" s="93">
        <f>'Юнит 18'!I28</f>
        <v>0</v>
      </c>
      <c r="J28" s="93">
        <f>'Юнит 18'!J28</f>
        <v>0</v>
      </c>
      <c r="K28" s="93">
        <v>133.62</v>
      </c>
      <c r="L28" s="92">
        <f t="shared" si="32"/>
        <v>92999.52</v>
      </c>
      <c r="M28" s="89">
        <f>'Юнит 18'!M28</f>
        <v>257</v>
      </c>
      <c r="N28" s="89">
        <f>'Юнит 14'!N28+'Юнит 15'!N28+'Юнит 16'!N28+'Юнит 17'!N28+'Юнит 18'!N28</f>
        <v>484</v>
      </c>
      <c r="O28" s="89">
        <v>1648</v>
      </c>
      <c r="P28" s="89">
        <v>37</v>
      </c>
      <c r="Q28" s="406">
        <f t="shared" si="36"/>
        <v>0.44008264462809915</v>
      </c>
      <c r="R28" s="92">
        <f t="shared" si="13"/>
        <v>30.428571428571427</v>
      </c>
      <c r="S28" s="89">
        <f>'Юнит 14'!S28+'Юнит 15'!S28+'Юнит 16'!S28+'Юнит 17'!S28+'Юнит 18'!S28</f>
        <v>221</v>
      </c>
      <c r="T28" s="89">
        <f>'Юнит 14'!T28+'Юнит 15'!T28+'Юнит 16'!T28+'Юнит 17'!T28+'Юнит 18'!T28</f>
        <v>-8</v>
      </c>
      <c r="U28" s="92">
        <f t="shared" si="14"/>
        <v>213</v>
      </c>
      <c r="V28" s="89">
        <f>'Юнит 14'!V28+'Юнит 15'!V28+'Юнит 16'!V28+'Юнит 17'!V28+'Юнит 18'!V28</f>
        <v>237597.33000000002</v>
      </c>
      <c r="W28" s="89">
        <f>'Юнит 14'!W28+'Юнит 15'!W28+'Юнит 16'!W28+'Юнит 17'!W28+'Юнит 18'!W28</f>
        <v>-8663</v>
      </c>
      <c r="X28" s="92">
        <f t="shared" si="15"/>
        <v>228934.33000000002</v>
      </c>
      <c r="Y28" s="89">
        <f>'Юнит 14'!Y28+'Юнит 15'!Y28+'Юнит 16'!Y28+'Юнит 17'!Y28+'Юнит 18'!Y28</f>
        <v>356644.13000000006</v>
      </c>
      <c r="Z28" s="89">
        <f>'Юнит 14'!Z28+'Юнит 15'!Z28+'Юнит 16'!Z28+'Юнит 17'!Z28+'Юнит 18'!Z28</f>
        <v>-13310</v>
      </c>
      <c r="AA28" s="232">
        <f t="shared" si="16"/>
        <v>343334.13000000006</v>
      </c>
      <c r="AB28" s="92">
        <f t="shared" si="17"/>
        <v>295123.84000000003</v>
      </c>
      <c r="AC28" s="234">
        <f t="shared" si="18"/>
        <v>2.274365614619803E-2</v>
      </c>
      <c r="AD28" s="92">
        <f t="shared" si="19"/>
        <v>28461.06</v>
      </c>
      <c r="AE28" s="89">
        <f>'Юнит 14'!AE28+'Юнит 15'!AE28+'Юнит 16'!AE28+'Юнит 17'!AE28+'Юнит 18'!AE28</f>
        <v>127856.03999999995</v>
      </c>
      <c r="AF28" s="234">
        <f t="shared" si="20"/>
        <v>0.37239536890783309</v>
      </c>
      <c r="AG28" s="89">
        <f>'Юнит 14'!AG28+'Юнит 15'!AG28+'Юнит 16'!AG28+'Юнит 17'!AG28+'Юнит 18'!AG28</f>
        <v>61029.289999999979</v>
      </c>
      <c r="AH28" s="89">
        <f>'Юнит 14'!AH28+'Юнит 15'!AH28+'Юнит 16'!AH28+'Юнит 17'!AH28+'Юнит 18'!AH28</f>
        <v>1152</v>
      </c>
      <c r="AI28" s="89">
        <f>'Юнит 14'!AI28+'Юнит 15'!AI28+'Юнит 16'!AI28+'Юнит 17'!AI28+'Юнит 18'!AI28</f>
        <v>33605</v>
      </c>
      <c r="AJ28" s="89">
        <f>'Юнит 14'!AJ28+'Юнит 15'!AJ28+'Юнит 16'!AJ28+'Юнит 17'!AJ28+'Юнит 18'!AJ28</f>
        <v>8767</v>
      </c>
      <c r="AK28" s="89">
        <f>'Юнит 14'!AK28+'Юнит 15'!AK28+'Юнит 16'!AK28+'Юнит 17'!AK28+'Юнит 18'!AK28</f>
        <v>0</v>
      </c>
      <c r="AL28" s="89">
        <f>'Юнит 14'!AL28+'Юнит 15'!AL28+'Юнит 16'!AL28+'Юнит 17'!AL28+'Юнит 18'!AL28</f>
        <v>3074.5272078535017</v>
      </c>
      <c r="AM28" s="89">
        <f>'Юнит 14'!AM28+'Юнит 15'!AM28+'Юнит 16'!AM28+'Юнит 17'!AM28+'Юнит 18'!AM28</f>
        <v>1340</v>
      </c>
      <c r="AN28" s="94">
        <f t="shared" si="21"/>
        <v>13072.150243</v>
      </c>
      <c r="AO28" s="95">
        <f t="shared" si="22"/>
        <v>64977.062549146634</v>
      </c>
      <c r="AP28" s="96"/>
      <c r="AQ28" s="97">
        <f t="shared" si="5"/>
        <v>1611.8973239436623</v>
      </c>
      <c r="AR28" s="98">
        <f t="shared" si="34"/>
        <v>133.62</v>
      </c>
      <c r="AS28" s="98">
        <f t="shared" si="7"/>
        <v>600.26309859154901</v>
      </c>
      <c r="AT28" s="98">
        <f t="shared" si="8"/>
        <v>276.15063348416282</v>
      </c>
      <c r="AU28" s="98">
        <f t="shared" si="23"/>
        <v>196.94117647058823</v>
      </c>
      <c r="AV28" s="98">
        <f>_xlfn.IFS(U28=0,AO28,U28&lt;0,AO28/-U28,U28&gt;0,AO28/U28)</f>
        <v>305.05663168613444</v>
      </c>
      <c r="AW28" s="234">
        <f t="shared" si="30"/>
        <v>0.18925314109944916</v>
      </c>
      <c r="AX28" s="234">
        <f t="shared" si="31"/>
        <v>2.2830162527026974</v>
      </c>
      <c r="AY28" s="99"/>
      <c r="AZ28" s="94">
        <f t="shared" si="11"/>
        <v>212319.41565354957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18'!F29</f>
        <v>0</v>
      </c>
      <c r="G29" s="93">
        <f>'Юнит 18'!G29</f>
        <v>0</v>
      </c>
      <c r="H29" s="93">
        <f>'Юнит 18'!H29</f>
        <v>0</v>
      </c>
      <c r="I29" s="93">
        <f>'Юнит 18'!I29</f>
        <v>640</v>
      </c>
      <c r="J29" s="93">
        <f>'Юнит 18'!J29</f>
        <v>357</v>
      </c>
      <c r="K29" s="93">
        <v>111.39</v>
      </c>
      <c r="L29" s="92">
        <f>E29*K29</f>
        <v>111055.83</v>
      </c>
      <c r="M29" s="89">
        <f>'Юнит 18'!M29</f>
        <v>1</v>
      </c>
      <c r="N29" s="89">
        <f>'Юнит 14'!N29+'Юнит 15'!N29+'Юнит 16'!N29+'Юнит 17'!N29+'Юнит 18'!N29</f>
        <v>0</v>
      </c>
      <c r="O29" s="89">
        <v>0</v>
      </c>
      <c r="P29" s="89">
        <v>0</v>
      </c>
      <c r="Q29" s="406"/>
      <c r="R29" s="92">
        <f t="shared" si="13"/>
        <v>0</v>
      </c>
      <c r="S29" s="89">
        <f>'Юнит 14'!S29+'Юнит 15'!S29+'Юнит 16'!S29+'Юнит 17'!S29+'Юнит 18'!S29</f>
        <v>0</v>
      </c>
      <c r="T29" s="89">
        <f>'Юнит 14'!T29+'Юнит 15'!T29+'Юнит 16'!T29+'Юнит 17'!T29+'Юнит 18'!T29</f>
        <v>0</v>
      </c>
      <c r="U29" s="92">
        <f t="shared" si="14"/>
        <v>0</v>
      </c>
      <c r="V29" s="89">
        <f>'Юнит 14'!V29+'Юнит 15'!V29+'Юнит 16'!V29+'Юнит 17'!V29+'Юнит 18'!V29</f>
        <v>0</v>
      </c>
      <c r="W29" s="89">
        <f>'Юнит 14'!W29+'Юнит 15'!W29+'Юнит 16'!W29+'Юнит 17'!W29+'Юнит 18'!W29</f>
        <v>0</v>
      </c>
      <c r="X29" s="92">
        <f t="shared" si="15"/>
        <v>0</v>
      </c>
      <c r="Y29" s="89">
        <f>'Юнит 14'!Y29+'Юнит 15'!Y29+'Юнит 16'!Y29+'Юнит 17'!Y29+'Юнит 18'!Y29</f>
        <v>0</v>
      </c>
      <c r="Z29" s="89">
        <f>'Юнит 14'!Z29+'Юнит 15'!Z29+'Юнит 16'!Z29+'Юнит 17'!Z29+'Юнит 18'!Z29</f>
        <v>0</v>
      </c>
      <c r="AA29" s="23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89">
        <f>'Юнит 14'!AE29+'Юнит 15'!AE29+'Юнит 16'!AE29+'Юнит 17'!AE29+'Юнит 18'!AE29</f>
        <v>0</v>
      </c>
      <c r="AF29" s="234">
        <f t="shared" si="20"/>
        <v>0</v>
      </c>
      <c r="AG29" s="89">
        <f>'Юнит 14'!AG29+'Юнит 15'!AG29+'Юнит 16'!AG29+'Юнит 17'!AG29+'Юнит 18'!AG29</f>
        <v>0</v>
      </c>
      <c r="AH29" s="89">
        <f>'Юнит 14'!AH29+'Юнит 15'!AH29+'Юнит 16'!AH29+'Юнит 17'!AH29+'Юнит 18'!AH29</f>
        <v>0</v>
      </c>
      <c r="AI29" s="89">
        <f>'Юнит 14'!AI29+'Юнит 15'!AI29+'Юнит 16'!AI29+'Юнит 17'!AI29+'Юнит 18'!AI29</f>
        <v>0</v>
      </c>
      <c r="AJ29" s="89">
        <f>'Юнит 14'!AJ29+'Юнит 15'!AJ29+'Юнит 16'!AJ29+'Юнит 17'!AJ29+'Юнит 18'!AJ29</f>
        <v>0</v>
      </c>
      <c r="AK29" s="89">
        <f>'Юнит 14'!AK29+'Юнит 15'!AK29+'Юнит 16'!AK29+'Юнит 17'!AK29+'Юнит 18'!AK29</f>
        <v>0</v>
      </c>
      <c r="AL29" s="89">
        <f>'Юнит 14'!AL29+'Юнит 15'!AL29+'Юнит 16'!AL29+'Юнит 17'!AL29+'Юнит 18'!AL29</f>
        <v>0</v>
      </c>
      <c r="AM29" s="89">
        <f>'Юнит 14'!AM29+'Юнит 15'!AM29+'Юнит 16'!AM29+'Юнит 17'!AM29+'Юнит 18'!AM29</f>
        <v>0</v>
      </c>
      <c r="AN29" s="94">
        <f t="shared" si="21"/>
        <v>0</v>
      </c>
      <c r="AO29" s="95">
        <f t="shared" si="22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18'!F30</f>
        <v>0</v>
      </c>
      <c r="G30" s="93">
        <f>'Юнит 18'!G30</f>
        <v>0</v>
      </c>
      <c r="H30" s="93">
        <f>'Юнит 18'!H30</f>
        <v>0</v>
      </c>
      <c r="I30" s="93">
        <f>'Юнит 18'!I30</f>
        <v>0</v>
      </c>
      <c r="J30" s="93">
        <f>'Юнит 18'!J30</f>
        <v>61</v>
      </c>
      <c r="K30" s="93">
        <v>111.39</v>
      </c>
      <c r="L30" s="92">
        <f>E30*K30</f>
        <v>6794.79</v>
      </c>
      <c r="M30" s="89">
        <f>'Юнит 18'!M30</f>
        <v>999</v>
      </c>
      <c r="N30" s="89">
        <f>'Юнит 14'!N30+'Юнит 15'!N30+'Юнит 16'!N30+'Юнит 17'!N30+'Юнит 18'!N30</f>
        <v>0</v>
      </c>
      <c r="O30" s="89">
        <v>0</v>
      </c>
      <c r="P30" s="89">
        <v>0</v>
      </c>
      <c r="Q30" s="406" t="e">
        <f t="shared" ref="Q30" si="38">U30/N30</f>
        <v>#DIV/0!</v>
      </c>
      <c r="R30" s="92">
        <f t="shared" si="13"/>
        <v>0</v>
      </c>
      <c r="S30" s="89">
        <f>'Юнит 14'!S30+'Юнит 15'!S30+'Юнит 16'!S30+'Юнит 17'!S30+'Юнит 18'!S30</f>
        <v>0</v>
      </c>
      <c r="T30" s="89">
        <f>'Юнит 14'!T30+'Юнит 15'!T30+'Юнит 16'!T30+'Юнит 17'!T30+'Юнит 18'!T30</f>
        <v>0</v>
      </c>
      <c r="U30" s="92">
        <f t="shared" si="14"/>
        <v>0</v>
      </c>
      <c r="V30" s="89">
        <f>'Юнит 14'!V30+'Юнит 15'!V30+'Юнит 16'!V30+'Юнит 17'!V30+'Юнит 18'!V30</f>
        <v>0</v>
      </c>
      <c r="W30" s="89">
        <f>'Юнит 14'!W30+'Юнит 15'!W30+'Юнит 16'!W30+'Юнит 17'!W30+'Юнит 18'!W30</f>
        <v>0</v>
      </c>
      <c r="X30" s="92">
        <f t="shared" si="15"/>
        <v>0</v>
      </c>
      <c r="Y30" s="89">
        <f>'Юнит 14'!Y30+'Юнит 15'!Y30+'Юнит 16'!Y30+'Юнит 17'!Y30+'Юнит 18'!Y30</f>
        <v>0</v>
      </c>
      <c r="Z30" s="89">
        <f>'Юнит 14'!Z30+'Юнит 15'!Z30+'Юнит 16'!Z30+'Юнит 17'!Z30+'Юнит 18'!Z30</f>
        <v>0</v>
      </c>
      <c r="AA30" s="23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89">
        <f>'Юнит 14'!AE30+'Юнит 15'!AE30+'Юнит 16'!AE30+'Юнит 17'!AE30+'Юнит 18'!AE30</f>
        <v>0</v>
      </c>
      <c r="AF30" s="234">
        <f t="shared" si="20"/>
        <v>0</v>
      </c>
      <c r="AG30" s="89">
        <f>'Юнит 14'!AG30+'Юнит 15'!AG30+'Юнит 16'!AG30+'Юнит 17'!AG30+'Юнит 18'!AG30</f>
        <v>0</v>
      </c>
      <c r="AH30" s="89">
        <f>'Юнит 14'!AH30+'Юнит 15'!AH30+'Юнит 16'!AH30+'Юнит 17'!AH30+'Юнит 18'!AH30</f>
        <v>0</v>
      </c>
      <c r="AI30" s="89">
        <f>'Юнит 14'!AI30+'Юнит 15'!AI30+'Юнит 16'!AI30+'Юнит 17'!AI30+'Юнит 18'!AI30</f>
        <v>0</v>
      </c>
      <c r="AJ30" s="89">
        <f>'Юнит 14'!AJ30+'Юнит 15'!AJ30+'Юнит 16'!AJ30+'Юнит 17'!AJ30+'Юнит 18'!AJ30</f>
        <v>0</v>
      </c>
      <c r="AK30" s="89">
        <f>'Юнит 14'!AK30+'Юнит 15'!AK30+'Юнит 16'!AK30+'Юнит 17'!AK30+'Юнит 18'!AK30</f>
        <v>0</v>
      </c>
      <c r="AL30" s="89">
        <f>'Юнит 14'!AL30+'Юнит 15'!AL30+'Юнит 16'!AL30+'Юнит 17'!AL30+'Юнит 18'!AL30</f>
        <v>0</v>
      </c>
      <c r="AM30" s="89">
        <f>'Юнит 14'!AM30+'Юнит 15'!AM30+'Юнит 16'!AM30+'Юнит 17'!AM30+'Юнит 18'!AM30</f>
        <v>0</v>
      </c>
      <c r="AN30" s="94">
        <f t="shared" si="21"/>
        <v>0</v>
      </c>
      <c r="AO30" s="95">
        <f t="shared" si="22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18'!F31</f>
        <v>0</v>
      </c>
      <c r="G31" s="93">
        <f>'Юнит 18'!G31</f>
        <v>0</v>
      </c>
      <c r="H31" s="93">
        <f>'Юнит 18'!H31</f>
        <v>0</v>
      </c>
      <c r="I31" s="93">
        <f>'Юнит 18'!I31</f>
        <v>0</v>
      </c>
      <c r="J31" s="93">
        <f>'Юнит 18'!J31</f>
        <v>0</v>
      </c>
      <c r="K31" s="93">
        <v>105.54</v>
      </c>
      <c r="L31" s="92">
        <f>E31*K31</f>
        <v>0</v>
      </c>
      <c r="M31" s="89">
        <f>'Юнит 18'!M31</f>
        <v>999</v>
      </c>
      <c r="N31" s="89">
        <f>'Юнит 14'!N31+'Юнит 15'!N31+'Юнит 16'!N31+'Юнит 17'!N31+'Юнит 18'!N31</f>
        <v>0</v>
      </c>
      <c r="O31" s="89">
        <v>0</v>
      </c>
      <c r="P31" s="89">
        <v>0</v>
      </c>
      <c r="Q31" s="406"/>
      <c r="R31" s="92">
        <f t="shared" si="13"/>
        <v>0.14285714285714285</v>
      </c>
      <c r="S31" s="89">
        <f>'Юнит 14'!S31+'Юнит 15'!S31+'Юнит 16'!S31+'Юнит 17'!S31+'Юнит 18'!S31</f>
        <v>1</v>
      </c>
      <c r="T31" s="89">
        <f>'Юнит 14'!T31+'Юнит 15'!T31+'Юнит 16'!T31+'Юнит 17'!T31+'Юнит 18'!T31</f>
        <v>0</v>
      </c>
      <c r="U31" s="92">
        <f t="shared" si="14"/>
        <v>1</v>
      </c>
      <c r="V31" s="89">
        <f>'Юнит 14'!V31+'Юнит 15'!V31+'Юнит 16'!V31+'Юнит 17'!V31+'Юнит 18'!V31</f>
        <v>0</v>
      </c>
      <c r="W31" s="89">
        <f>'Юнит 14'!W31+'Юнит 15'!W31+'Юнит 16'!W31+'Юнит 17'!W31+'Юнит 18'!W31</f>
        <v>0</v>
      </c>
      <c r="X31" s="92">
        <f t="shared" si="15"/>
        <v>0</v>
      </c>
      <c r="Y31" s="89">
        <f>'Юнит 14'!Y31+'Юнит 15'!Y31+'Юнит 16'!Y31+'Юнит 17'!Y31+'Юнит 18'!Y31</f>
        <v>0</v>
      </c>
      <c r="Z31" s="89">
        <f>'Юнит 14'!Z31+'Юнит 15'!Z31+'Юнит 16'!Z31+'Юнит 17'!Z31+'Юнит 18'!Z31</f>
        <v>0</v>
      </c>
      <c r="AA31" s="23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105.54</v>
      </c>
      <c r="AE31" s="89">
        <f>'Юнит 14'!AE31+'Юнит 15'!AE31+'Юнит 16'!AE31+'Юнит 17'!AE31+'Юнит 18'!AE31</f>
        <v>-418.68</v>
      </c>
      <c r="AF31" s="234">
        <f t="shared" si="20"/>
        <v>0</v>
      </c>
      <c r="AG31" s="89">
        <f>'Юнит 14'!AG31+'Юнит 15'!AG31+'Юнит 16'!AG31+'Юнит 17'!AG31+'Юнит 18'!AG31</f>
        <v>0</v>
      </c>
      <c r="AH31" s="89">
        <f>'Юнит 14'!AH31+'Юнит 15'!AH31+'Юнит 16'!AH31+'Юнит 17'!AH31+'Юнит 18'!AH31</f>
        <v>0</v>
      </c>
      <c r="AI31" s="89">
        <f>'Юнит 14'!AI31+'Юнит 15'!AI31+'Юнит 16'!AI31+'Юнит 17'!AI31+'Юнит 18'!AI31</f>
        <v>0</v>
      </c>
      <c r="AJ31" s="89">
        <f>'Юнит 14'!AJ31+'Юнит 15'!AJ31+'Юнит 16'!AJ31+'Юнит 17'!AJ31+'Юнит 18'!AJ31</f>
        <v>0</v>
      </c>
      <c r="AK31" s="89">
        <f>'Юнит 14'!AK31+'Юнит 15'!AK31+'Юнит 16'!AK31+'Юнит 17'!AK31+'Юнит 18'!AK31</f>
        <v>0</v>
      </c>
      <c r="AL31" s="89">
        <f>'Юнит 14'!AL31+'Юнит 15'!AL31+'Юнит 16'!AL31+'Юнит 17'!AL31+'Юнит 18'!AL31</f>
        <v>0</v>
      </c>
      <c r="AM31" s="89">
        <f>'Юнит 14'!AM31+'Юнит 15'!AM31+'Юнит 16'!AM31+'Юнит 17'!AM31+'Юнит 18'!AM31</f>
        <v>0</v>
      </c>
      <c r="AN31" s="94">
        <f t="shared" si="21"/>
        <v>0</v>
      </c>
      <c r="AO31" s="95">
        <f t="shared" si="22"/>
        <v>313.14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-418.68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84</v>
      </c>
      <c r="F32" s="93">
        <f>'Юнит 18'!F32</f>
        <v>0</v>
      </c>
      <c r="G32" s="93">
        <f>'Юнит 18'!G32</f>
        <v>0</v>
      </c>
      <c r="H32" s="93">
        <f>'Юнит 18'!H32</f>
        <v>0</v>
      </c>
      <c r="I32" s="93">
        <f>'Юнит 18'!I32</f>
        <v>84</v>
      </c>
      <c r="J32" s="93">
        <f>'Юнит 18'!J32</f>
        <v>0</v>
      </c>
      <c r="K32" s="93">
        <v>140.63999999999999</v>
      </c>
      <c r="L32" s="92">
        <f t="shared" ref="L32" si="40">E32*K32</f>
        <v>11813.759999999998</v>
      </c>
      <c r="M32" s="89">
        <f>'Юнит 18'!M32</f>
        <v>1</v>
      </c>
      <c r="N32" s="89">
        <f>'Юнит 14'!N32+'Юнит 15'!N32+'Юнит 16'!N32+'Юнит 17'!N32+'Юнит 18'!N32</f>
        <v>0</v>
      </c>
      <c r="O32" s="89">
        <v>0</v>
      </c>
      <c r="P32" s="89">
        <v>0</v>
      </c>
      <c r="Q32" s="406"/>
      <c r="R32" s="92">
        <f t="shared" si="13"/>
        <v>0</v>
      </c>
      <c r="S32" s="89">
        <f>'Юнит 14'!S32+'Юнит 15'!S32+'Юнит 16'!S32+'Юнит 17'!S32+'Юнит 18'!S32</f>
        <v>0</v>
      </c>
      <c r="T32" s="89">
        <f>'Юнит 14'!T32+'Юнит 15'!T32+'Юнит 16'!T32+'Юнит 17'!T32+'Юнит 18'!T32</f>
        <v>0</v>
      </c>
      <c r="U32" s="92">
        <f t="shared" si="14"/>
        <v>0</v>
      </c>
      <c r="V32" s="89">
        <f>'Юнит 14'!V32+'Юнит 15'!V32+'Юнит 16'!V32+'Юнит 17'!V32+'Юнит 18'!V32</f>
        <v>0</v>
      </c>
      <c r="W32" s="89">
        <f>'Юнит 14'!W32+'Юнит 15'!W32+'Юнит 16'!W32+'Юнит 17'!W32+'Юнит 18'!W32</f>
        <v>0</v>
      </c>
      <c r="X32" s="92">
        <f t="shared" si="15"/>
        <v>0</v>
      </c>
      <c r="Y32" s="89">
        <f>'Юнит 14'!Y32+'Юнит 15'!Y32+'Юнит 16'!Y32+'Юнит 17'!Y32+'Юнит 18'!Y32</f>
        <v>0</v>
      </c>
      <c r="Z32" s="89">
        <f>'Юнит 14'!Z32+'Юнит 15'!Z32+'Юнит 16'!Z32+'Юнит 17'!Z32+'Юнит 18'!Z32</f>
        <v>0</v>
      </c>
      <c r="AA32" s="23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89">
        <f>'Юнит 14'!AE32+'Юнит 15'!AE32+'Юнит 16'!AE32+'Юнит 17'!AE32+'Юнит 18'!AE32</f>
        <v>0</v>
      </c>
      <c r="AF32" s="234">
        <f t="shared" si="20"/>
        <v>0</v>
      </c>
      <c r="AG32" s="89">
        <f>'Юнит 14'!AG32+'Юнит 15'!AG32+'Юнит 16'!AG32+'Юнит 17'!AG32+'Юнит 18'!AG32</f>
        <v>0</v>
      </c>
      <c r="AH32" s="89">
        <f>'Юнит 14'!AH32+'Юнит 15'!AH32+'Юнит 16'!AH32+'Юнит 17'!AH32+'Юнит 18'!AH32</f>
        <v>0</v>
      </c>
      <c r="AI32" s="89">
        <f>'Юнит 14'!AI32+'Юнит 15'!AI32+'Юнит 16'!AI32+'Юнит 17'!AI32+'Юнит 18'!AI32</f>
        <v>0</v>
      </c>
      <c r="AJ32" s="89">
        <f>'Юнит 14'!AJ32+'Юнит 15'!AJ32+'Юнит 16'!AJ32+'Юнит 17'!AJ32+'Юнит 18'!AJ32</f>
        <v>0</v>
      </c>
      <c r="AK32" s="89">
        <f>'Юнит 14'!AK32+'Юнит 15'!AK32+'Юнит 16'!AK32+'Юнит 17'!AK32+'Юнит 18'!AK32</f>
        <v>0</v>
      </c>
      <c r="AL32" s="89">
        <f>'Юнит 14'!AL32+'Юнит 15'!AL32+'Юнит 16'!AL32+'Юнит 17'!AL32+'Юнит 18'!AL32</f>
        <v>0</v>
      </c>
      <c r="AM32" s="89">
        <f>'Юнит 14'!AM32+'Юнит 15'!AM32+'Юнит 16'!AM32+'Юнит 17'!AM32+'Юнит 18'!AM32</f>
        <v>0</v>
      </c>
      <c r="AN32" s="94">
        <f t="shared" si="21"/>
        <v>0</v>
      </c>
      <c r="AO32" s="95">
        <f t="shared" si="22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41">IF(AQ32=0,0,AV32/AQ32)</f>
        <v>0</v>
      </c>
      <c r="AX32" s="234">
        <f t="shared" ref="AX32" si="42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f>'Юнит 18'!F33</f>
        <v>12</v>
      </c>
      <c r="G33" s="93" t="str">
        <f>'Юнит 18'!G33</f>
        <v/>
      </c>
      <c r="H33" s="93">
        <f>'Юнит 18'!H33</f>
        <v>104</v>
      </c>
      <c r="I33" s="93">
        <f>'Юнит 18'!I33</f>
        <v>20</v>
      </c>
      <c r="J33" s="93">
        <f>'Юнит 18'!J33</f>
        <v>119</v>
      </c>
      <c r="K33" s="93">
        <v>123.09</v>
      </c>
      <c r="L33" s="92">
        <f>E33*K33</f>
        <v>31387.95</v>
      </c>
      <c r="M33" s="89">
        <f>'Юнит 18'!M33</f>
        <v>372</v>
      </c>
      <c r="N33" s="89">
        <f>'Юнит 14'!N33+'Юнит 15'!N33+'Юнит 16'!N33+'Юнит 17'!N33+'Юнит 18'!N33</f>
        <v>36</v>
      </c>
      <c r="O33" s="89">
        <v>1383</v>
      </c>
      <c r="P33" s="89">
        <v>39</v>
      </c>
      <c r="Q33" s="406">
        <f t="shared" ref="Q33:Q34" si="43">U33/N33</f>
        <v>0.3611111111111111</v>
      </c>
      <c r="R33" s="92">
        <f t="shared" si="13"/>
        <v>1.8571428571428572</v>
      </c>
      <c r="S33" s="89">
        <f>'Юнит 14'!S33+'Юнит 15'!S33+'Юнит 16'!S33+'Юнит 17'!S33+'Юнит 18'!S33</f>
        <v>15</v>
      </c>
      <c r="T33" s="89">
        <f>'Юнит 14'!T33+'Юнит 15'!T33+'Юнит 16'!T33+'Юнит 17'!T33+'Юнит 18'!T33</f>
        <v>-2</v>
      </c>
      <c r="U33" s="92">
        <f t="shared" si="14"/>
        <v>13</v>
      </c>
      <c r="V33" s="89">
        <f>'Юнит 14'!V33+'Юнит 15'!V33+'Юнит 16'!V33+'Юнит 17'!V33+'Юнит 18'!V33</f>
        <v>14756.949999999999</v>
      </c>
      <c r="W33" s="89">
        <f>'Юнит 14'!W33+'Юнит 15'!W33+'Юнит 16'!W33+'Юнит 17'!W33+'Юнит 18'!W33</f>
        <v>-1911</v>
      </c>
      <c r="X33" s="92">
        <f t="shared" si="15"/>
        <v>12845.949999999999</v>
      </c>
      <c r="Y33" s="89">
        <f>'Юнит 14'!Y33+'Юнит 15'!Y33+'Юнит 16'!Y33+'Юнит 17'!Y33+'Юнит 18'!Y33</f>
        <v>21899.84</v>
      </c>
      <c r="Z33" s="89">
        <f>'Юнит 14'!Z33+'Юнит 15'!Z33+'Юнит 16'!Z33+'Юнит 17'!Z33+'Юнит 18'!Z33</f>
        <v>-3000</v>
      </c>
      <c r="AA33" s="232">
        <f t="shared" si="16"/>
        <v>18899.84</v>
      </c>
      <c r="AB33" s="92">
        <f t="shared" si="17"/>
        <v>19417.32</v>
      </c>
      <c r="AC33" s="234">
        <f t="shared" si="18"/>
        <v>1.2519916449266473E-3</v>
      </c>
      <c r="AD33" s="92">
        <f t="shared" si="19"/>
        <v>1600.17</v>
      </c>
      <c r="AE33" s="89">
        <f>'Юнит 14'!AE33+'Юнит 15'!AE33+'Юнит 16'!AE33+'Юнит 17'!AE33+'Юнит 18'!AE33</f>
        <v>7101.1299999999992</v>
      </c>
      <c r="AF33" s="234">
        <f t="shared" si="20"/>
        <v>0.37572434475635769</v>
      </c>
      <c r="AG33" s="89">
        <f>'Юнит 14'!AG33+'Юнит 15'!AG33+'Юнит 16'!AG33+'Юнит 17'!AG33+'Юнит 18'!AG33</f>
        <v>2677.1099999999997</v>
      </c>
      <c r="AH33" s="89">
        <f>'Юнит 14'!AH33+'Юнит 15'!AH33+'Юнит 16'!AH33+'Юнит 17'!AH33+'Юнит 18'!AH33</f>
        <v>1000</v>
      </c>
      <c r="AI33" s="89">
        <f>'Юнит 14'!AI33+'Юнит 15'!AI33+'Юнит 16'!AI33+'Юнит 17'!AI33+'Юнит 18'!AI33</f>
        <v>3000</v>
      </c>
      <c r="AJ33" s="89">
        <f>'Юнит 14'!AJ33+'Юнит 15'!AJ33+'Юнит 16'!AJ33+'Юнит 17'!AJ33+'Юнит 18'!AJ33</f>
        <v>0</v>
      </c>
      <c r="AK33" s="89">
        <f>'Юнит 14'!AK33+'Юнит 15'!AK33+'Юнит 16'!AK33+'Юнит 17'!AK33+'Юнит 18'!AK33</f>
        <v>0</v>
      </c>
      <c r="AL33" s="89">
        <f>'Юнит 14'!AL33+'Юнит 15'!AL33+'Юнит 16'!AL33+'Юнит 17'!AL33+'Юнит 18'!AL33</f>
        <v>531.58380426233236</v>
      </c>
      <c r="AM33" s="89">
        <f>'Юнит 14'!AM33+'Юнит 15'!AM33+'Юнит 16'!AM33+'Юнит 17'!AM33+'Юнит 18'!AM33</f>
        <v>0</v>
      </c>
      <c r="AN33" s="94">
        <f t="shared" si="21"/>
        <v>733.50374499999987</v>
      </c>
      <c r="AO33" s="95">
        <f t="shared" si="22"/>
        <v>2256.3424507376671</v>
      </c>
      <c r="AP33" s="96"/>
      <c r="AQ33" s="97">
        <f t="shared" si="5"/>
        <v>1453.8338461538463</v>
      </c>
      <c r="AR33" s="98">
        <f t="shared" si="34"/>
        <v>123.09</v>
      </c>
      <c r="AS33" s="98">
        <f t="shared" si="7"/>
        <v>546.24076923076916</v>
      </c>
      <c r="AT33" s="98">
        <f t="shared" si="8"/>
        <v>178.47399999999999</v>
      </c>
      <c r="AU33" s="98">
        <f t="shared" si="23"/>
        <v>266.66666666666669</v>
      </c>
      <c r="AV33" s="98">
        <f t="array" ref="AV33">_xlfn.IFS(U33=0,AO33,U33&lt;0,AO33/-U33,U33&gt;0,AO33/U33)</f>
        <v>173.56480390289747</v>
      </c>
      <c r="AW33" s="234">
        <f>IF(AQ33=0,0,AV33/AQ33)</f>
        <v>0.11938420911169972</v>
      </c>
      <c r="AX33" s="234">
        <f>IF(AR33=0,0,AV33/AR33)</f>
        <v>1.4100642123884757</v>
      </c>
      <c r="AY33" s="99"/>
      <c r="AZ33" s="94">
        <f t="shared" si="11"/>
        <v>44259.024995238855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f>'Юнит 18'!F34</f>
        <v>0</v>
      </c>
      <c r="G34" s="93">
        <f>'Юнит 18'!G34</f>
        <v>0</v>
      </c>
      <c r="H34" s="93">
        <f>'Юнит 18'!H34</f>
        <v>0</v>
      </c>
      <c r="I34" s="93">
        <f>'Юнит 18'!I34</f>
        <v>1</v>
      </c>
      <c r="J34" s="93">
        <f>'Юнит 18'!J34</f>
        <v>117</v>
      </c>
      <c r="K34" s="93">
        <v>117.24</v>
      </c>
      <c r="L34" s="92">
        <f>E34*K34</f>
        <v>13834.32</v>
      </c>
      <c r="M34" s="89">
        <f>'Юнит 18'!M34</f>
        <v>999</v>
      </c>
      <c r="N34" s="89">
        <f>'Юнит 14'!N34+'Юнит 15'!N34+'Юнит 16'!N34+'Юнит 17'!N34+'Юнит 18'!N34</f>
        <v>1</v>
      </c>
      <c r="O34" s="89">
        <v>439</v>
      </c>
      <c r="P34" s="89">
        <v>100</v>
      </c>
      <c r="Q34" s="406">
        <f t="shared" si="43"/>
        <v>2</v>
      </c>
      <c r="R34" s="92">
        <f t="shared" si="13"/>
        <v>0.2857142857142857</v>
      </c>
      <c r="S34" s="89">
        <f>'Юнит 14'!S34+'Юнит 15'!S34+'Юнит 16'!S34+'Юнит 17'!S34+'Юнит 18'!S34</f>
        <v>2</v>
      </c>
      <c r="T34" s="89">
        <f>'Юнит 14'!T34+'Юнит 15'!T34+'Юнит 16'!T34+'Юнит 17'!T34+'Юнит 18'!T34</f>
        <v>0</v>
      </c>
      <c r="U34" s="92">
        <f t="shared" si="14"/>
        <v>2</v>
      </c>
      <c r="V34" s="89">
        <f>'Юнит 14'!V34+'Юнит 15'!V34+'Юнит 16'!V34+'Юнит 17'!V34+'Юнит 18'!V34</f>
        <v>276</v>
      </c>
      <c r="W34" s="89">
        <f>'Юнит 14'!W34+'Юнит 15'!W34+'Юнит 16'!W34+'Юнит 17'!W34+'Юнит 18'!W34</f>
        <v>0</v>
      </c>
      <c r="X34" s="92">
        <f t="shared" si="15"/>
        <v>276</v>
      </c>
      <c r="Y34" s="89">
        <f>'Юнит 14'!Y34+'Юнит 15'!Y34+'Юнит 16'!Y34+'Юнит 17'!Y34+'Юнит 18'!Y34</f>
        <v>439</v>
      </c>
      <c r="Z34" s="89">
        <f>'Юнит 14'!Z34+'Юнит 15'!Z34+'Юнит 16'!Z34+'Юнит 17'!Z34+'Юнит 18'!Z34</f>
        <v>0</v>
      </c>
      <c r="AA34" s="232">
        <f t="shared" si="16"/>
        <v>439</v>
      </c>
      <c r="AB34" s="92">
        <f t="shared" si="17"/>
        <v>439</v>
      </c>
      <c r="AC34" s="234">
        <f t="shared" si="18"/>
        <v>2.90808986807718E-5</v>
      </c>
      <c r="AD34" s="92">
        <f t="shared" si="19"/>
        <v>234.48</v>
      </c>
      <c r="AE34" s="89">
        <f>'Юнит 14'!AE34+'Юнит 15'!AE34+'Юнит 16'!AE34+'Юнит 17'!AE34+'Юнит 18'!AE34</f>
        <v>-284.70000000000005</v>
      </c>
      <c r="AF34" s="234">
        <f t="shared" si="20"/>
        <v>-0.6485193621867883</v>
      </c>
      <c r="AG34" s="89">
        <f>'Юнит 14'!AG34+'Юнит 15'!AG34+'Юнит 16'!AG34+'Юнит 17'!AG34+'Юнит 18'!AG34</f>
        <v>158.78</v>
      </c>
      <c r="AH34" s="89">
        <f>'Юнит 14'!AH34+'Юнит 15'!AH34+'Юнит 16'!AH34+'Юнит 17'!AH34+'Юнит 18'!AH34</f>
        <v>0</v>
      </c>
      <c r="AI34" s="89">
        <f>'Юнит 14'!AI34+'Юнит 15'!AI34+'Юнит 16'!AI34+'Юнит 17'!AI34+'Юнит 18'!AI34</f>
        <v>0</v>
      </c>
      <c r="AJ34" s="89">
        <f>'Юнит 14'!AJ34+'Юнит 15'!AJ34+'Юнит 16'!AJ34+'Юнит 17'!AJ34+'Юнит 18'!AJ34</f>
        <v>0</v>
      </c>
      <c r="AK34" s="89">
        <f>'Юнит 14'!AK34+'Юнит 15'!AK34+'Юнит 16'!AK34+'Юнит 17'!AK34+'Юнит 18'!AK34</f>
        <v>0</v>
      </c>
      <c r="AL34" s="89">
        <f>'Юнит 14'!AL34+'Юнит 15'!AL34+'Юнит 16'!AL34+'Юнит 17'!AL34+'Юнит 18'!AL34</f>
        <v>0</v>
      </c>
      <c r="AM34" s="89">
        <f>'Юнит 14'!AM34+'Юнит 15'!AM34+'Юнит 16'!AM34+'Юнит 17'!AM34+'Юнит 18'!AM34</f>
        <v>0</v>
      </c>
      <c r="AN34" s="94">
        <f t="shared" si="21"/>
        <v>15.759599999999999</v>
      </c>
      <c r="AO34" s="95">
        <f t="shared" si="22"/>
        <v>314.68040000000008</v>
      </c>
      <c r="AP34" s="96"/>
      <c r="AQ34" s="97">
        <f t="shared" si="5"/>
        <v>219.5</v>
      </c>
      <c r="AR34" s="98">
        <f t="shared" si="34"/>
        <v>117.24</v>
      </c>
      <c r="AS34" s="98">
        <f t="shared" si="7"/>
        <v>-142.35000000000002</v>
      </c>
      <c r="AT34" s="98">
        <f t="shared" si="8"/>
        <v>79.39</v>
      </c>
      <c r="AU34" s="98">
        <f t="shared" si="23"/>
        <v>0</v>
      </c>
      <c r="AV34" s="98">
        <f t="array" ref="AV34">_xlfn.IFS(U34=0,AO34,U34&lt;0,AO34/-U34,U34&gt;0,AO34/U34)</f>
        <v>157.34020000000004</v>
      </c>
      <c r="AW34" s="234">
        <f>IF(AQ34=0,0,AV34/AQ34)</f>
        <v>0.71681184510250584</v>
      </c>
      <c r="AX34" s="234">
        <f>IF(AR34=0,0,AV34/AR34)</f>
        <v>1.3420351415899014</v>
      </c>
      <c r="AY34" s="99"/>
      <c r="AZ34" s="94">
        <f t="shared" si="11"/>
        <v>18566.143600000003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43</v>
      </c>
      <c r="F35" s="93">
        <f>'Юнит 18'!F35</f>
        <v>0</v>
      </c>
      <c r="G35" s="93">
        <f>'Юнит 18'!G35</f>
        <v>0</v>
      </c>
      <c r="H35" s="93">
        <f>'Юнит 18'!H35</f>
        <v>0</v>
      </c>
      <c r="I35" s="93">
        <f>'Юнит 18'!I35</f>
        <v>0</v>
      </c>
      <c r="J35" s="93">
        <f>'Юнит 18'!J35</f>
        <v>43</v>
      </c>
      <c r="K35" s="93">
        <v>128.94</v>
      </c>
      <c r="L35" s="92">
        <f t="shared" ref="L35:L98" si="45">E35*K35</f>
        <v>5544.42</v>
      </c>
      <c r="M35" s="89">
        <f>'Юнит 18'!M35</f>
        <v>0</v>
      </c>
      <c r="N35" s="89">
        <f>'Юнит 14'!N35+'Юнит 15'!N35+'Юнит 16'!N35+'Юнит 17'!N35+'Юнит 18'!N35</f>
        <v>0</v>
      </c>
      <c r="O35" s="89">
        <v>0</v>
      </c>
      <c r="P35" s="89">
        <v>0</v>
      </c>
      <c r="Q35" s="406"/>
      <c r="R35" s="92">
        <f t="shared" si="13"/>
        <v>0</v>
      </c>
      <c r="S35" s="89">
        <f>'Юнит 14'!S35+'Юнит 15'!S35+'Юнит 16'!S35+'Юнит 17'!S35+'Юнит 18'!S35</f>
        <v>0</v>
      </c>
      <c r="T35" s="89">
        <f>'Юнит 14'!T35+'Юнит 15'!T35+'Юнит 16'!T35+'Юнит 17'!T35+'Юнит 18'!T35</f>
        <v>0</v>
      </c>
      <c r="U35" s="92">
        <f t="shared" si="14"/>
        <v>0</v>
      </c>
      <c r="V35" s="89">
        <f>'Юнит 14'!V35+'Юнит 15'!V35+'Юнит 16'!V35+'Юнит 17'!V35+'Юнит 18'!V35</f>
        <v>0</v>
      </c>
      <c r="W35" s="89">
        <f>'Юнит 14'!W35+'Юнит 15'!W35+'Юнит 16'!W35+'Юнит 17'!W35+'Юнит 18'!W35</f>
        <v>0</v>
      </c>
      <c r="X35" s="92">
        <f t="shared" si="15"/>
        <v>0</v>
      </c>
      <c r="Y35" s="89">
        <f>'Юнит 14'!Y35+'Юнит 15'!Y35+'Юнит 16'!Y35+'Юнит 17'!Y35+'Юнит 18'!Y35</f>
        <v>0</v>
      </c>
      <c r="Z35" s="89">
        <f>'Юнит 14'!Z35+'Юнит 15'!Z35+'Юнит 16'!Z35+'Юнит 17'!Z35+'Юнит 18'!Z35</f>
        <v>0</v>
      </c>
      <c r="AA35" s="23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89">
        <f>'Юнит 14'!AE35+'Юнит 15'!AE35+'Юнит 16'!AE35+'Юнит 17'!AE35+'Юнит 18'!AE35</f>
        <v>0</v>
      </c>
      <c r="AF35" s="234">
        <f t="shared" si="20"/>
        <v>0</v>
      </c>
      <c r="AG35" s="89">
        <f>'Юнит 14'!AG35+'Юнит 15'!AG35+'Юнит 16'!AG35+'Юнит 17'!AG35+'Юнит 18'!AG35</f>
        <v>0</v>
      </c>
      <c r="AH35" s="89">
        <f>'Юнит 14'!AH35+'Юнит 15'!AH35+'Юнит 16'!AH35+'Юнит 17'!AH35+'Юнит 18'!AH35</f>
        <v>0</v>
      </c>
      <c r="AI35" s="89">
        <f>'Юнит 14'!AI35+'Юнит 15'!AI35+'Юнит 16'!AI35+'Юнит 17'!AI35+'Юнит 18'!AI35</f>
        <v>0</v>
      </c>
      <c r="AJ35" s="89">
        <f>'Юнит 14'!AJ35+'Юнит 15'!AJ35+'Юнит 16'!AJ35+'Юнит 17'!AJ35+'Юнит 18'!AJ35</f>
        <v>0</v>
      </c>
      <c r="AK35" s="89">
        <f>'Юнит 14'!AK35+'Юнит 15'!AK35+'Юнит 16'!AK35+'Юнит 17'!AK35+'Юнит 18'!AK35</f>
        <v>0</v>
      </c>
      <c r="AL35" s="89">
        <f>'Юнит 14'!AL35+'Юнит 15'!AL35+'Юнит 16'!AL35+'Юнит 17'!AL35+'Юнит 18'!AL35</f>
        <v>0</v>
      </c>
      <c r="AM35" s="89">
        <f>'Юнит 14'!AM35+'Юнит 15'!AM35+'Юнит 16'!AM35+'Юнит 17'!AM35+'Юнит 18'!AM35</f>
        <v>0</v>
      </c>
      <c r="AN35" s="94">
        <f t="shared" si="21"/>
        <v>0</v>
      </c>
      <c r="AO35" s="95">
        <f t="shared" si="22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40</v>
      </c>
      <c r="F36" s="93">
        <f>'Юнит 18'!F36</f>
        <v>0</v>
      </c>
      <c r="G36" s="93">
        <f>'Юнит 18'!G36</f>
        <v>0</v>
      </c>
      <c r="H36" s="93">
        <f>'Юнит 18'!H36</f>
        <v>0</v>
      </c>
      <c r="I36" s="93">
        <f>'Юнит 18'!I36</f>
        <v>0</v>
      </c>
      <c r="J36" s="93">
        <f>'Юнит 18'!J36</f>
        <v>40</v>
      </c>
      <c r="K36" s="93">
        <v>169.89</v>
      </c>
      <c r="L36" s="92">
        <f t="shared" si="45"/>
        <v>6795.5999999999995</v>
      </c>
      <c r="M36" s="89">
        <f>'Юнит 18'!M36</f>
        <v>0</v>
      </c>
      <c r="N36" s="89">
        <f>'Юнит 14'!N36+'Юнит 15'!N36+'Юнит 16'!N36+'Юнит 17'!N36+'Юнит 18'!N36</f>
        <v>0</v>
      </c>
      <c r="O36" s="89">
        <v>0</v>
      </c>
      <c r="P36" s="89">
        <v>0</v>
      </c>
      <c r="Q36" s="406"/>
      <c r="R36" s="92">
        <f t="shared" si="13"/>
        <v>0</v>
      </c>
      <c r="S36" s="89">
        <f>'Юнит 14'!S36+'Юнит 15'!S36+'Юнит 16'!S36+'Юнит 17'!S36+'Юнит 18'!S36</f>
        <v>0</v>
      </c>
      <c r="T36" s="89">
        <f>'Юнит 14'!T36+'Юнит 15'!T36+'Юнит 16'!T36+'Юнит 17'!T36+'Юнит 18'!T36</f>
        <v>0</v>
      </c>
      <c r="U36" s="92">
        <f t="shared" si="14"/>
        <v>0</v>
      </c>
      <c r="V36" s="89">
        <f>'Юнит 14'!V36+'Юнит 15'!V36+'Юнит 16'!V36+'Юнит 17'!V36+'Юнит 18'!V36</f>
        <v>0</v>
      </c>
      <c r="W36" s="89">
        <f>'Юнит 14'!W36+'Юнит 15'!W36+'Юнит 16'!W36+'Юнит 17'!W36+'Юнит 18'!W36</f>
        <v>0</v>
      </c>
      <c r="X36" s="92">
        <f t="shared" si="15"/>
        <v>0</v>
      </c>
      <c r="Y36" s="89">
        <f>'Юнит 14'!Y36+'Юнит 15'!Y36+'Юнит 16'!Y36+'Юнит 17'!Y36+'Юнит 18'!Y36</f>
        <v>0</v>
      </c>
      <c r="Z36" s="89">
        <f>'Юнит 14'!Z36+'Юнит 15'!Z36+'Юнит 16'!Z36+'Юнит 17'!Z36+'Юнит 18'!Z36</f>
        <v>0</v>
      </c>
      <c r="AA36" s="23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89">
        <f>'Юнит 14'!AE36+'Юнит 15'!AE36+'Юнит 16'!AE36+'Юнит 17'!AE36+'Юнит 18'!AE36</f>
        <v>0</v>
      </c>
      <c r="AF36" s="234">
        <f t="shared" si="20"/>
        <v>0</v>
      </c>
      <c r="AG36" s="89">
        <f>'Юнит 14'!AG36+'Юнит 15'!AG36+'Юнит 16'!AG36+'Юнит 17'!AG36+'Юнит 18'!AG36</f>
        <v>0</v>
      </c>
      <c r="AH36" s="89">
        <f>'Юнит 14'!AH36+'Юнит 15'!AH36+'Юнит 16'!AH36+'Юнит 17'!AH36+'Юнит 18'!AH36</f>
        <v>0</v>
      </c>
      <c r="AI36" s="89">
        <f>'Юнит 14'!AI36+'Юнит 15'!AI36+'Юнит 16'!AI36+'Юнит 17'!AI36+'Юнит 18'!AI36</f>
        <v>0</v>
      </c>
      <c r="AJ36" s="89">
        <f>'Юнит 14'!AJ36+'Юнит 15'!AJ36+'Юнит 16'!AJ36+'Юнит 17'!AJ36+'Юнит 18'!AJ36</f>
        <v>0</v>
      </c>
      <c r="AK36" s="89">
        <f>'Юнит 14'!AK36+'Юнит 15'!AK36+'Юнит 16'!AK36+'Юнит 17'!AK36+'Юнит 18'!AK36</f>
        <v>0</v>
      </c>
      <c r="AL36" s="89">
        <f>'Юнит 14'!AL36+'Юнит 15'!AL36+'Юнит 16'!AL36+'Юнит 17'!AL36+'Юнит 18'!AL36</f>
        <v>0</v>
      </c>
      <c r="AM36" s="89">
        <f>'Юнит 14'!AM36+'Юнит 15'!AM36+'Юнит 16'!AM36+'Юнит 17'!AM36+'Юнит 18'!AM36</f>
        <v>0</v>
      </c>
      <c r="AN36" s="94">
        <f t="shared" si="21"/>
        <v>0</v>
      </c>
      <c r="AO36" s="95">
        <f t="shared" si="22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27</v>
      </c>
      <c r="F37" s="93">
        <f>'Юнит 18'!F37</f>
        <v>1</v>
      </c>
      <c r="G37" s="93" t="str">
        <f>'Юнит 18'!G37</f>
        <v/>
      </c>
      <c r="H37" s="93" t="str">
        <f>'Юнит 18'!H37</f>
        <v/>
      </c>
      <c r="I37" s="93">
        <f>'Юнит 18'!I37</f>
        <v>0</v>
      </c>
      <c r="J37" s="93">
        <f>'Юнит 18'!J37</f>
        <v>26</v>
      </c>
      <c r="K37" s="93">
        <v>169.89</v>
      </c>
      <c r="L37" s="92">
        <f t="shared" si="45"/>
        <v>4587.03</v>
      </c>
      <c r="M37" s="89">
        <f>'Юнит 18'!M37</f>
        <v>999</v>
      </c>
      <c r="N37" s="89">
        <f>'Юнит 14'!N37+'Юнит 15'!N37+'Юнит 16'!N37+'Юнит 17'!N37+'Юнит 18'!N37</f>
        <v>3</v>
      </c>
      <c r="O37" s="89">
        <v>998</v>
      </c>
      <c r="P37" s="89">
        <v>0</v>
      </c>
      <c r="Q37" s="406">
        <f t="shared" ref="Q37:Q45" si="48">U37/N37</f>
        <v>0</v>
      </c>
      <c r="R37" s="92">
        <f t="shared" si="13"/>
        <v>0</v>
      </c>
      <c r="S37" s="89">
        <f>'Юнит 14'!S37+'Юнит 15'!S37+'Юнит 16'!S37+'Юнит 17'!S37+'Юнит 18'!S37</f>
        <v>0</v>
      </c>
      <c r="T37" s="89">
        <f>'Юнит 14'!T37+'Юнит 15'!T37+'Юнит 16'!T37+'Юнит 17'!T37+'Юнит 18'!T37</f>
        <v>0</v>
      </c>
      <c r="U37" s="92">
        <f t="shared" si="14"/>
        <v>0</v>
      </c>
      <c r="V37" s="89">
        <f>'Юнит 14'!V37+'Юнит 15'!V37+'Юнит 16'!V37+'Юнит 17'!V37+'Юнит 18'!V37</f>
        <v>0</v>
      </c>
      <c r="W37" s="89">
        <f>'Юнит 14'!W37+'Юнит 15'!W37+'Юнит 16'!W37+'Юнит 17'!W37+'Юнит 18'!W37</f>
        <v>0</v>
      </c>
      <c r="X37" s="92">
        <f t="shared" si="15"/>
        <v>0</v>
      </c>
      <c r="Y37" s="89">
        <f>'Юнит 14'!Y37+'Юнит 15'!Y37+'Юнит 16'!Y37+'Юнит 17'!Y37+'Юнит 18'!Y37</f>
        <v>0</v>
      </c>
      <c r="Z37" s="89">
        <f>'Юнит 14'!Z37+'Юнит 15'!Z37+'Юнит 16'!Z37+'Юнит 17'!Z37+'Юнит 18'!Z37</f>
        <v>0</v>
      </c>
      <c r="AA37" s="23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89">
        <f>'Юнит 14'!AE37+'Юнит 15'!AE37+'Юнит 16'!AE37+'Юнит 17'!AE37+'Юнит 18'!AE37</f>
        <v>0</v>
      </c>
      <c r="AF37" s="234">
        <f t="shared" si="20"/>
        <v>0</v>
      </c>
      <c r="AG37" s="89">
        <f>'Юнит 14'!AG37+'Юнит 15'!AG37+'Юнит 16'!AG37+'Юнит 17'!AG37+'Юнит 18'!AG37</f>
        <v>277.89999999999998</v>
      </c>
      <c r="AH37" s="89">
        <f>'Юнит 14'!AH37+'Юнит 15'!AH37+'Юнит 16'!AH37+'Юнит 17'!AH37+'Юнит 18'!AH37</f>
        <v>0</v>
      </c>
      <c r="AI37" s="89">
        <f>'Юнит 14'!AI37+'Юнит 15'!AI37+'Юнит 16'!AI37+'Юнит 17'!AI37+'Юнит 18'!AI37</f>
        <v>0</v>
      </c>
      <c r="AJ37" s="89">
        <f>'Юнит 14'!AJ37+'Юнит 15'!AJ37+'Юнит 16'!AJ37+'Юнит 17'!AJ37+'Юнит 18'!AJ37</f>
        <v>0</v>
      </c>
      <c r="AK37" s="89">
        <f>'Юнит 14'!AK37+'Юнит 15'!AK37+'Юнит 16'!AK37+'Юнит 17'!AK37+'Юнит 18'!AK37</f>
        <v>0</v>
      </c>
      <c r="AL37" s="89">
        <f>'Юнит 14'!AL37+'Юнит 15'!AL37+'Юнит 16'!AL37+'Юнит 17'!AL37+'Юнит 18'!AL37</f>
        <v>2.0040825802694755</v>
      </c>
      <c r="AM37" s="89">
        <f>'Юнит 14'!AM37+'Юнит 15'!AM37+'Юнит 16'!AM37+'Юнит 17'!AM37+'Юнит 18'!AM37</f>
        <v>0</v>
      </c>
      <c r="AN37" s="94">
        <f t="shared" si="21"/>
        <v>0</v>
      </c>
      <c r="AO37" s="95">
        <f t="shared" si="22"/>
        <v>-279.90408258026946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277.89999999999998</v>
      </c>
      <c r="AU37" s="98">
        <f t="shared" si="23"/>
        <v>0</v>
      </c>
      <c r="AV37" s="98">
        <f t="array" ref="AV37">_xlfn.IFS(U37=0,AO37,U37&lt;0,AO37/-U37,U37&gt;0,AO37/U37)</f>
        <v>-279.90408258026946</v>
      </c>
      <c r="AW37" s="234">
        <f t="shared" si="46"/>
        <v>0</v>
      </c>
      <c r="AX37" s="234">
        <f t="shared" si="47"/>
        <v>-1.6475606720835216</v>
      </c>
      <c r="AY37" s="99"/>
      <c r="AZ37" s="94">
        <f t="shared" si="11"/>
        <v>-7557.4102296672754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44</v>
      </c>
      <c r="F38" s="93" t="str">
        <f>'Юнит 18'!F38</f>
        <v/>
      </c>
      <c r="G38" s="93">
        <f>'Юнит 18'!G38</f>
        <v>1</v>
      </c>
      <c r="H38" s="93">
        <f>'Юнит 18'!H38</f>
        <v>42</v>
      </c>
      <c r="I38" s="93">
        <f>'Юнит 18'!I38</f>
        <v>0</v>
      </c>
      <c r="J38" s="93">
        <f>'Юнит 18'!J38</f>
        <v>1</v>
      </c>
      <c r="K38" s="92">
        <v>105.54</v>
      </c>
      <c r="L38" s="92">
        <f t="shared" si="45"/>
        <v>4643.76</v>
      </c>
      <c r="M38" s="89">
        <f>'Юнит 18'!M38</f>
        <v>999</v>
      </c>
      <c r="N38" s="89">
        <f>'Юнит 14'!N38+'Юнит 15'!N38+'Юнит 16'!N38+'Юнит 17'!N38+'Юнит 18'!N38</f>
        <v>6</v>
      </c>
      <c r="O38" s="89">
        <v>1197</v>
      </c>
      <c r="P38" s="89">
        <v>17</v>
      </c>
      <c r="Q38" s="406">
        <f t="shared" si="48"/>
        <v>0.16666666666666666</v>
      </c>
      <c r="R38" s="92">
        <f t="shared" si="13"/>
        <v>0.14285714285714285</v>
      </c>
      <c r="S38" s="89">
        <f>'Юнит 14'!S38+'Юнит 15'!S38+'Юнит 16'!S38+'Юнит 17'!S38+'Юнит 18'!S38</f>
        <v>1</v>
      </c>
      <c r="T38" s="89">
        <f>'Юнит 14'!T38+'Юнит 15'!T38+'Юнит 16'!T38+'Юнит 17'!T38+'Юнит 18'!T38</f>
        <v>0</v>
      </c>
      <c r="U38" s="92">
        <f t="shared" si="14"/>
        <v>1</v>
      </c>
      <c r="V38" s="89">
        <f>'Юнит 14'!V38+'Юнит 15'!V38+'Юнит 16'!V38+'Юнит 17'!V38+'Юнит 18'!V38</f>
        <v>792</v>
      </c>
      <c r="W38" s="89">
        <f>'Юнит 14'!W38+'Юнит 15'!W38+'Юнит 16'!W38+'Юнит 17'!W38+'Юнит 18'!W38</f>
        <v>0</v>
      </c>
      <c r="X38" s="92">
        <f t="shared" si="15"/>
        <v>792</v>
      </c>
      <c r="Y38" s="89">
        <f>'Юнит 14'!Y38+'Юнит 15'!Y38+'Юнит 16'!Y38+'Юнит 17'!Y38+'Юнит 18'!Y38</f>
        <v>1197</v>
      </c>
      <c r="Z38" s="89">
        <f>'Юнит 14'!Z38+'Юнит 15'!Z38+'Юнит 16'!Z38+'Юнит 17'!Z38+'Юнит 18'!Z38</f>
        <v>0</v>
      </c>
      <c r="AA38" s="232">
        <f t="shared" si="16"/>
        <v>1197</v>
      </c>
      <c r="AB38" s="92">
        <f t="shared" si="17"/>
        <v>1220.94</v>
      </c>
      <c r="AC38" s="234">
        <f t="shared" si="18"/>
        <v>7.9293475446204665E-5</v>
      </c>
      <c r="AD38" s="92">
        <f t="shared" si="19"/>
        <v>105.54</v>
      </c>
      <c r="AE38" s="89">
        <f>'Юнит 14'!AE38+'Юнит 15'!AE38+'Юнит 16'!AE38+'Юнит 17'!AE38+'Юнит 18'!AE38</f>
        <v>460.59000000000003</v>
      </c>
      <c r="AF38" s="234">
        <f t="shared" si="20"/>
        <v>0.3847869674185464</v>
      </c>
      <c r="AG38" s="89">
        <f>'Юнит 14'!AG38+'Юнит 15'!AG38+'Юнит 16'!AG38+'Юнит 17'!AG38+'Юнит 18'!AG38</f>
        <v>643.92999999999995</v>
      </c>
      <c r="AH38" s="89">
        <f>'Юнит 14'!AH38+'Юнит 15'!AH38+'Юнит 16'!AH38+'Юнит 17'!AH38+'Юнит 18'!AH38</f>
        <v>0</v>
      </c>
      <c r="AI38" s="89">
        <f>'Юнит 14'!AI38+'Юнит 15'!AI38+'Юнит 16'!AI38+'Юнит 17'!AI38+'Юнит 18'!AI38</f>
        <v>0</v>
      </c>
      <c r="AJ38" s="89">
        <f>'Юнит 14'!AJ38+'Юнит 15'!AJ38+'Юнит 16'!AJ38+'Юнит 17'!AJ38+'Юнит 18'!AJ38</f>
        <v>0</v>
      </c>
      <c r="AK38" s="89">
        <f>'Юнит 14'!AK38+'Юнит 15'!AK38+'Юнит 16'!AK38+'Юнит 17'!AK38+'Юнит 18'!AK38</f>
        <v>0</v>
      </c>
      <c r="AL38" s="89">
        <f>'Юнит 14'!AL38+'Юнит 15'!AL38+'Юнит 16'!AL38+'Юнит 17'!AL38+'Юнит 18'!AL38</f>
        <v>200.28234208233391</v>
      </c>
      <c r="AM38" s="89">
        <f>'Юнит 14'!AM38+'Юнит 15'!AM38+'Юнит 16'!AM38+'Юнит 17'!AM38+'Юнит 18'!AM38</f>
        <v>0</v>
      </c>
      <c r="AN38" s="94">
        <f t="shared" si="21"/>
        <v>45.223199999999999</v>
      </c>
      <c r="AO38" s="95">
        <f t="shared" si="22"/>
        <v>-258.56554208233388</v>
      </c>
      <c r="AP38" s="96"/>
      <c r="AQ38" s="97">
        <f t="shared" si="5"/>
        <v>1197</v>
      </c>
      <c r="AR38" s="98">
        <f t="shared" si="34"/>
        <v>105.54</v>
      </c>
      <c r="AS38" s="98">
        <f t="shared" si="7"/>
        <v>460.59000000000003</v>
      </c>
      <c r="AT38" s="98">
        <f t="shared" si="8"/>
        <v>643.92999999999995</v>
      </c>
      <c r="AU38" s="98">
        <f t="shared" si="23"/>
        <v>0</v>
      </c>
      <c r="AV38" s="98">
        <f t="array" ref="AV38">_xlfn.IFS(U38=0,AO38,U38&lt;0,AO38/-U38,U38&gt;0,AO38/U38)</f>
        <v>-258.56554208233388</v>
      </c>
      <c r="AW38" s="234">
        <f t="shared" si="46"/>
        <v>-0.21601131335199153</v>
      </c>
      <c r="AX38" s="234">
        <f t="shared" si="47"/>
        <v>-2.449929335629466</v>
      </c>
      <c r="AY38" s="99"/>
      <c r="AZ38" s="94">
        <f t="shared" si="11"/>
        <v>-11376.88385162269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10</v>
      </c>
      <c r="F39" s="93">
        <f>'Юнит 18'!F39</f>
        <v>1</v>
      </c>
      <c r="G39" s="93">
        <f>'Юнит 18'!G39</f>
        <v>2</v>
      </c>
      <c r="H39" s="93">
        <f>'Юнит 18'!H39</f>
        <v>6</v>
      </c>
      <c r="I39" s="93">
        <f>'Юнит 18'!I39</f>
        <v>0</v>
      </c>
      <c r="J39" s="93">
        <f>'Юнит 18'!J39</f>
        <v>1</v>
      </c>
      <c r="K39" s="92">
        <v>105.54</v>
      </c>
      <c r="L39" s="92">
        <f t="shared" si="45"/>
        <v>1055.4000000000001</v>
      </c>
      <c r="M39" s="89">
        <f>'Юнит 18'!M39</f>
        <v>999</v>
      </c>
      <c r="N39" s="89">
        <f>'Юнит 14'!N39+'Юнит 15'!N39+'Юнит 16'!N39+'Юнит 17'!N39+'Юнит 18'!N39</f>
        <v>13</v>
      </c>
      <c r="O39" s="89">
        <v>1077</v>
      </c>
      <c r="P39" s="89">
        <v>18</v>
      </c>
      <c r="Q39" s="406">
        <f t="shared" si="48"/>
        <v>0.23076923076923078</v>
      </c>
      <c r="R39" s="92">
        <f t="shared" si="13"/>
        <v>0.42857142857142855</v>
      </c>
      <c r="S39" s="89">
        <f>'Юнит 14'!S39+'Юнит 15'!S39+'Юнит 16'!S39+'Юнит 17'!S39+'Юнит 18'!S39</f>
        <v>4</v>
      </c>
      <c r="T39" s="89">
        <f>'Юнит 14'!T39+'Юнит 15'!T39+'Юнит 16'!T39+'Юнит 17'!T39+'Юнит 18'!T39</f>
        <v>-1</v>
      </c>
      <c r="U39" s="92">
        <f t="shared" si="14"/>
        <v>3</v>
      </c>
      <c r="V39" s="89">
        <f>'Юнит 14'!V39+'Юнит 15'!V39+'Юнит 16'!V39+'Юнит 17'!V39+'Юнит 18'!V39</f>
        <v>2991.29</v>
      </c>
      <c r="W39" s="89">
        <f>'Юнит 14'!W39+'Юнит 15'!W39+'Юнит 16'!W39+'Юнит 17'!W39+'Юнит 18'!W39</f>
        <v>-756</v>
      </c>
      <c r="X39" s="92">
        <f t="shared" si="15"/>
        <v>2235.29</v>
      </c>
      <c r="Y39" s="89">
        <f>'Юнит 14'!Y39+'Юнит 15'!Y39+'Юнит 16'!Y39+'Юнит 17'!Y39+'Юнит 18'!Y39</f>
        <v>4284.66</v>
      </c>
      <c r="Z39" s="89">
        <f>'Юнит 14'!Z39+'Юнит 15'!Z39+'Юнит 16'!Z39+'Юнит 17'!Z39+'Юнит 18'!Z39</f>
        <v>-1077</v>
      </c>
      <c r="AA39" s="232">
        <f t="shared" si="16"/>
        <v>3207.66</v>
      </c>
      <c r="AB39" s="92">
        <f t="shared" si="17"/>
        <v>2520.1799999999998</v>
      </c>
      <c r="AC39" s="234">
        <f t="shared" si="18"/>
        <v>2.1248664114433821E-4</v>
      </c>
      <c r="AD39" s="92">
        <f t="shared" si="19"/>
        <v>316.62</v>
      </c>
      <c r="AE39" s="89">
        <f>'Юнит 14'!AE39+'Юнит 15'!AE39+'Юнит 16'!AE39+'Юнит 17'!AE39+'Юнит 18'!AE39</f>
        <v>1207.4900000000002</v>
      </c>
      <c r="AF39" s="234">
        <f t="shared" si="20"/>
        <v>0.37643952289207716</v>
      </c>
      <c r="AG39" s="89">
        <f>'Юнит 14'!AG39+'Юнит 15'!AG39+'Юнит 16'!AG39+'Юнит 17'!AG39+'Юнит 18'!AG39</f>
        <v>1449.5</v>
      </c>
      <c r="AH39" s="89">
        <f>'Юнит 14'!AH39+'Юнит 15'!AH39+'Юнит 16'!AH39+'Юнит 17'!AH39+'Юнит 18'!AH39</f>
        <v>0</v>
      </c>
      <c r="AI39" s="89">
        <f>'Юнит 14'!AI39+'Юнит 15'!AI39+'Юнит 16'!AI39+'Юнит 17'!AI39+'Юнит 18'!AI39</f>
        <v>0</v>
      </c>
      <c r="AJ39" s="89">
        <f>'Юнит 14'!AJ39+'Юнит 15'!AJ39+'Юнит 16'!AJ39+'Юнит 17'!AJ39+'Юнит 18'!AJ39</f>
        <v>0</v>
      </c>
      <c r="AK39" s="89">
        <f>'Юнит 14'!AK39+'Юнит 15'!AK39+'Юнит 16'!AK39+'Юнит 17'!AK39+'Юнит 18'!AK39</f>
        <v>0</v>
      </c>
      <c r="AL39" s="89">
        <f>'Юнит 14'!AL39+'Юнит 15'!AL39+'Юнит 16'!AL39+'Юнит 17'!AL39+'Юнит 18'!AL39</f>
        <v>30.60246693686911</v>
      </c>
      <c r="AM39" s="89">
        <f>'Юнит 14'!AM39+'Юнит 15'!AM39+'Юнит 16'!AM39+'Юнит 17'!AM39+'Юнит 18'!AM39</f>
        <v>0</v>
      </c>
      <c r="AN39" s="94">
        <f t="shared" si="21"/>
        <v>127.635059</v>
      </c>
      <c r="AO39" s="95">
        <f t="shared" si="22"/>
        <v>75.812474063130608</v>
      </c>
      <c r="AP39" s="96"/>
      <c r="AQ39" s="97">
        <f t="shared" si="5"/>
        <v>1069.22</v>
      </c>
      <c r="AR39" s="98">
        <f t="shared" si="34"/>
        <v>105.54</v>
      </c>
      <c r="AS39" s="98">
        <f t="shared" si="7"/>
        <v>402.49666666666673</v>
      </c>
      <c r="AT39" s="98">
        <f t="shared" si="8"/>
        <v>362.375</v>
      </c>
      <c r="AU39" s="98">
        <f t="shared" si="23"/>
        <v>0</v>
      </c>
      <c r="AV39" s="98">
        <f t="array" ref="AV39">_xlfn.IFS(U39=0,AO39,U39&lt;0,AO39/-U39,U39&gt;0,AO39/U39)</f>
        <v>25.270824687710203</v>
      </c>
      <c r="AW39" s="234">
        <f t="shared" si="46"/>
        <v>2.363482228887432E-2</v>
      </c>
      <c r="AX39" s="234">
        <f t="shared" si="47"/>
        <v>0.2394430991823972</v>
      </c>
      <c r="AY39" s="99"/>
      <c r="AZ39" s="94">
        <f t="shared" si="11"/>
        <v>252.70824687710203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30</v>
      </c>
      <c r="F40" s="93">
        <f>'Юнит 18'!F40</f>
        <v>1</v>
      </c>
      <c r="G40" s="93" t="str">
        <f>'Юнит 18'!G40</f>
        <v/>
      </c>
      <c r="H40" s="93">
        <f>'Юнит 18'!H40</f>
        <v>28</v>
      </c>
      <c r="I40" s="93">
        <f>'Юнит 18'!I40</f>
        <v>0</v>
      </c>
      <c r="J40" s="93">
        <f>'Юнит 18'!J40</f>
        <v>1</v>
      </c>
      <c r="K40" s="92">
        <v>105.54</v>
      </c>
      <c r="L40" s="92">
        <f t="shared" si="45"/>
        <v>3166.2000000000003</v>
      </c>
      <c r="M40" s="89">
        <f>'Юнит 18'!M40</f>
        <v>999</v>
      </c>
      <c r="N40" s="89">
        <f>'Юнит 14'!N40+'Юнит 15'!N40+'Юнит 16'!N40+'Юнит 17'!N40+'Юнит 18'!N40</f>
        <v>12</v>
      </c>
      <c r="O40" s="89">
        <v>1197</v>
      </c>
      <c r="P40" s="89">
        <v>43</v>
      </c>
      <c r="Q40" s="406">
        <f t="shared" si="48"/>
        <v>0.33333333333333331</v>
      </c>
      <c r="R40" s="92">
        <f t="shared" si="13"/>
        <v>0.5714285714285714</v>
      </c>
      <c r="S40" s="89">
        <f>'Юнит 14'!S40+'Юнит 15'!S40+'Юнит 16'!S40+'Юнит 17'!S40+'Юнит 18'!S40</f>
        <v>5</v>
      </c>
      <c r="T40" s="89">
        <f>'Юнит 14'!T40+'Юнит 15'!T40+'Юнит 16'!T40+'Юнит 17'!T40+'Юнит 18'!T40</f>
        <v>-1</v>
      </c>
      <c r="U40" s="92">
        <f t="shared" si="14"/>
        <v>4</v>
      </c>
      <c r="V40" s="89">
        <f>'Юнит 14'!V40+'Юнит 15'!V40+'Юнит 16'!V40+'Юнит 17'!V40+'Юнит 18'!V40</f>
        <v>3893</v>
      </c>
      <c r="W40" s="89">
        <f>'Юнит 14'!W40+'Юнит 15'!W40+'Юнит 16'!W40+'Юнит 17'!W40+'Юнит 18'!W40</f>
        <v>-808</v>
      </c>
      <c r="X40" s="92">
        <f t="shared" si="15"/>
        <v>3085</v>
      </c>
      <c r="Y40" s="89">
        <f>'Юнит 14'!Y40+'Юнит 15'!Y40+'Юнит 16'!Y40+'Юнит 17'!Y40+'Юнит 18'!Y40</f>
        <v>5961</v>
      </c>
      <c r="Z40" s="89">
        <f>'Юнит 14'!Z40+'Юнит 15'!Z40+'Юнит 16'!Z40+'Юнит 17'!Z40+'Юнит 18'!Z40</f>
        <v>-1197</v>
      </c>
      <c r="AA40" s="232">
        <f t="shared" si="16"/>
        <v>4764</v>
      </c>
      <c r="AB40" s="92">
        <f t="shared" si="17"/>
        <v>6176.52</v>
      </c>
      <c r="AC40" s="234">
        <f t="shared" si="18"/>
        <v>3.1558405766559652E-4</v>
      </c>
      <c r="AD40" s="92">
        <f t="shared" si="19"/>
        <v>422.16</v>
      </c>
      <c r="AE40" s="89">
        <f>'Юнит 14'!AE40+'Юнит 15'!AE40+'Юнит 16'!AE40+'Юнит 17'!AE40+'Юнит 18'!AE40</f>
        <v>1809.8300000000002</v>
      </c>
      <c r="AF40" s="234">
        <f t="shared" si="20"/>
        <v>0.37989714525608737</v>
      </c>
      <c r="AG40" s="89">
        <f>'Юнит 14'!AG40+'Юнит 15'!AG40+'Юнит 16'!AG40+'Юнит 17'!AG40+'Юнит 18'!AG40</f>
        <v>995.26</v>
      </c>
      <c r="AH40" s="89">
        <f>'Юнит 14'!AH40+'Юнит 15'!AH40+'Юнит 16'!AH40+'Юнит 17'!AH40+'Юнит 18'!AH40</f>
        <v>0</v>
      </c>
      <c r="AI40" s="89">
        <f>'Юнит 14'!AI40+'Юнит 15'!AI40+'Юнит 16'!AI40+'Юнит 17'!AI40+'Юнит 18'!AI40</f>
        <v>0</v>
      </c>
      <c r="AJ40" s="89">
        <f>'Юнит 14'!AJ40+'Юнит 15'!AJ40+'Юнит 16'!AJ40+'Юнит 17'!AJ40+'Юнит 18'!AJ40</f>
        <v>0</v>
      </c>
      <c r="AK40" s="89">
        <f>'Юнит 14'!AK40+'Юнит 15'!AK40+'Юнит 16'!AK40+'Юнит 17'!AK40+'Юнит 18'!AK40</f>
        <v>0</v>
      </c>
      <c r="AL40" s="89">
        <f>'Юнит 14'!AL40+'Юнит 15'!AL40+'Юнит 16'!AL40+'Юнит 17'!AL40+'Юнит 18'!AL40</f>
        <v>131.30733928633001</v>
      </c>
      <c r="AM40" s="89">
        <f>'Юнит 14'!AM40+'Юнит 15'!AM40+'Юнит 16'!AM40+'Юнит 17'!AM40+'Юнит 18'!AM40</f>
        <v>0</v>
      </c>
      <c r="AN40" s="94">
        <f t="shared" si="21"/>
        <v>176.15349999999998</v>
      </c>
      <c r="AO40" s="95">
        <f t="shared" si="22"/>
        <v>1229.2891607136703</v>
      </c>
      <c r="AP40" s="96"/>
      <c r="AQ40" s="97">
        <f t="shared" si="5"/>
        <v>1191</v>
      </c>
      <c r="AR40" s="98">
        <f t="shared" si="34"/>
        <v>105.54</v>
      </c>
      <c r="AS40" s="98">
        <f t="shared" si="7"/>
        <v>452.45750000000004</v>
      </c>
      <c r="AT40" s="98">
        <f t="shared" si="8"/>
        <v>199.05199999999999</v>
      </c>
      <c r="AU40" s="98">
        <f t="shared" si="23"/>
        <v>0</v>
      </c>
      <c r="AV40" s="98">
        <f t="array" ref="AV40">_xlfn.IFS(U40=0,AO40,U40&lt;0,AO40/-U40,U40&gt;0,AO40/U40)</f>
        <v>307.32229017841757</v>
      </c>
      <c r="AW40" s="234">
        <f t="shared" si="46"/>
        <v>0.25803718738742032</v>
      </c>
      <c r="AX40" s="234">
        <f t="shared" si="47"/>
        <v>2.9119034506198367</v>
      </c>
      <c r="AY40" s="99"/>
      <c r="AZ40" s="94">
        <f t="shared" si="11"/>
        <v>9219.6687053525275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41</v>
      </c>
      <c r="F41" s="93" t="str">
        <f>'Юнит 18'!F41</f>
        <v/>
      </c>
      <c r="G41" s="93" t="str">
        <f>'Юнит 18'!G41</f>
        <v/>
      </c>
      <c r="H41" s="93">
        <f>'Юнит 18'!H41</f>
        <v>40</v>
      </c>
      <c r="I41" s="93">
        <f>'Юнит 18'!I41</f>
        <v>0</v>
      </c>
      <c r="J41" s="93">
        <f>'Юнит 18'!J41</f>
        <v>1</v>
      </c>
      <c r="K41" s="92">
        <v>123.09</v>
      </c>
      <c r="L41" s="92">
        <f t="shared" si="45"/>
        <v>5046.6900000000005</v>
      </c>
      <c r="M41" s="89">
        <f>'Юнит 18'!M41</f>
        <v>999</v>
      </c>
      <c r="N41" s="89">
        <f>'Юнит 14'!N41+'Юнит 15'!N41+'Юнит 16'!N41+'Юнит 17'!N41+'Юнит 18'!N41</f>
        <v>5</v>
      </c>
      <c r="O41" s="89">
        <v>1218</v>
      </c>
      <c r="P41" s="89">
        <v>50</v>
      </c>
      <c r="Q41" s="406">
        <f t="shared" si="48"/>
        <v>0.4</v>
      </c>
      <c r="R41" s="92">
        <f t="shared" si="13"/>
        <v>0.2857142857142857</v>
      </c>
      <c r="S41" s="89">
        <f>'Юнит 14'!S41+'Юнит 15'!S41+'Юнит 16'!S41+'Юнит 17'!S41+'Юнит 18'!S41</f>
        <v>2</v>
      </c>
      <c r="T41" s="89">
        <f>'Юнит 14'!T41+'Юнит 15'!T41+'Юнит 16'!T41+'Юнит 17'!T41+'Юнит 18'!T41</f>
        <v>0</v>
      </c>
      <c r="U41" s="92">
        <f t="shared" si="14"/>
        <v>2</v>
      </c>
      <c r="V41" s="89">
        <f>'Юнит 14'!V41+'Юнит 15'!V41+'Юнит 16'!V41+'Юнит 17'!V41+'Юнит 18'!V41</f>
        <v>1544</v>
      </c>
      <c r="W41" s="89">
        <f>'Юнит 14'!W41+'Юнит 15'!W41+'Юнит 16'!W41+'Юнит 17'!W41+'Юнит 18'!W41</f>
        <v>0</v>
      </c>
      <c r="X41" s="92">
        <f t="shared" si="15"/>
        <v>1544</v>
      </c>
      <c r="Y41" s="89">
        <f>'Юнит 14'!Y41+'Юнит 15'!Y41+'Юнит 16'!Y41+'Юнит 17'!Y41+'Юнит 18'!Y41</f>
        <v>2411</v>
      </c>
      <c r="Z41" s="89">
        <f>'Юнит 14'!Z41+'Юнит 15'!Z41+'Юнит 16'!Z41+'Юнит 17'!Z41+'Юнит 18'!Z41</f>
        <v>0</v>
      </c>
      <c r="AA41" s="232">
        <f t="shared" si="16"/>
        <v>2411</v>
      </c>
      <c r="AB41" s="92">
        <f t="shared" si="17"/>
        <v>3045</v>
      </c>
      <c r="AC41" s="234">
        <f t="shared" si="18"/>
        <v>1.5971309047685834E-4</v>
      </c>
      <c r="AD41" s="92">
        <f t="shared" si="19"/>
        <v>246.18</v>
      </c>
      <c r="AE41" s="89">
        <f>'Юнит 14'!AE41+'Юнит 15'!AE41+'Юнит 16'!AE41+'Юнит 17'!AE41+'Юнит 18'!AE41</f>
        <v>918.1</v>
      </c>
      <c r="AF41" s="234">
        <f t="shared" si="20"/>
        <v>0.38079635006221485</v>
      </c>
      <c r="AG41" s="89">
        <f>'Юнит 14'!AG41+'Юнит 15'!AG41+'Юнит 16'!AG41+'Юнит 17'!AG41+'Юнит 18'!AG41</f>
        <v>469.32</v>
      </c>
      <c r="AH41" s="89">
        <f>'Юнит 14'!AH41+'Юнит 15'!AH41+'Юнит 16'!AH41+'Юнит 17'!AH41+'Юнит 18'!AH41</f>
        <v>0</v>
      </c>
      <c r="AI41" s="89">
        <f>'Юнит 14'!AI41+'Юнит 15'!AI41+'Юнит 16'!AI41+'Юнит 17'!AI41+'Юнит 18'!AI41</f>
        <v>0</v>
      </c>
      <c r="AJ41" s="89">
        <f>'Юнит 14'!AJ41+'Юнит 15'!AJ41+'Юнит 16'!AJ41+'Юнит 17'!AJ41+'Юнит 18'!AJ41</f>
        <v>0</v>
      </c>
      <c r="AK41" s="89">
        <f>'Юнит 14'!AK41+'Юнит 15'!AK41+'Юнит 16'!AK41+'Юнит 17'!AK41+'Юнит 18'!AK41</f>
        <v>0</v>
      </c>
      <c r="AL41" s="89">
        <f>'Юнит 14'!AL41+'Юнит 15'!AL41+'Юнит 16'!AL41+'Юнит 17'!AL41+'Юнит 18'!AL41</f>
        <v>193.54217313629215</v>
      </c>
      <c r="AM41" s="89">
        <f>'Юнит 14'!AM41+'Юнит 15'!AM41+'Юнит 16'!AM41+'Юнит 17'!AM41+'Юнит 18'!AM41</f>
        <v>0</v>
      </c>
      <c r="AN41" s="94">
        <f t="shared" si="21"/>
        <v>88.162399999999991</v>
      </c>
      <c r="AO41" s="95">
        <f t="shared" si="22"/>
        <v>495.69542686370818</v>
      </c>
      <c r="AP41" s="96"/>
      <c r="AQ41" s="97">
        <f t="shared" si="5"/>
        <v>1205.5</v>
      </c>
      <c r="AR41" s="98">
        <f t="shared" si="34"/>
        <v>123.09</v>
      </c>
      <c r="AS41" s="98">
        <f t="shared" si="7"/>
        <v>459.05</v>
      </c>
      <c r="AT41" s="98">
        <f t="shared" si="8"/>
        <v>234.66</v>
      </c>
      <c r="AU41" s="98">
        <f t="shared" si="23"/>
        <v>0</v>
      </c>
      <c r="AV41" s="98">
        <f t="array" ref="AV41">_xlfn.IFS(U41=0,AO41,U41&lt;0,AO41/-U41,U41&gt;0,AO41/U41)</f>
        <v>247.84771343185409</v>
      </c>
      <c r="AW41" s="234">
        <f t="shared" si="46"/>
        <v>0.20559743959506768</v>
      </c>
      <c r="AX41" s="234">
        <f t="shared" si="47"/>
        <v>2.013548732081031</v>
      </c>
      <c r="AY41" s="99"/>
      <c r="AZ41" s="94">
        <f t="shared" si="11"/>
        <v>10161.756250706017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28</v>
      </c>
      <c r="F42" s="93">
        <f>'Юнит 18'!F42</f>
        <v>1</v>
      </c>
      <c r="G42" s="93" t="str">
        <f>'Юнит 18'!G42</f>
        <v/>
      </c>
      <c r="H42" s="93">
        <f>'Юнит 18'!H42</f>
        <v>26</v>
      </c>
      <c r="I42" s="93">
        <f>'Юнит 18'!I42</f>
        <v>0</v>
      </c>
      <c r="J42" s="93">
        <f>'Юнит 18'!J42</f>
        <v>1</v>
      </c>
      <c r="K42" s="92">
        <v>123.09</v>
      </c>
      <c r="L42" s="92">
        <f t="shared" si="45"/>
        <v>3446.52</v>
      </c>
      <c r="M42" s="89">
        <f>'Юнит 18'!M42</f>
        <v>999</v>
      </c>
      <c r="N42" s="89">
        <f>'Юнит 14'!N42+'Юнит 15'!N42+'Юнит 16'!N42+'Юнит 17'!N42+'Юнит 18'!N42</f>
        <v>16</v>
      </c>
      <c r="O42" s="89">
        <v>1176</v>
      </c>
      <c r="P42" s="89">
        <v>18</v>
      </c>
      <c r="Q42" s="406">
        <f t="shared" si="48"/>
        <v>0.3125</v>
      </c>
      <c r="R42" s="92">
        <f t="shared" si="13"/>
        <v>0.7142857142857143</v>
      </c>
      <c r="S42" s="89">
        <f>'Юнит 14'!S42+'Юнит 15'!S42+'Юнит 16'!S42+'Юнит 17'!S42+'Юнит 18'!S42</f>
        <v>5</v>
      </c>
      <c r="T42" s="89">
        <f>'Юнит 14'!T42+'Юнит 15'!T42+'Юнит 16'!T42+'Юнит 17'!T42+'Юнит 18'!T42</f>
        <v>0</v>
      </c>
      <c r="U42" s="92">
        <f t="shared" si="14"/>
        <v>5</v>
      </c>
      <c r="V42" s="89">
        <f>'Юнит 14'!V42+'Юнит 15'!V42+'Юнит 16'!V42+'Юнит 17'!V42+'Юнит 18'!V42</f>
        <v>4054.95</v>
      </c>
      <c r="W42" s="89">
        <f>'Юнит 14'!W42+'Юнит 15'!W42+'Юнит 16'!W42+'Юнит 17'!W42+'Юнит 18'!W42</f>
        <v>0</v>
      </c>
      <c r="X42" s="92">
        <f t="shared" si="15"/>
        <v>4054.95</v>
      </c>
      <c r="Y42" s="89">
        <f>'Юнит 14'!Y42+'Юнит 15'!Y42+'Юнит 16'!Y42+'Юнит 17'!Y42+'Юнит 18'!Y42</f>
        <v>5879.6</v>
      </c>
      <c r="Z42" s="89">
        <f>'Юнит 14'!Z42+'Юнит 15'!Z42+'Юнит 16'!Z42+'Юнит 17'!Z42+'Юнит 18'!Z42</f>
        <v>0</v>
      </c>
      <c r="AA42" s="232">
        <f t="shared" si="16"/>
        <v>5879.6</v>
      </c>
      <c r="AB42" s="92">
        <f t="shared" si="17"/>
        <v>3386.88</v>
      </c>
      <c r="AC42" s="234">
        <f t="shared" si="18"/>
        <v>3.8948531180743937E-4</v>
      </c>
      <c r="AD42" s="92">
        <f t="shared" si="19"/>
        <v>615.45000000000005</v>
      </c>
      <c r="AE42" s="89">
        <f>'Юнит 14'!AE42+'Юнит 15'!AE42+'Юнит 16'!AE42+'Юнит 17'!AE42+'Юнит 18'!AE42</f>
        <v>2227.75</v>
      </c>
      <c r="AF42" s="234">
        <f t="shared" si="20"/>
        <v>0.37889482277705966</v>
      </c>
      <c r="AG42" s="89">
        <f>'Юнит 14'!AG42+'Юнит 15'!AG42+'Юнит 16'!AG42+'Юнит 17'!AG42+'Юнит 18'!AG42</f>
        <v>1933.3100000000004</v>
      </c>
      <c r="AH42" s="89">
        <f>'Юнит 14'!AH42+'Юнит 15'!AH42+'Юнит 16'!AH42+'Юнит 17'!AH42+'Юнит 18'!AH42</f>
        <v>0</v>
      </c>
      <c r="AI42" s="89">
        <f>'Юнит 14'!AI42+'Юнит 15'!AI42+'Юнит 16'!AI42+'Юнит 17'!AI42+'Юнит 18'!AI42</f>
        <v>0</v>
      </c>
      <c r="AJ42" s="89">
        <f>'Юнит 14'!AJ42+'Юнит 15'!AJ42+'Юнит 16'!AJ42+'Юнит 17'!AJ42+'Юнит 18'!AJ42</f>
        <v>0</v>
      </c>
      <c r="AK42" s="89">
        <f>'Юнит 14'!AK42+'Юнит 15'!AK42+'Юнит 16'!AK42+'Юнит 17'!AK42+'Юнит 18'!AK42</f>
        <v>0</v>
      </c>
      <c r="AL42" s="89">
        <f>'Юнит 14'!AL42+'Юнит 15'!AL42+'Юнит 16'!AL42+'Юнит 17'!AL42+'Юнит 18'!AL42</f>
        <v>119.4130858336448</v>
      </c>
      <c r="AM42" s="89">
        <f>'Юнит 14'!AM42+'Юнит 15'!AM42+'Юнит 16'!AM42+'Юнит 17'!AM42+'Юнит 18'!AM42</f>
        <v>0</v>
      </c>
      <c r="AN42" s="94">
        <f t="shared" si="21"/>
        <v>231.53764499999997</v>
      </c>
      <c r="AO42" s="95">
        <f t="shared" si="22"/>
        <v>752.13926916635535</v>
      </c>
      <c r="AP42" s="96"/>
      <c r="AQ42" s="97">
        <f t="shared" si="5"/>
        <v>1175.92</v>
      </c>
      <c r="AR42" s="98">
        <f t="shared" si="34"/>
        <v>123.09</v>
      </c>
      <c r="AS42" s="98">
        <f t="shared" si="7"/>
        <v>445.55</v>
      </c>
      <c r="AT42" s="98">
        <f t="shared" si="8"/>
        <v>386.66200000000009</v>
      </c>
      <c r="AU42" s="98">
        <f t="shared" si="23"/>
        <v>0</v>
      </c>
      <c r="AV42" s="98">
        <f t="array" ref="AV42">_xlfn.IFS(U42=0,AO42,U42&lt;0,AO42/-U42,U42&gt;0,AO42/U42)</f>
        <v>150.42785383327106</v>
      </c>
      <c r="AW42" s="234">
        <f t="shared" si="46"/>
        <v>0.12792354397686156</v>
      </c>
      <c r="AX42" s="234">
        <f t="shared" si="47"/>
        <v>1.2220964646459587</v>
      </c>
      <c r="AY42" s="99"/>
      <c r="AZ42" s="94">
        <f t="shared" si="11"/>
        <v>4211.9799073315899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</v>
      </c>
      <c r="F43" s="93">
        <f>'Юнит 18'!F43</f>
        <v>2</v>
      </c>
      <c r="G43" s="93">
        <f>'Юнит 18'!G43</f>
        <v>1</v>
      </c>
      <c r="H43" s="93" t="str">
        <f>'Юнит 18'!H43</f>
        <v/>
      </c>
      <c r="I43" s="93">
        <f>'Юнит 18'!I43</f>
        <v>0</v>
      </c>
      <c r="J43" s="93">
        <f>'Юнит 18'!J43</f>
        <v>1</v>
      </c>
      <c r="K43" s="92">
        <v>123.09</v>
      </c>
      <c r="L43" s="92">
        <f t="shared" si="45"/>
        <v>492.36</v>
      </c>
      <c r="M43" s="89">
        <f>'Юнит 18'!M43</f>
        <v>999</v>
      </c>
      <c r="N43" s="89">
        <f>'Юнит 14'!N43+'Юнит 15'!N43+'Юнит 16'!N43+'Юнит 17'!N43+'Юнит 18'!N43</f>
        <v>17</v>
      </c>
      <c r="O43" s="89">
        <v>1102</v>
      </c>
      <c r="P43" s="89">
        <v>21</v>
      </c>
      <c r="Q43" s="406">
        <f t="shared" si="48"/>
        <v>0.29411764705882354</v>
      </c>
      <c r="R43" s="92">
        <f t="shared" si="13"/>
        <v>0.7142857142857143</v>
      </c>
      <c r="S43" s="89">
        <f>'Юнит 14'!S43+'Юнит 15'!S43+'Юнит 16'!S43+'Юнит 17'!S43+'Юнит 18'!S43</f>
        <v>7</v>
      </c>
      <c r="T43" s="89">
        <f>'Юнит 14'!T43+'Юнит 15'!T43+'Юнит 16'!T43+'Юнит 17'!T43+'Юнит 18'!T43</f>
        <v>-2</v>
      </c>
      <c r="U43" s="92">
        <f t="shared" si="14"/>
        <v>5</v>
      </c>
      <c r="V43" s="89">
        <f>'Юнит 14'!V43+'Юнит 15'!V43+'Юнит 16'!V43+'Юнит 17'!V43+'Юнит 18'!V43</f>
        <v>4967</v>
      </c>
      <c r="W43" s="89">
        <f>'Юнит 14'!W43+'Юнит 15'!W43+'Юнит 16'!W43+'Юнит 17'!W43+'Юнит 18'!W43</f>
        <v>-1476</v>
      </c>
      <c r="X43" s="92">
        <f t="shared" si="15"/>
        <v>3491</v>
      </c>
      <c r="Y43" s="89">
        <f>'Юнит 14'!Y43+'Юнит 15'!Y43+'Юнит 16'!Y43+'Юнит 17'!Y43+'Юнит 18'!Y43</f>
        <v>7634.9400000000005</v>
      </c>
      <c r="Z43" s="89">
        <f>'Юнит 14'!Z43+'Юнит 15'!Z43+'Юнит 16'!Z43+'Юнит 17'!Z43+'Юнит 18'!Z43</f>
        <v>-2204</v>
      </c>
      <c r="AA43" s="232">
        <f t="shared" si="16"/>
        <v>5430.9400000000005</v>
      </c>
      <c r="AB43" s="92">
        <f t="shared" si="17"/>
        <v>3934.14</v>
      </c>
      <c r="AC43" s="234">
        <f t="shared" si="18"/>
        <v>3.5976450086868067E-4</v>
      </c>
      <c r="AD43" s="92">
        <f t="shared" si="19"/>
        <v>615.45000000000005</v>
      </c>
      <c r="AE43" s="89">
        <f>'Юнит 14'!AE43+'Юнит 15'!AE43+'Юнит 16'!AE43+'Юнит 17'!AE43+'Юнит 18'!AE43</f>
        <v>2066.65</v>
      </c>
      <c r="AF43" s="234">
        <f t="shared" si="20"/>
        <v>0.38053265180613299</v>
      </c>
      <c r="AG43" s="89">
        <f>'Юнит 14'!AG43+'Юнит 15'!AG43+'Юнит 16'!AG43+'Юнит 17'!AG43+'Юнит 18'!AG43</f>
        <v>1491.85</v>
      </c>
      <c r="AH43" s="89">
        <f>'Юнит 14'!AH43+'Юнит 15'!AH43+'Юнит 16'!AH43+'Юнит 17'!AH43+'Юнит 18'!AH43</f>
        <v>0</v>
      </c>
      <c r="AI43" s="89">
        <f>'Юнит 14'!AI43+'Юнит 15'!AI43+'Юнит 16'!AI43+'Юнит 17'!AI43+'Юнит 18'!AI43</f>
        <v>0</v>
      </c>
      <c r="AJ43" s="89">
        <f>'Юнит 14'!AJ43+'Юнит 15'!AJ43+'Юнит 16'!AJ43+'Юнит 17'!AJ43+'Юнит 18'!AJ43</f>
        <v>0</v>
      </c>
      <c r="AK43" s="89">
        <f>'Юнит 14'!AK43+'Юнит 15'!AK43+'Юнит 16'!AK43+'Юнит 17'!AK43+'Юнит 18'!AK43</f>
        <v>0</v>
      </c>
      <c r="AL43" s="89">
        <f>'Юнит 14'!AL43+'Юнит 15'!AL43+'Юнит 16'!AL43+'Юнит 17'!AL43+'Юнит 18'!AL43</f>
        <v>5.4793715761993083</v>
      </c>
      <c r="AM43" s="89">
        <f>'Юнит 14'!AM43+'Юнит 15'!AM43+'Юнит 16'!AM43+'Юнит 17'!AM43+'Юнит 18'!AM43</f>
        <v>0</v>
      </c>
      <c r="AN43" s="94">
        <f t="shared" si="21"/>
        <v>199.33609999999999</v>
      </c>
      <c r="AO43" s="95">
        <f t="shared" si="22"/>
        <v>1052.1745284238013</v>
      </c>
      <c r="AP43" s="96"/>
      <c r="AQ43" s="97">
        <f t="shared" si="5"/>
        <v>1086.1880000000001</v>
      </c>
      <c r="AR43" s="98">
        <f t="shared" si="34"/>
        <v>123.09</v>
      </c>
      <c r="AS43" s="98">
        <f t="shared" si="7"/>
        <v>413.33000000000004</v>
      </c>
      <c r="AT43" s="98">
        <f t="shared" si="8"/>
        <v>213.12142857142857</v>
      </c>
      <c r="AU43" s="98">
        <f t="shared" si="23"/>
        <v>0</v>
      </c>
      <c r="AV43" s="98">
        <f t="array" ref="AV43">_xlfn.IFS(U43=0,AO43,U43&lt;0,AO43/-U43,U43&gt;0,AO43/U43)</f>
        <v>210.43490568476028</v>
      </c>
      <c r="AW43" s="234">
        <f t="shared" si="46"/>
        <v>0.19373709310428788</v>
      </c>
      <c r="AX43" s="234">
        <f t="shared" si="47"/>
        <v>1.7096019634800574</v>
      </c>
      <c r="AY43" s="99"/>
      <c r="AZ43" s="94">
        <f t="shared" si="11"/>
        <v>841.73962273904112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168</v>
      </c>
      <c r="F44" s="93">
        <f>'Юнит 18'!F44</f>
        <v>22</v>
      </c>
      <c r="G44" s="93">
        <f>'Юнит 18'!G44</f>
        <v>10</v>
      </c>
      <c r="H44" s="93">
        <f>'Юнит 18'!H44</f>
        <v>72</v>
      </c>
      <c r="I44" s="93">
        <f>'Юнит 18'!I44</f>
        <v>0</v>
      </c>
      <c r="J44" s="93">
        <f>'Юнит 18'!J44</f>
        <v>64</v>
      </c>
      <c r="K44" s="92">
        <v>111.39</v>
      </c>
      <c r="L44" s="92">
        <f t="shared" si="45"/>
        <v>18713.52</v>
      </c>
      <c r="M44" s="89">
        <f>'Юнит 18'!M44</f>
        <v>66</v>
      </c>
      <c r="N44" s="89">
        <f>'Юнит 14'!N44+'Юнит 15'!N44+'Юнит 16'!N44+'Юнит 17'!N44+'Юнит 18'!N44</f>
        <v>279</v>
      </c>
      <c r="O44" s="89">
        <v>1260</v>
      </c>
      <c r="P44" s="89">
        <v>40</v>
      </c>
      <c r="Q44" s="406">
        <f t="shared" si="48"/>
        <v>0.41935483870967744</v>
      </c>
      <c r="R44" s="92">
        <f t="shared" si="13"/>
        <v>16.714285714285715</v>
      </c>
      <c r="S44" s="89">
        <f>'Юнит 14'!S44+'Юнит 15'!S44+'Юнит 16'!S44+'Юнит 17'!S44+'Юнит 18'!S44</f>
        <v>124</v>
      </c>
      <c r="T44" s="89">
        <f>'Юнит 14'!T44+'Юнит 15'!T44+'Юнит 16'!T44+'Юнит 17'!T44+'Юнит 18'!T44</f>
        <v>-7</v>
      </c>
      <c r="U44" s="92">
        <f t="shared" si="14"/>
        <v>117</v>
      </c>
      <c r="V44" s="89">
        <f>'Юнит 14'!V44+'Юнит 15'!V44+'Юнит 16'!V44+'Юнит 17'!V44+'Юнит 18'!V44</f>
        <v>104116</v>
      </c>
      <c r="W44" s="89">
        <f>'Юнит 14'!W44+'Юнит 15'!W44+'Юнит 16'!W44+'Юнит 17'!W44+'Юнит 18'!W44</f>
        <v>-5899.4400000000005</v>
      </c>
      <c r="X44" s="92">
        <f t="shared" si="15"/>
        <v>98216.56</v>
      </c>
      <c r="Y44" s="89">
        <f>'Юнит 14'!Y44+'Юнит 15'!Y44+'Юнит 16'!Y44+'Юнит 17'!Y44+'Юнит 18'!Y44</f>
        <v>154970.57999999999</v>
      </c>
      <c r="Z44" s="89">
        <f>'Юнит 14'!Z44+'Юнит 15'!Z44+'Юнит 16'!Z44+'Юнит 17'!Z44+'Юнит 18'!Z44</f>
        <v>-8742.11</v>
      </c>
      <c r="AA44" s="232">
        <f t="shared" si="16"/>
        <v>146228.46999999997</v>
      </c>
      <c r="AB44" s="92">
        <f t="shared" si="17"/>
        <v>140616</v>
      </c>
      <c r="AC44" s="234">
        <f t="shared" si="18"/>
        <v>9.6866863788480136E-3</v>
      </c>
      <c r="AD44" s="92">
        <f t="shared" si="19"/>
        <v>13032.63</v>
      </c>
      <c r="AE44" s="89">
        <f>'Юнит 14'!AE44+'Юнит 15'!AE44+'Юнит 16'!AE44+'Юнит 17'!AE44+'Юнит 18'!AE44</f>
        <v>55430.22</v>
      </c>
      <c r="AF44" s="234">
        <f t="shared" si="20"/>
        <v>0.37906585495970802</v>
      </c>
      <c r="AG44" s="89">
        <f>'Юнит 14'!AG44+'Юнит 15'!AG44+'Юнит 16'!AG44+'Юнит 17'!AG44+'Юнит 18'!AG44</f>
        <v>22065.289999999997</v>
      </c>
      <c r="AH44" s="89">
        <f>'Юнит 14'!AH44+'Юнит 15'!AH44+'Юнит 16'!AH44+'Юнит 17'!AH44+'Юнит 18'!AH44</f>
        <v>1021</v>
      </c>
      <c r="AI44" s="89">
        <f>'Юнит 14'!AI44+'Юнит 15'!AI44+'Юнит 16'!AI44+'Юнит 17'!AI44+'Юнит 18'!AI44</f>
        <v>8679</v>
      </c>
      <c r="AJ44" s="89">
        <f>'Юнит 14'!AJ44+'Юнит 15'!AJ44+'Юнит 16'!AJ44+'Юнит 17'!AJ44+'Юнит 18'!AJ44</f>
        <v>0</v>
      </c>
      <c r="AK44" s="89">
        <f>'Юнит 14'!AK44+'Юнит 15'!AK44+'Юнит 16'!AK44+'Юнит 17'!AK44+'Юнит 18'!AK44</f>
        <v>0</v>
      </c>
      <c r="AL44" s="89">
        <f>'Юнит 14'!AL44+'Юнит 15'!AL44+'Юнит 16'!AL44+'Юнит 17'!AL44+'Юнит 18'!AL44</f>
        <v>435.04676022202733</v>
      </c>
      <c r="AM44" s="89">
        <f>'Юнит 14'!AM44+'Юнит 15'!AM44+'Юнит 16'!AM44+'Юнит 17'!AM44+'Юнит 18'!AM44</f>
        <v>911</v>
      </c>
      <c r="AN44" s="94">
        <f t="shared" si="21"/>
        <v>5608.1655759999994</v>
      </c>
      <c r="AO44" s="95">
        <f t="shared" si="22"/>
        <v>39046.117663777943</v>
      </c>
      <c r="AP44" s="96"/>
      <c r="AQ44" s="97">
        <f t="shared" si="5"/>
        <v>1249.8159829059828</v>
      </c>
      <c r="AR44" s="98">
        <f t="shared" si="34"/>
        <v>111.39</v>
      </c>
      <c r="AS44" s="98">
        <f t="shared" si="7"/>
        <v>473.76256410256411</v>
      </c>
      <c r="AT44" s="98">
        <f t="shared" si="8"/>
        <v>177.94588709677416</v>
      </c>
      <c r="AU44" s="98">
        <f t="shared" si="23"/>
        <v>78.225806451612897</v>
      </c>
      <c r="AV44" s="98">
        <f t="array" ref="AV44">_xlfn.IFS(U44=0,AO44,U44&lt;0,AO44/-U44,U44&gt;0,AO44/U44)</f>
        <v>333.7275013998115</v>
      </c>
      <c r="AW44" s="234">
        <f t="shared" si="46"/>
        <v>0.26702131030830006</v>
      </c>
      <c r="AX44" s="234">
        <f t="shared" si="47"/>
        <v>2.9960274836144314</v>
      </c>
      <c r="AY44" s="99"/>
      <c r="AZ44" s="94">
        <f t="shared" si="11"/>
        <v>56066.22023516833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112</v>
      </c>
      <c r="F45" s="93">
        <f>'Юнит 18'!F45</f>
        <v>42</v>
      </c>
      <c r="G45" s="93">
        <f>'Юнит 18'!G45</f>
        <v>10</v>
      </c>
      <c r="H45" s="93">
        <f>'Юнит 18'!H45</f>
        <v>59</v>
      </c>
      <c r="I45" s="93">
        <f>'Юнит 18'!I45</f>
        <v>0</v>
      </c>
      <c r="J45" s="93">
        <f>'Юнит 18'!J45</f>
        <v>1</v>
      </c>
      <c r="K45" s="92">
        <v>107.88</v>
      </c>
      <c r="L45" s="92">
        <f t="shared" si="45"/>
        <v>12082.56</v>
      </c>
      <c r="M45" s="89">
        <f>'Юнит 18'!M45</f>
        <v>36</v>
      </c>
      <c r="N45" s="89">
        <f>'Юнит 14'!N45+'Юнит 15'!N45+'Юнит 16'!N45+'Юнит 17'!N45+'Юнит 18'!N45</f>
        <v>292</v>
      </c>
      <c r="O45" s="89">
        <v>1778</v>
      </c>
      <c r="P45" s="89">
        <v>34</v>
      </c>
      <c r="Q45" s="406">
        <f t="shared" si="48"/>
        <v>0.32191780821917809</v>
      </c>
      <c r="R45" s="92">
        <f t="shared" si="13"/>
        <v>13.428571428571429</v>
      </c>
      <c r="S45" s="89">
        <f>'Юнит 14'!S45+'Юнит 15'!S45+'Юнит 16'!S45+'Юнит 17'!S45+'Юнит 18'!S45</f>
        <v>100</v>
      </c>
      <c r="T45" s="89">
        <f>'Юнит 14'!T45+'Юнит 15'!T45+'Юнит 16'!T45+'Юнит 17'!T45+'Юнит 18'!T45</f>
        <v>-6</v>
      </c>
      <c r="U45" s="92">
        <f t="shared" si="14"/>
        <v>94</v>
      </c>
      <c r="V45" s="89">
        <f>'Юнит 14'!V45+'Юнит 15'!V45+'Юнит 16'!V45+'Юнит 17'!V45+'Юнит 18'!V45</f>
        <v>122386.62999999998</v>
      </c>
      <c r="W45" s="89">
        <f>'Юнит 14'!W45+'Юнит 15'!W45+'Юнит 16'!W45+'Юнит 17'!W45+'Юнит 18'!W45</f>
        <v>-7001</v>
      </c>
      <c r="X45" s="92">
        <f t="shared" si="15"/>
        <v>115385.62999999998</v>
      </c>
      <c r="Y45" s="89">
        <f>'Юнит 14'!Y45+'Юнит 15'!Y45+'Юнит 16'!Y45+'Юнит 17'!Y45+'Юнит 18'!Y45</f>
        <v>180233.05000000002</v>
      </c>
      <c r="Z45" s="89">
        <f>'Юнит 14'!Z45+'Юнит 15'!Z45+'Юнит 16'!Z45+'Юнит 17'!Z45+'Юнит 18'!Z45</f>
        <v>-10432</v>
      </c>
      <c r="AA45" s="232">
        <f t="shared" si="16"/>
        <v>169801.05000000002</v>
      </c>
      <c r="AB45" s="92">
        <f t="shared" si="17"/>
        <v>176519.84</v>
      </c>
      <c r="AC45" s="234">
        <f t="shared" si="18"/>
        <v>1.1248216699176918E-2</v>
      </c>
      <c r="AD45" s="92">
        <f t="shared" si="19"/>
        <v>10140.719999999999</v>
      </c>
      <c r="AE45" s="89">
        <f>'Юнит 14'!AE45+'Юнит 15'!AE45+'Юнит 16'!AE45+'Юнит 17'!AE45+'Юнит 18'!AE45</f>
        <v>64302.480000000018</v>
      </c>
      <c r="AF45" s="234">
        <f t="shared" si="20"/>
        <v>0.37869306461885843</v>
      </c>
      <c r="AG45" s="89">
        <f>'Юнит 14'!AG45+'Юнит 15'!AG45+'Юнит 16'!AG45+'Юнит 17'!AG45+'Юнит 18'!AG45</f>
        <v>21630.719999999998</v>
      </c>
      <c r="AH45" s="89">
        <f>'Юнит 14'!AH45+'Юнит 15'!AH45+'Юнит 16'!AH45+'Юнит 17'!AH45+'Юнит 18'!AH45</f>
        <v>6083</v>
      </c>
      <c r="AI45" s="89">
        <f>'Юнит 14'!AI45+'Юнит 15'!AI45+'Юнит 16'!AI45+'Юнит 17'!AI45+'Юнит 18'!AI45</f>
        <v>16114</v>
      </c>
      <c r="AJ45" s="89">
        <f>'Юнит 14'!AJ45+'Юнит 15'!AJ45+'Юнит 16'!AJ45+'Юнит 17'!AJ45+'Юнит 18'!AJ45</f>
        <v>8710</v>
      </c>
      <c r="AK45" s="89">
        <f>'Юнит 14'!AK45+'Юнит 15'!AK45+'Юнит 16'!AK45+'Юнит 17'!AK45+'Юнит 18'!AK45</f>
        <v>0</v>
      </c>
      <c r="AL45" s="89">
        <f>'Юнит 14'!AL45+'Юнит 15'!AL45+'Юнит 16'!AL45+'Юнит 17'!AL45+'Юнит 18'!AL45</f>
        <v>444.55993154400352</v>
      </c>
      <c r="AM45" s="89">
        <f>'Юнит 14'!AM45+'Юнит 15'!AM45+'Юнит 16'!AM45+'Юнит 17'!AM45+'Юнит 18'!AM45</f>
        <v>0</v>
      </c>
      <c r="AN45" s="94">
        <f t="shared" si="21"/>
        <v>6588.5194729999985</v>
      </c>
      <c r="AO45" s="95">
        <f t="shared" si="22"/>
        <v>35787.050595455999</v>
      </c>
      <c r="AP45" s="96"/>
      <c r="AQ45" s="97">
        <f t="shared" si="5"/>
        <v>1806.3941489361705</v>
      </c>
      <c r="AR45" s="98">
        <f t="shared" si="34"/>
        <v>107.88</v>
      </c>
      <c r="AS45" s="98">
        <f t="shared" si="7"/>
        <v>684.06893617021296</v>
      </c>
      <c r="AT45" s="98">
        <f t="shared" si="8"/>
        <v>216.30719999999997</v>
      </c>
      <c r="AU45" s="98">
        <f t="shared" si="23"/>
        <v>309.07</v>
      </c>
      <c r="AV45" s="98">
        <f t="array" ref="AV45">_xlfn.IFS(U45=0,AO45,U45&lt;0,AO45/-U45,U45&gt;0,AO45/U45)</f>
        <v>380.71330420697871</v>
      </c>
      <c r="AW45" s="234">
        <f t="shared" si="46"/>
        <v>0.21075871200711652</v>
      </c>
      <c r="AX45" s="234">
        <f t="shared" si="47"/>
        <v>3.5290443474877522</v>
      </c>
      <c r="AY45" s="99"/>
      <c r="AZ45" s="94">
        <f t="shared" si="11"/>
        <v>42639.890071181617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1</v>
      </c>
      <c r="F46" s="93">
        <f>'Юнит 18'!F46</f>
        <v>0</v>
      </c>
      <c r="G46" s="93">
        <f>'Юнит 18'!G46</f>
        <v>0</v>
      </c>
      <c r="H46" s="93">
        <f>'Юнит 18'!H46</f>
        <v>0</v>
      </c>
      <c r="I46" s="93">
        <f>'Юнит 18'!I46</f>
        <v>0</v>
      </c>
      <c r="J46" s="93">
        <f>'Юнит 18'!J46</f>
        <v>1</v>
      </c>
      <c r="K46" s="92">
        <v>107.88</v>
      </c>
      <c r="L46" s="92">
        <f t="shared" si="45"/>
        <v>107.88</v>
      </c>
      <c r="M46" s="89">
        <f>'Юнит 18'!M46</f>
        <v>0</v>
      </c>
      <c r="N46" s="89">
        <f>'Юнит 14'!N46+'Юнит 15'!N46+'Юнит 16'!N46+'Юнит 17'!N46+'Юнит 18'!N46</f>
        <v>0</v>
      </c>
      <c r="O46" s="89">
        <v>0</v>
      </c>
      <c r="P46" s="89">
        <v>0</v>
      </c>
      <c r="Q46" s="406"/>
      <c r="R46" s="92">
        <f t="shared" si="13"/>
        <v>0</v>
      </c>
      <c r="S46" s="89">
        <f>'Юнит 14'!S46+'Юнит 15'!S46+'Юнит 16'!S46+'Юнит 17'!S46+'Юнит 18'!S46</f>
        <v>0</v>
      </c>
      <c r="T46" s="89">
        <f>'Юнит 14'!T46+'Юнит 15'!T46+'Юнит 16'!T46+'Юнит 17'!T46+'Юнит 18'!T46</f>
        <v>0</v>
      </c>
      <c r="U46" s="92">
        <f t="shared" si="14"/>
        <v>0</v>
      </c>
      <c r="V46" s="89">
        <f>'Юнит 14'!V46+'Юнит 15'!V46+'Юнит 16'!V46+'Юнит 17'!V46+'Юнит 18'!V46</f>
        <v>0</v>
      </c>
      <c r="W46" s="89">
        <f>'Юнит 14'!W46+'Юнит 15'!W46+'Юнит 16'!W46+'Юнит 17'!W46+'Юнит 18'!W46</f>
        <v>0</v>
      </c>
      <c r="X46" s="92">
        <f t="shared" si="15"/>
        <v>0</v>
      </c>
      <c r="Y46" s="89">
        <f>'Юнит 14'!Y46+'Юнит 15'!Y46+'Юнит 16'!Y46+'Юнит 17'!Y46+'Юнит 18'!Y46</f>
        <v>0</v>
      </c>
      <c r="Z46" s="89">
        <f>'Юнит 14'!Z46+'Юнит 15'!Z46+'Юнит 16'!Z46+'Юнит 17'!Z46+'Юнит 18'!Z46</f>
        <v>0</v>
      </c>
      <c r="AA46" s="23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89">
        <f>'Юнит 14'!AE46+'Юнит 15'!AE46+'Юнит 16'!AE46+'Юнит 17'!AE46+'Юнит 18'!AE46</f>
        <v>0</v>
      </c>
      <c r="AF46" s="234">
        <f t="shared" si="20"/>
        <v>0</v>
      </c>
      <c r="AG46" s="89">
        <f>'Юнит 14'!AG46+'Юнит 15'!AG46+'Юнит 16'!AG46+'Юнит 17'!AG46+'Юнит 18'!AG46</f>
        <v>0</v>
      </c>
      <c r="AH46" s="89">
        <f>'Юнит 14'!AH46+'Юнит 15'!AH46+'Юнит 16'!AH46+'Юнит 17'!AH46+'Юнит 18'!AH46</f>
        <v>0</v>
      </c>
      <c r="AI46" s="89">
        <f>'Юнит 14'!AI46+'Юнит 15'!AI46+'Юнит 16'!AI46+'Юнит 17'!AI46+'Юнит 18'!AI46</f>
        <v>0</v>
      </c>
      <c r="AJ46" s="89">
        <f>'Юнит 14'!AJ46+'Юнит 15'!AJ46+'Юнит 16'!AJ46+'Юнит 17'!AJ46+'Юнит 18'!AJ46</f>
        <v>0</v>
      </c>
      <c r="AK46" s="89">
        <f>'Юнит 14'!AK46+'Юнит 15'!AK46+'Юнит 16'!AK46+'Юнит 17'!AK46+'Юнит 18'!AK46</f>
        <v>0</v>
      </c>
      <c r="AL46" s="89">
        <f>'Юнит 14'!AL46+'Юнит 15'!AL46+'Юнит 16'!AL46+'Юнит 17'!AL46+'Юнит 18'!AL46</f>
        <v>0</v>
      </c>
      <c r="AM46" s="89">
        <f>'Юнит 14'!AM46+'Юнит 15'!AM46+'Юнит 16'!AM46+'Юнит 17'!AM46+'Юнит 18'!AM46</f>
        <v>0</v>
      </c>
      <c r="AN46" s="94">
        <f t="shared" si="21"/>
        <v>0</v>
      </c>
      <c r="AO46" s="95">
        <f t="shared" si="22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41</v>
      </c>
      <c r="F47" s="93">
        <f>'Юнит 18'!F47</f>
        <v>11</v>
      </c>
      <c r="G47" s="93">
        <f>'Юнит 18'!G47</f>
        <v>3</v>
      </c>
      <c r="H47" s="93">
        <f>'Юнит 18'!H47</f>
        <v>22</v>
      </c>
      <c r="I47" s="93">
        <f>'Юнит 18'!I47</f>
        <v>0</v>
      </c>
      <c r="J47" s="93">
        <f>'Юнит 18'!J47</f>
        <v>5</v>
      </c>
      <c r="K47" s="92">
        <v>123.09</v>
      </c>
      <c r="L47" s="92">
        <f t="shared" si="45"/>
        <v>5046.6900000000005</v>
      </c>
      <c r="M47" s="89">
        <f>'Юнит 18'!M47</f>
        <v>47</v>
      </c>
      <c r="N47" s="89">
        <f>'Юнит 14'!N47+'Юнит 15'!N47+'Юнит 16'!N47+'Юнит 17'!N47+'Юнит 18'!N47</f>
        <v>51</v>
      </c>
      <c r="O47" s="89">
        <v>1404</v>
      </c>
      <c r="P47" s="89">
        <v>56</v>
      </c>
      <c r="Q47" s="406">
        <f t="shared" ref="Q47:Q55" si="49">U47/N47</f>
        <v>0.45098039215686275</v>
      </c>
      <c r="R47" s="92">
        <f t="shared" si="13"/>
        <v>3.2857142857142856</v>
      </c>
      <c r="S47" s="89">
        <f>'Юнит 14'!S47+'Юнит 15'!S47+'Юнит 16'!S47+'Юнит 17'!S47+'Юнит 18'!S47</f>
        <v>26</v>
      </c>
      <c r="T47" s="89">
        <f>'Юнит 14'!T47+'Юнит 15'!T47+'Юнит 16'!T47+'Юнит 17'!T47+'Юнит 18'!T47</f>
        <v>-3</v>
      </c>
      <c r="U47" s="92">
        <f t="shared" si="14"/>
        <v>23</v>
      </c>
      <c r="V47" s="89">
        <f>'Юнит 14'!V47+'Юнит 15'!V47+'Юнит 16'!V47+'Юнит 17'!V47+'Юнит 18'!V47</f>
        <v>24827.22</v>
      </c>
      <c r="W47" s="89">
        <f>'Юнит 14'!W47+'Юнит 15'!W47+'Юнит 16'!W47+'Юнит 17'!W47+'Юнит 18'!W47</f>
        <v>-2682</v>
      </c>
      <c r="X47" s="92">
        <f t="shared" si="15"/>
        <v>22145.22</v>
      </c>
      <c r="Y47" s="89">
        <f>'Юнит 14'!Y47+'Юнит 15'!Y47+'Юнит 16'!Y47+'Юнит 17'!Y47+'Юнит 18'!Y47</f>
        <v>36285.82</v>
      </c>
      <c r="Z47" s="89">
        <f>'Юнит 14'!Z47+'Юнит 15'!Z47+'Юнит 16'!Z47+'Юнит 17'!Z47+'Юнит 18'!Z47</f>
        <v>-4140.88</v>
      </c>
      <c r="AA47" s="232">
        <f t="shared" si="16"/>
        <v>32144.94</v>
      </c>
      <c r="AB47" s="92">
        <f t="shared" si="17"/>
        <v>40098.239999999998</v>
      </c>
      <c r="AC47" s="234">
        <f t="shared" si="18"/>
        <v>2.1293934925728673E-3</v>
      </c>
      <c r="AD47" s="92">
        <f t="shared" si="19"/>
        <v>2831.07</v>
      </c>
      <c r="AE47" s="89">
        <f>'Юнит 14'!AE47+'Юнит 15'!AE47+'Юнит 16'!AE47+'Юнит 17'!AE47+'Юнит 18'!AE47</f>
        <v>12196.199999999999</v>
      </c>
      <c r="AF47" s="234">
        <f t="shared" si="20"/>
        <v>0.37941274738730263</v>
      </c>
      <c r="AG47" s="89">
        <f>'Юнит 14'!AG47+'Юнит 15'!AG47+'Юнит 16'!AG47+'Юнит 17'!AG47+'Юнит 18'!AG47</f>
        <v>3923.31</v>
      </c>
      <c r="AH47" s="89">
        <f>'Юнит 14'!AH47+'Юнит 15'!AH47+'Юнит 16'!AH47+'Юнит 17'!AH47+'Юнит 18'!AH47</f>
        <v>0</v>
      </c>
      <c r="AI47" s="89">
        <f>'Юнит 14'!AI47+'Юнит 15'!AI47+'Юнит 16'!AI47+'Юнит 17'!AI47+'Юнит 18'!AI47</f>
        <v>883</v>
      </c>
      <c r="AJ47" s="89">
        <f>'Юнит 14'!AJ47+'Юнит 15'!AJ47+'Юнит 16'!AJ47+'Юнит 17'!AJ47+'Юнит 18'!AJ47</f>
        <v>104</v>
      </c>
      <c r="AK47" s="89">
        <f>'Юнит 14'!AK47+'Юнит 15'!AK47+'Юнит 16'!AK47+'Юнит 17'!AK47+'Юнит 18'!AK47</f>
        <v>0</v>
      </c>
      <c r="AL47" s="89">
        <f>'Юнит 14'!AL47+'Юнит 15'!AL47+'Юнит 16'!AL47+'Юнит 17'!AL47+'Юнит 18'!AL47</f>
        <v>156.43241898758396</v>
      </c>
      <c r="AM47" s="89">
        <f>'Юнит 14'!AM47+'Юнит 15'!AM47+'Юнит 16'!AM47+'Юнит 17'!AM47+'Юнит 18'!AM47</f>
        <v>20</v>
      </c>
      <c r="AN47" s="94">
        <f t="shared" si="21"/>
        <v>1264.492062</v>
      </c>
      <c r="AO47" s="95">
        <f t="shared" si="22"/>
        <v>10766.435519012415</v>
      </c>
      <c r="AP47" s="96"/>
      <c r="AQ47" s="97">
        <f t="shared" si="5"/>
        <v>1397.6060869565217</v>
      </c>
      <c r="AR47" s="98">
        <f t="shared" si="34"/>
        <v>123.09</v>
      </c>
      <c r="AS47" s="98">
        <f t="shared" si="7"/>
        <v>530.26956521739123</v>
      </c>
      <c r="AT47" s="98">
        <f t="shared" si="8"/>
        <v>150.89653846153846</v>
      </c>
      <c r="AU47" s="98">
        <f t="shared" si="23"/>
        <v>37.96153846153846</v>
      </c>
      <c r="AV47" s="98">
        <f t="array" ref="AV47">_xlfn.IFS(U47=0,AO47,U47&lt;0,AO47/-U47,U47&gt;0,AO47/U47)</f>
        <v>468.10589213097455</v>
      </c>
      <c r="AW47" s="234">
        <f t="shared" si="46"/>
        <v>0.33493406797500369</v>
      </c>
      <c r="AX47" s="234">
        <f t="shared" si="47"/>
        <v>3.8029563094562886</v>
      </c>
      <c r="AY47" s="99"/>
      <c r="AZ47" s="94">
        <f t="shared" si="11"/>
        <v>19192.341577369956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229</v>
      </c>
      <c r="F48" s="93">
        <f>'Юнит 18'!F48</f>
        <v>47</v>
      </c>
      <c r="G48" s="93">
        <f>'Юнит 18'!G48</f>
        <v>10</v>
      </c>
      <c r="H48" s="93">
        <f>'Юнит 18'!H48</f>
        <v>171</v>
      </c>
      <c r="I48" s="93">
        <f>'Юнит 18'!I48</f>
        <v>0</v>
      </c>
      <c r="J48" s="93">
        <f>'Юнит 18'!J48</f>
        <v>1</v>
      </c>
      <c r="K48" s="92">
        <v>107.88</v>
      </c>
      <c r="L48" s="92">
        <f t="shared" si="45"/>
        <v>24704.52</v>
      </c>
      <c r="M48" s="89">
        <f>'Юнит 18'!M48</f>
        <v>66</v>
      </c>
      <c r="N48" s="89">
        <f>'Юнит 14'!N48+'Юнит 15'!N48+'Юнит 16'!N48+'Юнит 17'!N48+'Юнит 18'!N48</f>
        <v>462</v>
      </c>
      <c r="O48" s="89">
        <v>1400</v>
      </c>
      <c r="P48" s="89">
        <v>43</v>
      </c>
      <c r="Q48" s="406">
        <f t="shared" si="49"/>
        <v>0.44805194805194803</v>
      </c>
      <c r="R48" s="92">
        <f t="shared" si="13"/>
        <v>29.571428571428573</v>
      </c>
      <c r="S48" s="89">
        <f>'Юнит 14'!S48+'Юнит 15'!S48+'Юнит 16'!S48+'Юнит 17'!S48+'Юнит 18'!S48</f>
        <v>222</v>
      </c>
      <c r="T48" s="89">
        <f>'Юнит 14'!T48+'Юнит 15'!T48+'Юнит 16'!T48+'Юнит 17'!T48+'Юнит 18'!T48</f>
        <v>-15</v>
      </c>
      <c r="U48" s="92">
        <f t="shared" si="14"/>
        <v>207</v>
      </c>
      <c r="V48" s="89">
        <f>'Юнит 14'!V48+'Юнит 15'!V48+'Юнит 16'!V48+'Юнит 17'!V48+'Юнит 18'!V48</f>
        <v>205697.28</v>
      </c>
      <c r="W48" s="89">
        <f>'Юнит 14'!W48+'Юнит 15'!W48+'Юнит 16'!W48+'Юнит 17'!W48+'Юнит 18'!W48</f>
        <v>-13493.43</v>
      </c>
      <c r="X48" s="92">
        <f t="shared" si="15"/>
        <v>192203.85</v>
      </c>
      <c r="Y48" s="89">
        <f>'Юнит 14'!Y48+'Юнит 15'!Y48+'Юнит 16'!Y48+'Юнит 17'!Y48+'Юнит 18'!Y48</f>
        <v>305336.90999999997</v>
      </c>
      <c r="Z48" s="89">
        <f>'Юнит 14'!Z48+'Юнит 15'!Z48+'Юнит 16'!Z48+'Юнит 17'!Z48+'Юнит 18'!Z48</f>
        <v>-20303.13</v>
      </c>
      <c r="AA48" s="232">
        <f t="shared" si="16"/>
        <v>285033.77999999997</v>
      </c>
      <c r="AB48" s="92">
        <f t="shared" si="17"/>
        <v>278124</v>
      </c>
      <c r="AC48" s="234">
        <f t="shared" si="18"/>
        <v>1.8881636621360817E-2</v>
      </c>
      <c r="AD48" s="92">
        <f t="shared" si="19"/>
        <v>22331.16</v>
      </c>
      <c r="AE48" s="89">
        <f>'Юнит 14'!AE48+'Юнит 15'!AE48+'Юнит 16'!AE48+'Юнит 17'!AE48+'Юнит 18'!AE48</f>
        <v>107564.15999999997</v>
      </c>
      <c r="AF48" s="234">
        <f t="shared" si="20"/>
        <v>0.37737337658715392</v>
      </c>
      <c r="AG48" s="89">
        <f>'Юнит 14'!AG48+'Юнит 15'!AG48+'Юнит 16'!AG48+'Юнит 17'!AG48+'Юнит 18'!AG48</f>
        <v>34860.029999999962</v>
      </c>
      <c r="AH48" s="89">
        <f>'Юнит 14'!AH48+'Юнит 15'!AH48+'Юнит 16'!AH48+'Юнит 17'!AH48+'Юнит 18'!AH48</f>
        <v>0</v>
      </c>
      <c r="AI48" s="89">
        <f>'Юнит 14'!AI48+'Юнит 15'!AI48+'Юнит 16'!AI48+'Юнит 17'!AI48+'Юнит 18'!AI48</f>
        <v>21897</v>
      </c>
      <c r="AJ48" s="89">
        <f>'Юнит 14'!AJ48+'Юнит 15'!AJ48+'Юнит 16'!AJ48+'Юнит 17'!AJ48+'Юнит 18'!AJ48</f>
        <v>4326</v>
      </c>
      <c r="AK48" s="89">
        <f>'Юнит 14'!AK48+'Юнит 15'!AK48+'Юнит 16'!AK48+'Юнит 17'!AK48+'Юнит 18'!AK48</f>
        <v>0</v>
      </c>
      <c r="AL48" s="89">
        <f>'Юнит 14'!AL48+'Юнит 15'!AL48+'Юнит 16'!AL48+'Юнит 17'!AL48+'Юнит 18'!AL48</f>
        <v>919.55424581442389</v>
      </c>
      <c r="AM48" s="89">
        <f>'Юнит 14'!AM48+'Юнит 15'!AM48+'Юнит 16'!AM48+'Юнит 17'!AM48+'Юнит 18'!AM48</f>
        <v>10</v>
      </c>
      <c r="AN48" s="94">
        <f t="shared" si="21"/>
        <v>10974.839835000001</v>
      </c>
      <c r="AO48" s="95">
        <f t="shared" si="22"/>
        <v>82151.035919185626</v>
      </c>
      <c r="AP48" s="96"/>
      <c r="AQ48" s="97">
        <f t="shared" si="5"/>
        <v>1376.9747826086955</v>
      </c>
      <c r="AR48" s="98">
        <f t="shared" si="34"/>
        <v>107.88</v>
      </c>
      <c r="AS48" s="98">
        <f t="shared" si="7"/>
        <v>519.63362318840564</v>
      </c>
      <c r="AT48" s="98">
        <f t="shared" si="8"/>
        <v>157.027162162162</v>
      </c>
      <c r="AU48" s="98">
        <f t="shared" si="23"/>
        <v>118.12162162162163</v>
      </c>
      <c r="AV48" s="98">
        <f t="array" ref="AV48">_xlfn.IFS(U48=0,AO48,U48&lt;0,AO48/-U48,U48&gt;0,AO48/U48)</f>
        <v>396.86490782215276</v>
      </c>
      <c r="AW48" s="234">
        <f t="shared" si="46"/>
        <v>0.28821508776673987</v>
      </c>
      <c r="AX48" s="234">
        <f t="shared" si="47"/>
        <v>3.6787625864122431</v>
      </c>
      <c r="AY48" s="99"/>
      <c r="AZ48" s="94">
        <f t="shared" si="11"/>
        <v>90882.063891272977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201</v>
      </c>
      <c r="F49" s="93">
        <f>'Юнит 18'!F49</f>
        <v>63</v>
      </c>
      <c r="G49" s="93">
        <f>'Юнит 18'!G49</f>
        <v>21</v>
      </c>
      <c r="H49" s="93">
        <f>'Юнит 18'!H49</f>
        <v>66</v>
      </c>
      <c r="I49" s="93">
        <f>'Юнит 18'!I49</f>
        <v>0</v>
      </c>
      <c r="J49" s="93">
        <f>'Юнит 18'!J49</f>
        <v>51</v>
      </c>
      <c r="K49" s="92">
        <v>123.09</v>
      </c>
      <c r="L49" s="92">
        <f t="shared" si="45"/>
        <v>24741.09</v>
      </c>
      <c r="M49" s="89">
        <f>'Юнит 18'!M49</f>
        <v>49</v>
      </c>
      <c r="N49" s="89">
        <f>'Юнит 14'!N49+'Юнит 15'!N49+'Юнит 16'!N49+'Юнит 17'!N49+'Юнит 18'!N49</f>
        <v>481</v>
      </c>
      <c r="O49" s="89">
        <v>1761</v>
      </c>
      <c r="P49" s="89">
        <v>33</v>
      </c>
      <c r="Q49" s="406">
        <f t="shared" si="49"/>
        <v>0.33264033264033266</v>
      </c>
      <c r="R49" s="92">
        <f t="shared" si="13"/>
        <v>22.857142857142858</v>
      </c>
      <c r="S49" s="89">
        <f>'Юнит 14'!S49+'Юнит 15'!S49+'Юнит 16'!S49+'Юнит 17'!S49+'Юнит 18'!S49</f>
        <v>166</v>
      </c>
      <c r="T49" s="89">
        <f>'Юнит 14'!T49+'Юнит 15'!T49+'Юнит 16'!T49+'Юнит 17'!T49+'Юнит 18'!T49</f>
        <v>-6</v>
      </c>
      <c r="U49" s="92">
        <f t="shared" si="14"/>
        <v>160</v>
      </c>
      <c r="V49" s="89">
        <f>'Юнит 14'!V49+'Юнит 15'!V49+'Юнит 16'!V49+'Юнит 17'!V49+'Юнит 18'!V49</f>
        <v>203075.85000000003</v>
      </c>
      <c r="W49" s="89">
        <f>'Юнит 14'!W49+'Юнит 15'!W49+'Юнит 16'!W49+'Юнит 17'!W49+'Юнит 18'!W49</f>
        <v>-7519</v>
      </c>
      <c r="X49" s="92">
        <f t="shared" si="15"/>
        <v>195556.85000000003</v>
      </c>
      <c r="Y49" s="89">
        <f>'Юнит 14'!Y49+'Юнит 15'!Y49+'Юнит 16'!Y49+'Юнит 17'!Y49+'Юнит 18'!Y49</f>
        <v>299050.59999999998</v>
      </c>
      <c r="Z49" s="89">
        <f>'Юнит 14'!Z49+'Юнит 15'!Z49+'Юнит 16'!Z49+'Юнит 17'!Z49+'Юнит 18'!Z49</f>
        <v>-11102</v>
      </c>
      <c r="AA49" s="232">
        <f t="shared" si="16"/>
        <v>287948.59999999998</v>
      </c>
      <c r="AB49" s="92">
        <f t="shared" si="17"/>
        <v>279523.53000000003</v>
      </c>
      <c r="AC49" s="234">
        <f t="shared" si="18"/>
        <v>1.9074724514510446E-2</v>
      </c>
      <c r="AD49" s="92">
        <f t="shared" si="19"/>
        <v>19694.400000000001</v>
      </c>
      <c r="AE49" s="89">
        <f>'Юнит 14'!AE49+'Юнит 15'!AE49+'Юнит 16'!AE49+'Юнит 17'!AE49+'Юнит 18'!AE49</f>
        <v>108460.31000000003</v>
      </c>
      <c r="AF49" s="234">
        <f t="shared" si="20"/>
        <v>0.37666552294402555</v>
      </c>
      <c r="AG49" s="89">
        <f>'Юнит 14'!AG49+'Юнит 15'!AG49+'Юнит 16'!AG49+'Юнит 17'!AG49+'Юнит 18'!AG49</f>
        <v>37711.040000000023</v>
      </c>
      <c r="AH49" s="89">
        <f>'Юнит 14'!AH49+'Юнит 15'!AH49+'Юнит 16'!AH49+'Юнит 17'!AH49+'Юнит 18'!AH49</f>
        <v>1000</v>
      </c>
      <c r="AI49" s="89">
        <f>'Юнит 14'!AI49+'Юнит 15'!AI49+'Юнит 16'!AI49+'Юнит 17'!AI49+'Юнит 18'!AI49</f>
        <v>38948</v>
      </c>
      <c r="AJ49" s="89">
        <f>'Юнит 14'!AJ49+'Юнит 15'!AJ49+'Юнит 16'!AJ49+'Юнит 17'!AJ49+'Юнит 18'!AJ49</f>
        <v>8441</v>
      </c>
      <c r="AK49" s="89">
        <f>'Юнит 14'!AK49+'Юнит 15'!AK49+'Юнит 16'!AK49+'Юнит 17'!AK49+'Юнит 18'!AK49</f>
        <v>0</v>
      </c>
      <c r="AL49" s="89">
        <f>'Юнит 14'!AL49+'Юнит 15'!AL49+'Юнит 16'!AL49+'Юнит 17'!AL49+'Юнит 18'!AL49</f>
        <v>483.05934342575711</v>
      </c>
      <c r="AM49" s="89">
        <f>'Юнит 14'!AM49+'Юнит 15'!AM49+'Юнит 16'!AM49+'Юнит 17'!AM49+'Юнит 18'!AM49</f>
        <v>20</v>
      </c>
      <c r="AN49" s="94">
        <f t="shared" si="21"/>
        <v>11166.296135000002</v>
      </c>
      <c r="AO49" s="95">
        <f t="shared" si="22"/>
        <v>62024.494521574139</v>
      </c>
      <c r="AP49" s="96"/>
      <c r="AQ49" s="97">
        <f t="shared" si="5"/>
        <v>1799.6787499999998</v>
      </c>
      <c r="AR49" s="98">
        <f t="shared" si="34"/>
        <v>123.09</v>
      </c>
      <c r="AS49" s="98">
        <f t="shared" si="7"/>
        <v>677.87693750000017</v>
      </c>
      <c r="AT49" s="98">
        <f t="shared" si="8"/>
        <v>227.17493975903628</v>
      </c>
      <c r="AU49" s="98">
        <f t="shared" si="23"/>
        <v>291.5</v>
      </c>
      <c r="AV49" s="98">
        <f t="array" ref="AV49">_xlfn.IFS(U49=0,AO49,U49&lt;0,AO49/-U49,U49&gt;0,AO49/U49)</f>
        <v>387.65309075983839</v>
      </c>
      <c r="AW49" s="234">
        <f t="shared" si="46"/>
        <v>0.21540127134347639</v>
      </c>
      <c r="AX49" s="234">
        <f t="shared" si="47"/>
        <v>3.1493467443321017</v>
      </c>
      <c r="AY49" s="99"/>
      <c r="AZ49" s="94">
        <f t="shared" si="11"/>
        <v>77918.271242727511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333</v>
      </c>
      <c r="F50" s="93">
        <f>'Юнит 18'!F50</f>
        <v>26</v>
      </c>
      <c r="G50" s="93">
        <f>'Юнит 18'!G50</f>
        <v>9</v>
      </c>
      <c r="H50" s="93">
        <f>'Юнит 18'!H50</f>
        <v>61</v>
      </c>
      <c r="I50" s="93">
        <f>'Юнит 18'!I50</f>
        <v>0</v>
      </c>
      <c r="J50" s="93">
        <f>'Юнит 18'!J50</f>
        <v>237</v>
      </c>
      <c r="K50" s="92">
        <v>134.79</v>
      </c>
      <c r="L50" s="92">
        <f t="shared" si="45"/>
        <v>44885.07</v>
      </c>
      <c r="M50" s="89">
        <f>'Юнит 18'!M50</f>
        <v>25</v>
      </c>
      <c r="N50" s="89">
        <f>'Юнит 14'!N50+'Юнит 15'!N50+'Юнит 16'!N50+'Юнит 17'!N50+'Юнит 18'!N50</f>
        <v>278</v>
      </c>
      <c r="O50" s="89">
        <v>1477</v>
      </c>
      <c r="P50" s="89">
        <v>59</v>
      </c>
      <c r="Q50" s="406">
        <f t="shared" si="49"/>
        <v>0.63669064748201443</v>
      </c>
      <c r="R50" s="92">
        <f t="shared" si="13"/>
        <v>25.285714285714285</v>
      </c>
      <c r="S50" s="89">
        <f>'Юнит 14'!S50+'Юнит 15'!S50+'Юнит 16'!S50+'Юнит 17'!S50+'Юнит 18'!S50</f>
        <v>183</v>
      </c>
      <c r="T50" s="89">
        <f>'Юнит 14'!T50+'Юнит 15'!T50+'Юнит 16'!T50+'Юнит 17'!T50+'Юнит 18'!T50</f>
        <v>-6</v>
      </c>
      <c r="U50" s="92">
        <f t="shared" si="14"/>
        <v>177</v>
      </c>
      <c r="V50" s="89">
        <f>'Юнит 14'!V50+'Юнит 15'!V50+'Юнит 16'!V50+'Юнит 17'!V50+'Юнит 18'!V50</f>
        <v>182775.93000000002</v>
      </c>
      <c r="W50" s="89">
        <f>'Юнит 14'!W50+'Юнит 15'!W50+'Юнит 16'!W50+'Юнит 17'!W50+'Юнит 18'!W50</f>
        <v>-5917</v>
      </c>
      <c r="X50" s="92">
        <f t="shared" si="15"/>
        <v>176858.93000000002</v>
      </c>
      <c r="Y50" s="89">
        <f>'Юнит 14'!Y50+'Юнит 15'!Y50+'Юнит 16'!Y50+'Юнит 17'!Y50+'Юнит 18'!Y50</f>
        <v>269488.89</v>
      </c>
      <c r="Z50" s="89">
        <f>'Юнит 14'!Z50+'Юнит 15'!Z50+'Юнит 16'!Z50+'Юнит 17'!Z50+'Юнит 18'!Z50</f>
        <v>-9006</v>
      </c>
      <c r="AA50" s="232">
        <f t="shared" si="16"/>
        <v>260482.89</v>
      </c>
      <c r="AB50" s="92">
        <f t="shared" si="17"/>
        <v>242257.54</v>
      </c>
      <c r="AC50" s="234">
        <f t="shared" si="18"/>
        <v>1.7255299617687077E-2</v>
      </c>
      <c r="AD50" s="92">
        <f t="shared" si="19"/>
        <v>23857.829999999998</v>
      </c>
      <c r="AE50" s="89">
        <f>'Юнит 14'!AE50+'Юнит 15'!AE50+'Юнит 16'!AE50+'Юнит 17'!AE50+'Юнит 18'!AE50</f>
        <v>98606.850000000035</v>
      </c>
      <c r="AF50" s="234">
        <f t="shared" si="20"/>
        <v>0.3785540386165096</v>
      </c>
      <c r="AG50" s="89">
        <f>'Юнит 14'!AG50+'Юнит 15'!AG50+'Юнит 16'!AG50+'Юнит 17'!AG50+'Юнит 18'!AG50</f>
        <v>20918.700000000004</v>
      </c>
      <c r="AH50" s="89">
        <f>'Юнит 14'!AH50+'Юнит 15'!AH50+'Юнит 16'!AH50+'Юнит 17'!AH50+'Юнит 18'!AH50</f>
        <v>0</v>
      </c>
      <c r="AI50" s="89">
        <f>'Юнит 14'!AI50+'Юнит 15'!AI50+'Юнит 16'!AI50+'Юнит 17'!AI50+'Юнит 18'!AI50</f>
        <v>16403</v>
      </c>
      <c r="AJ50" s="89">
        <f>'Юнит 14'!AJ50+'Юнит 15'!AJ50+'Юнит 16'!AJ50+'Юнит 17'!AJ50+'Юнит 18'!AJ50</f>
        <v>2034</v>
      </c>
      <c r="AK50" s="89">
        <f>'Юнит 14'!AK50+'Юнит 15'!AK50+'Юнит 16'!AK50+'Юнит 17'!AK50+'Юнит 18'!AK50</f>
        <v>0</v>
      </c>
      <c r="AL50" s="89">
        <f>'Юнит 14'!AL50+'Юнит 15'!AL50+'Юнит 16'!AL50+'Юнит 17'!AL50+'Юнит 18'!AL50</f>
        <v>362.73405383904196</v>
      </c>
      <c r="AM50" s="89">
        <f>'Юнит 14'!AM50+'Юнит 15'!AM50+'Юнит 16'!AM50+'Юнит 17'!AM50+'Юнит 18'!AM50</f>
        <v>50</v>
      </c>
      <c r="AN50" s="94">
        <f t="shared" si="21"/>
        <v>10098.644903</v>
      </c>
      <c r="AO50" s="95">
        <f t="shared" si="22"/>
        <v>88151.131043160945</v>
      </c>
      <c r="AP50" s="96"/>
      <c r="AQ50" s="97">
        <f t="shared" si="5"/>
        <v>1471.6547457627119</v>
      </c>
      <c r="AR50" s="98">
        <f t="shared" si="34"/>
        <v>134.79</v>
      </c>
      <c r="AS50" s="98">
        <f t="shared" si="7"/>
        <v>557.10084745762731</v>
      </c>
      <c r="AT50" s="98">
        <f t="shared" si="8"/>
        <v>114.30983606557379</v>
      </c>
      <c r="AU50" s="98">
        <f t="shared" si="23"/>
        <v>100.74863387978142</v>
      </c>
      <c r="AV50" s="98">
        <f t="array" ref="AV50">_xlfn.IFS(U50=0,AO50,U50&lt;0,AO50/-U50,U50&gt;0,AO50/U50)</f>
        <v>498.02898894441211</v>
      </c>
      <c r="AW50" s="234">
        <f t="shared" si="46"/>
        <v>0.33841428526518935</v>
      </c>
      <c r="AX50" s="234">
        <f t="shared" si="47"/>
        <v>3.6948511680719056</v>
      </c>
      <c r="AY50" s="99"/>
      <c r="AZ50" s="94">
        <f t="shared" si="11"/>
        <v>165843.65331848923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125</v>
      </c>
      <c r="F51" s="93" t="str">
        <f>'Юнит 18'!F51</f>
        <v/>
      </c>
      <c r="G51" s="93" t="str">
        <f>'Юнит 18'!G51</f>
        <v/>
      </c>
      <c r="H51" s="93">
        <f>'Юнит 18'!H51</f>
        <v>1</v>
      </c>
      <c r="I51" s="93">
        <f>'Юнит 18'!I51</f>
        <v>0</v>
      </c>
      <c r="J51" s="93">
        <f>'Юнит 18'!J51</f>
        <v>124</v>
      </c>
      <c r="K51" s="92">
        <v>144.15</v>
      </c>
      <c r="L51" s="92">
        <f t="shared" si="45"/>
        <v>18018.75</v>
      </c>
      <c r="M51" s="89">
        <f>'Юнит 18'!M51</f>
        <v>999</v>
      </c>
      <c r="N51" s="89">
        <f>'Юнит 14'!N51+'Юнит 15'!N51+'Юнит 16'!N51+'Юнит 17'!N51+'Юнит 18'!N51</f>
        <v>0</v>
      </c>
      <c r="O51" s="89">
        <v>0</v>
      </c>
      <c r="P51" s="89">
        <v>0</v>
      </c>
      <c r="Q51" s="406" t="e">
        <f t="shared" si="49"/>
        <v>#DIV/0!</v>
      </c>
      <c r="R51" s="92">
        <f t="shared" si="13"/>
        <v>0</v>
      </c>
      <c r="S51" s="89">
        <f>'Юнит 14'!S51+'Юнит 15'!S51+'Юнит 16'!S51+'Юнит 17'!S51+'Юнит 18'!S51</f>
        <v>0</v>
      </c>
      <c r="T51" s="89">
        <f>'Юнит 14'!T51+'Юнит 15'!T51+'Юнит 16'!T51+'Юнит 17'!T51+'Юнит 18'!T51</f>
        <v>0</v>
      </c>
      <c r="U51" s="92">
        <f t="shared" si="14"/>
        <v>0</v>
      </c>
      <c r="V51" s="89">
        <f>'Юнит 14'!V51+'Юнит 15'!V51+'Юнит 16'!V51+'Юнит 17'!V51+'Юнит 18'!V51</f>
        <v>0</v>
      </c>
      <c r="W51" s="89">
        <f>'Юнит 14'!W51+'Юнит 15'!W51+'Юнит 16'!W51+'Юнит 17'!W51+'Юнит 18'!W51</f>
        <v>0</v>
      </c>
      <c r="X51" s="92">
        <f t="shared" si="15"/>
        <v>0</v>
      </c>
      <c r="Y51" s="89">
        <f>'Юнит 14'!Y51+'Юнит 15'!Y51+'Юнит 16'!Y51+'Юнит 17'!Y51+'Юнит 18'!Y51</f>
        <v>0</v>
      </c>
      <c r="Z51" s="89">
        <f>'Юнит 14'!Z51+'Юнит 15'!Z51+'Юнит 16'!Z51+'Юнит 17'!Z51+'Юнит 18'!Z51</f>
        <v>0</v>
      </c>
      <c r="AA51" s="23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89">
        <f>'Юнит 14'!AE51+'Юнит 15'!AE51+'Юнит 16'!AE51+'Юнит 17'!AE51+'Юнит 18'!AE51</f>
        <v>0</v>
      </c>
      <c r="AF51" s="234">
        <f t="shared" si="20"/>
        <v>0</v>
      </c>
      <c r="AG51" s="89">
        <f>'Юнит 14'!AG51+'Юнит 15'!AG51+'Юнит 16'!AG51+'Юнит 17'!AG51+'Юнит 18'!AG51</f>
        <v>119</v>
      </c>
      <c r="AH51" s="89">
        <f>'Юнит 14'!AH51+'Юнит 15'!AH51+'Юнит 16'!AH51+'Юнит 17'!AH51+'Юнит 18'!AH51</f>
        <v>0</v>
      </c>
      <c r="AI51" s="89">
        <f>'Юнит 14'!AI51+'Юнит 15'!AI51+'Юнит 16'!AI51+'Юнит 17'!AI51+'Юнит 18'!AI51</f>
        <v>0</v>
      </c>
      <c r="AJ51" s="89">
        <f>'Юнит 14'!AJ51+'Юнит 15'!AJ51+'Юнит 16'!AJ51+'Юнит 17'!AJ51+'Юнит 18'!AJ51</f>
        <v>0</v>
      </c>
      <c r="AK51" s="89">
        <f>'Юнит 14'!AK51+'Юнит 15'!AK51+'Юнит 16'!AK51+'Юнит 17'!AK51+'Юнит 18'!AK51</f>
        <v>0</v>
      </c>
      <c r="AL51" s="89">
        <f>'Юнит 14'!AL51+'Юнит 15'!AL51+'Юнит 16'!AL51+'Юнит 17'!AL51+'Юнит 18'!AL51</f>
        <v>3.012748141357835</v>
      </c>
      <c r="AM51" s="89">
        <f>'Юнит 14'!AM51+'Юнит 15'!AM51+'Юнит 16'!AM51+'Юнит 17'!AM51+'Юнит 18'!AM51</f>
        <v>30</v>
      </c>
      <c r="AN51" s="94">
        <f t="shared" si="21"/>
        <v>0</v>
      </c>
      <c r="AO51" s="95">
        <f t="shared" si="22"/>
        <v>-152.01274814135783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119</v>
      </c>
      <c r="AU51" s="98">
        <f t="shared" si="23"/>
        <v>0</v>
      </c>
      <c r="AV51" s="98">
        <f t="array" ref="AV51">_xlfn.IFS(U51=0,AO51,U51&lt;0,AO51/-U51,U51&gt;0,AO51/U51)</f>
        <v>-152.01274814135783</v>
      </c>
      <c r="AW51" s="234">
        <f t="shared" si="46"/>
        <v>0</v>
      </c>
      <c r="AX51" s="234">
        <f t="shared" si="47"/>
        <v>-1.0545455993156978</v>
      </c>
      <c r="AY51" s="99"/>
      <c r="AZ51" s="94">
        <f t="shared" si="11"/>
        <v>-19001.593517669728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24</v>
      </c>
      <c r="F52" s="93">
        <f>'Юнит 18'!F52</f>
        <v>5</v>
      </c>
      <c r="G52" s="93">
        <f>'Юнит 18'!G52</f>
        <v>4</v>
      </c>
      <c r="H52" s="93">
        <f>'Юнит 18'!H52</f>
        <v>14</v>
      </c>
      <c r="I52" s="93">
        <f>'Юнит 18'!I52</f>
        <v>0</v>
      </c>
      <c r="J52" s="93">
        <f>'Юнит 18'!J52</f>
        <v>1</v>
      </c>
      <c r="K52" s="92">
        <v>96.18</v>
      </c>
      <c r="L52" s="92">
        <f t="shared" si="45"/>
        <v>2308.3200000000002</v>
      </c>
      <c r="M52" s="89">
        <f>'Юнит 18'!M52</f>
        <v>528</v>
      </c>
      <c r="N52" s="89">
        <f>'Юнит 14'!N52+'Юнит 15'!N52+'Юнит 16'!N52+'Юнит 17'!N52+'Юнит 18'!N52</f>
        <v>45</v>
      </c>
      <c r="O52" s="89">
        <v>1302</v>
      </c>
      <c r="P52" s="89">
        <v>21</v>
      </c>
      <c r="Q52" s="406">
        <f t="shared" si="49"/>
        <v>0.22222222222222221</v>
      </c>
      <c r="R52" s="92">
        <f t="shared" si="13"/>
        <v>1.4285714285714286</v>
      </c>
      <c r="S52" s="89">
        <f>'Юнит 14'!S52+'Юнит 15'!S52+'Юнит 16'!S52+'Юнит 17'!S52+'Юнит 18'!S52</f>
        <v>13</v>
      </c>
      <c r="T52" s="89">
        <f>'Юнит 14'!T52+'Юнит 15'!T52+'Юнит 16'!T52+'Юнит 17'!T52+'Юнит 18'!T52</f>
        <v>-3</v>
      </c>
      <c r="U52" s="92">
        <f t="shared" si="14"/>
        <v>10</v>
      </c>
      <c r="V52" s="89">
        <f>'Юнит 14'!V52+'Юнит 15'!V52+'Юнит 16'!V52+'Юнит 17'!V52+'Юнит 18'!V52</f>
        <v>11347</v>
      </c>
      <c r="W52" s="89">
        <f>'Юнит 14'!W52+'Юнит 15'!W52+'Юнит 16'!W52+'Юнит 17'!W52+'Юнит 18'!W52</f>
        <v>-2624.14</v>
      </c>
      <c r="X52" s="92">
        <f t="shared" si="15"/>
        <v>8722.86</v>
      </c>
      <c r="Y52" s="89">
        <f>'Юнит 14'!Y52+'Юнит 15'!Y52+'Юнит 16'!Y52+'Юнит 17'!Y52+'Юнит 18'!Y52</f>
        <v>16790.88</v>
      </c>
      <c r="Z52" s="89">
        <f>'Юнит 14'!Z52+'Юнит 15'!Z52+'Юнит 16'!Z52+'Юнит 17'!Z52+'Юнит 18'!Z52</f>
        <v>-3709.98</v>
      </c>
      <c r="AA52" s="232">
        <f t="shared" si="16"/>
        <v>13080.900000000001</v>
      </c>
      <c r="AB52" s="92">
        <f t="shared" si="17"/>
        <v>12303.9</v>
      </c>
      <c r="AC52" s="234">
        <f t="shared" si="18"/>
        <v>8.6652466413054193E-4</v>
      </c>
      <c r="AD52" s="92">
        <f t="shared" si="19"/>
        <v>961.80000000000007</v>
      </c>
      <c r="AE52" s="89">
        <f>'Юнит 14'!AE52+'Юнит 15'!AE52+'Юнит 16'!AE52+'Юнит 17'!AE52+'Юнит 18'!AE52</f>
        <v>4915.5800000000008</v>
      </c>
      <c r="AF52" s="234">
        <f t="shared" si="20"/>
        <v>0.37578301187227181</v>
      </c>
      <c r="AG52" s="89">
        <f>'Юнит 14'!AG52+'Юнит 15'!AG52+'Юнит 16'!AG52+'Юнит 17'!AG52+'Юнит 18'!AG52</f>
        <v>4990.5099999999993</v>
      </c>
      <c r="AH52" s="89">
        <f>'Юнит 14'!AH52+'Юнит 15'!AH52+'Юнит 16'!AH52+'Юнит 17'!AH52+'Юнит 18'!AH52</f>
        <v>0</v>
      </c>
      <c r="AI52" s="89">
        <f>'Юнит 14'!AI52+'Юнит 15'!AI52+'Юнит 16'!AI52+'Юнит 17'!AI52+'Юнит 18'!AI52</f>
        <v>2484</v>
      </c>
      <c r="AJ52" s="89">
        <f>'Юнит 14'!AJ52+'Юнит 15'!AJ52+'Юнит 16'!AJ52+'Юнит 17'!AJ52+'Юнит 18'!AJ52</f>
        <v>1980</v>
      </c>
      <c r="AK52" s="89">
        <f>'Юнит 14'!AK52+'Юнит 15'!AK52+'Юнит 16'!AK52+'Юнит 17'!AK52+'Юнит 18'!AK52</f>
        <v>0</v>
      </c>
      <c r="AL52" s="89">
        <f>'Юнит 14'!AL52+'Юнит 15'!AL52+'Юнит 16'!AL52+'Юнит 17'!AL52+'Юнит 18'!AL52</f>
        <v>79.989794455070026</v>
      </c>
      <c r="AM52" s="89">
        <f>'Юнит 14'!AM52+'Юнит 15'!AM52+'Юнит 16'!AM52+'Юнит 17'!AM52+'Юнит 18'!AM52</f>
        <v>0</v>
      </c>
      <c r="AN52" s="94">
        <f t="shared" si="21"/>
        <v>498.07530600000001</v>
      </c>
      <c r="AO52" s="95">
        <f t="shared" si="22"/>
        <v>-2829.055100455068</v>
      </c>
      <c r="AP52" s="96"/>
      <c r="AQ52" s="97">
        <f t="shared" si="5"/>
        <v>1308.0900000000001</v>
      </c>
      <c r="AR52" s="98">
        <f t="shared" si="34"/>
        <v>96.18</v>
      </c>
      <c r="AS52" s="98">
        <f t="shared" si="7"/>
        <v>491.55800000000011</v>
      </c>
      <c r="AT52" s="98">
        <f t="shared" si="8"/>
        <v>383.88538461538457</v>
      </c>
      <c r="AU52" s="98">
        <f t="shared" si="23"/>
        <v>343.38461538461536</v>
      </c>
      <c r="AV52" s="98">
        <f t="array" ref="AV52">_xlfn.IFS(U52=0,AO52,U52&lt;0,AO52/-U52,U52&gt;0,AO52/U52)</f>
        <v>-282.90551004550679</v>
      </c>
      <c r="AW52" s="234">
        <f t="shared" si="46"/>
        <v>-0.21627373502244246</v>
      </c>
      <c r="AX52" s="234">
        <f t="shared" si="47"/>
        <v>-2.9414172389842665</v>
      </c>
      <c r="AY52" s="99"/>
      <c r="AZ52" s="94">
        <f t="shared" si="11"/>
        <v>-6789.7322410921624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36</v>
      </c>
      <c r="F53" s="93">
        <f>'Юнит 18'!F53</f>
        <v>1</v>
      </c>
      <c r="G53" s="93">
        <f>'Юнит 18'!G53</f>
        <v>1</v>
      </c>
      <c r="H53" s="93">
        <f>'Юнит 18'!H53</f>
        <v>33</v>
      </c>
      <c r="I53" s="93">
        <f>'Юнит 18'!I53</f>
        <v>0</v>
      </c>
      <c r="J53" s="93">
        <f>'Юнит 18'!J53</f>
        <v>1</v>
      </c>
      <c r="K53" s="92">
        <v>96.18</v>
      </c>
      <c r="L53" s="92">
        <f t="shared" si="45"/>
        <v>3462.4800000000005</v>
      </c>
      <c r="M53" s="89">
        <f>'Юнит 18'!M53</f>
        <v>999</v>
      </c>
      <c r="N53" s="89">
        <f>'Юнит 14'!N53+'Юнит 15'!N53+'Юнит 16'!N53+'Юнит 17'!N53+'Юнит 18'!N53</f>
        <v>35</v>
      </c>
      <c r="O53" s="89">
        <v>1106</v>
      </c>
      <c r="P53" s="89">
        <v>7</v>
      </c>
      <c r="Q53" s="406">
        <f t="shared" si="49"/>
        <v>0.14285714285714285</v>
      </c>
      <c r="R53" s="92">
        <f t="shared" si="13"/>
        <v>0.7142857142857143</v>
      </c>
      <c r="S53" s="89">
        <f>'Юнит 14'!S53+'Юнит 15'!S53+'Юнит 16'!S53+'Юнит 17'!S53+'Юнит 18'!S53</f>
        <v>7</v>
      </c>
      <c r="T53" s="89">
        <f>'Юнит 14'!T53+'Юнит 15'!T53+'Юнит 16'!T53+'Юнит 17'!T53+'Юнит 18'!T53</f>
        <v>-2</v>
      </c>
      <c r="U53" s="92">
        <f t="shared" si="14"/>
        <v>5</v>
      </c>
      <c r="V53" s="89">
        <f>'Юнит 14'!V53+'Юнит 15'!V53+'Юнит 16'!V53+'Юнит 17'!V53+'Юнит 18'!V53</f>
        <v>4948</v>
      </c>
      <c r="W53" s="89">
        <f>'Юнит 14'!W53+'Юнит 15'!W53+'Юнит 16'!W53+'Юнит 17'!W53+'Юнит 18'!W53</f>
        <v>-1439</v>
      </c>
      <c r="X53" s="92">
        <f t="shared" si="15"/>
        <v>3509</v>
      </c>
      <c r="Y53" s="89">
        <f>'Юнит 14'!Y53+'Юнит 15'!Y53+'Юнит 16'!Y53+'Юнит 17'!Y53+'Юнит 18'!Y53</f>
        <v>7697</v>
      </c>
      <c r="Z53" s="89">
        <f>'Юнит 14'!Z53+'Юнит 15'!Z53+'Юнит 16'!Z53+'Юнит 17'!Z53+'Юнит 18'!Z53</f>
        <v>-2212</v>
      </c>
      <c r="AA53" s="232">
        <f t="shared" si="16"/>
        <v>5485</v>
      </c>
      <c r="AB53" s="92">
        <f t="shared" si="17"/>
        <v>2709.7</v>
      </c>
      <c r="AC53" s="234">
        <f t="shared" si="18"/>
        <v>3.6334562474722856E-4</v>
      </c>
      <c r="AD53" s="92">
        <f t="shared" si="19"/>
        <v>480.90000000000003</v>
      </c>
      <c r="AE53" s="89">
        <f>'Юнит 14'!AE53+'Юнит 15'!AE53+'Юнит 16'!AE53+'Юнит 17'!AE53+'Юнит 18'!AE53</f>
        <v>2080.12</v>
      </c>
      <c r="AF53" s="234">
        <f t="shared" si="20"/>
        <v>0.37923792160437553</v>
      </c>
      <c r="AG53" s="89">
        <f>'Юнит 14'!AG53+'Юнит 15'!AG53+'Юнит 16'!AG53+'Юнит 17'!AG53+'Юнит 18'!AG53</f>
        <v>3953.2299999999991</v>
      </c>
      <c r="AH53" s="89">
        <f>'Юнит 14'!AH53+'Юнит 15'!AH53+'Юнит 16'!AH53+'Юнит 17'!AH53+'Юнит 18'!AH53</f>
        <v>383</v>
      </c>
      <c r="AI53" s="89">
        <f>'Юнит 14'!AI53+'Юнит 15'!AI53+'Юнит 16'!AI53+'Юнит 17'!AI53+'Юнит 18'!AI53</f>
        <v>4552</v>
      </c>
      <c r="AJ53" s="89">
        <f>'Юнит 14'!AJ53+'Юнит 15'!AJ53+'Юнит 16'!AJ53+'Юнит 17'!AJ53+'Юнит 18'!AJ53</f>
        <v>0</v>
      </c>
      <c r="AK53" s="89">
        <f>'Юнит 14'!AK53+'Юнит 15'!AK53+'Юнит 16'!AK53+'Юнит 17'!AK53+'Юнит 18'!AK53</f>
        <v>0</v>
      </c>
      <c r="AL53" s="89">
        <f>'Юнит 14'!AL53+'Юнит 15'!AL53+'Юнит 16'!AL53+'Юнит 17'!AL53+'Юнит 18'!AL53</f>
        <v>134.5332430620515</v>
      </c>
      <c r="AM53" s="89">
        <f>'Юнит 14'!AM53+'Юнит 15'!AM53+'Юнит 16'!AM53+'Юнит 17'!AM53+'Юнит 18'!AM53</f>
        <v>0</v>
      </c>
      <c r="AN53" s="94">
        <f t="shared" si="21"/>
        <v>200.3639</v>
      </c>
      <c r="AO53" s="95">
        <f t="shared" si="22"/>
        <v>-6299.1471430620495</v>
      </c>
      <c r="AP53" s="96"/>
      <c r="AQ53" s="97">
        <f t="shared" si="5"/>
        <v>1097</v>
      </c>
      <c r="AR53" s="98">
        <f t="shared" si="34"/>
        <v>96.18</v>
      </c>
      <c r="AS53" s="98">
        <f t="shared" si="7"/>
        <v>416.024</v>
      </c>
      <c r="AT53" s="98">
        <f t="shared" si="8"/>
        <v>564.74714285714276</v>
      </c>
      <c r="AU53" s="98">
        <f t="shared" si="23"/>
        <v>705</v>
      </c>
      <c r="AV53" s="98">
        <f t="array" ref="AV53">_xlfn.IFS(U53=0,AO53,U53&lt;0,AO53/-U53,U53&gt;0,AO53/U53)</f>
        <v>-1259.8294286124099</v>
      </c>
      <c r="AW53" s="234">
        <f t="shared" si="46"/>
        <v>-1.1484315666475933</v>
      </c>
      <c r="AX53" s="234">
        <f t="shared" si="47"/>
        <v>-13.098663221172902</v>
      </c>
      <c r="AY53" s="99"/>
      <c r="AZ53" s="94">
        <f t="shared" si="11"/>
        <v>-45353.859430046752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50">SUM(F54:J54)</f>
        <v>22</v>
      </c>
      <c r="F54" s="93">
        <f>'Юнит 18'!F54</f>
        <v>1</v>
      </c>
      <c r="G54" s="93" t="str">
        <f>'Юнит 18'!G54</f>
        <v/>
      </c>
      <c r="H54" s="93">
        <f>'Юнит 18'!H54</f>
        <v>20</v>
      </c>
      <c r="I54" s="93">
        <f>'Юнит 18'!I54</f>
        <v>0</v>
      </c>
      <c r="J54" s="93">
        <f>'Юнит 18'!J54</f>
        <v>1</v>
      </c>
      <c r="K54" s="93">
        <v>123.09</v>
      </c>
      <c r="L54" s="92">
        <f t="shared" si="45"/>
        <v>2707.98</v>
      </c>
      <c r="M54" s="89">
        <f>'Юнит 18'!M54</f>
        <v>999</v>
      </c>
      <c r="N54" s="89">
        <f>'Юнит 14'!N54+'Юнит 15'!N54+'Юнит 16'!N54+'Юнит 17'!N54+'Юнит 18'!N54</f>
        <v>22</v>
      </c>
      <c r="O54" s="89">
        <v>998</v>
      </c>
      <c r="P54" s="89">
        <v>41</v>
      </c>
      <c r="Q54" s="406">
        <f t="shared" si="49"/>
        <v>0.5</v>
      </c>
      <c r="R54" s="92">
        <f t="shared" si="13"/>
        <v>1.5714285714285714</v>
      </c>
      <c r="S54" s="89">
        <f>'Юнит 14'!S54+'Юнит 15'!S54+'Юнит 16'!S54+'Юнит 17'!S54+'Юнит 18'!S54</f>
        <v>12</v>
      </c>
      <c r="T54" s="89">
        <f>'Юнит 14'!T54+'Юнит 15'!T54+'Юнит 16'!T54+'Юнит 17'!T54+'Юнит 18'!T54</f>
        <v>-1</v>
      </c>
      <c r="U54" s="92">
        <f t="shared" si="14"/>
        <v>11</v>
      </c>
      <c r="V54" s="89">
        <f>'Юнит 14'!V54+'Юнит 15'!V54+'Юнит 16'!V54+'Юнит 17'!V54+'Юнит 18'!V54</f>
        <v>8188</v>
      </c>
      <c r="W54" s="89">
        <f>'Юнит 14'!W54+'Юнит 15'!W54+'Юнит 16'!W54+'Юнит 17'!W54+'Юнит 18'!W54</f>
        <v>-715</v>
      </c>
      <c r="X54" s="92">
        <f t="shared" si="15"/>
        <v>7473</v>
      </c>
      <c r="Y54" s="89">
        <f>'Юнит 14'!Y54+'Юнит 15'!Y54+'Юнит 16'!Y54+'Юнит 17'!Y54+'Юнит 18'!Y54</f>
        <v>11933</v>
      </c>
      <c r="Z54" s="89">
        <f>'Юнит 14'!Z54+'Юнит 15'!Z54+'Юнит 16'!Z54+'Юнит 17'!Z54+'Юнит 18'!Z54</f>
        <v>-998</v>
      </c>
      <c r="AA54" s="232">
        <f t="shared" si="16"/>
        <v>10935</v>
      </c>
      <c r="AB54" s="92">
        <f t="shared" si="17"/>
        <v>9001.9599999999991</v>
      </c>
      <c r="AC54" s="234">
        <f t="shared" si="18"/>
        <v>7.2437272682059149E-4</v>
      </c>
      <c r="AD54" s="92">
        <f t="shared" si="19"/>
        <v>1353.99</v>
      </c>
      <c r="AE54" s="89">
        <f>'Юнит 14'!AE54+'Юнит 15'!AE54+'Юнит 16'!AE54+'Юнит 17'!AE54+'Юнит 18'!AE54</f>
        <v>4153.7999999999993</v>
      </c>
      <c r="AF54" s="234">
        <f t="shared" si="20"/>
        <v>0.37986282578875163</v>
      </c>
      <c r="AG54" s="89">
        <f>'Юнит 14'!AG54+'Юнит 15'!AG54+'Юнит 16'!AG54+'Юнит 17'!AG54+'Юнит 18'!AG54</f>
        <v>2311.4999999999995</v>
      </c>
      <c r="AH54" s="89">
        <f>'Юнит 14'!AH54+'Юнит 15'!AH54+'Юнит 16'!AH54+'Юнит 17'!AH54+'Юнит 18'!AH54</f>
        <v>0</v>
      </c>
      <c r="AI54" s="89">
        <f>'Юнит 14'!AI54+'Юнит 15'!AI54+'Юнит 16'!AI54+'Юнит 17'!AI54+'Юнит 18'!AI54</f>
        <v>0</v>
      </c>
      <c r="AJ54" s="89">
        <f>'Юнит 14'!AJ54+'Юнит 15'!AJ54+'Юнит 16'!AJ54+'Юнит 17'!AJ54+'Юнит 18'!AJ54</f>
        <v>0</v>
      </c>
      <c r="AK54" s="89">
        <f>'Юнит 14'!AK54+'Юнит 15'!AK54+'Юнит 16'!AK54+'Юнит 17'!AK54+'Юнит 18'!AK54</f>
        <v>0</v>
      </c>
      <c r="AL54" s="89">
        <f>'Юнит 14'!AL54+'Юнит 15'!AL54+'Юнит 16'!AL54+'Юнит 17'!AL54+'Юнит 18'!AL54</f>
        <v>92.468071586837951</v>
      </c>
      <c r="AM54" s="89">
        <f>'Юнит 14'!AM54+'Юнит 15'!AM54+'Юнит 16'!AM54+'Юнит 17'!AM54+'Юнит 18'!AM54</f>
        <v>0</v>
      </c>
      <c r="AN54" s="94">
        <f t="shared" si="21"/>
        <v>426.70830000000001</v>
      </c>
      <c r="AO54" s="95">
        <f t="shared" si="22"/>
        <v>2596.5336284131636</v>
      </c>
      <c r="AP54" s="96"/>
      <c r="AQ54" s="97">
        <f t="shared" si="5"/>
        <v>994.09090909090912</v>
      </c>
      <c r="AR54" s="98">
        <f t="shared" si="34"/>
        <v>123.09</v>
      </c>
      <c r="AS54" s="98">
        <f t="shared" si="7"/>
        <v>377.61818181818177</v>
      </c>
      <c r="AT54" s="98">
        <f t="shared" si="8"/>
        <v>192.62499999999997</v>
      </c>
      <c r="AU54" s="98">
        <f t="shared" si="23"/>
        <v>0</v>
      </c>
      <c r="AV54" s="98">
        <f t="array" ref="AV54">_xlfn.IFS(U54=0,AO54,U54&lt;0,AO54/-U54,U54&gt;0,AO54/U54)</f>
        <v>236.04851167392397</v>
      </c>
      <c r="AW54" s="234">
        <f t="shared" si="46"/>
        <v>0.23745163497148272</v>
      </c>
      <c r="AX54" s="234">
        <f t="shared" si="47"/>
        <v>1.9176904027453405</v>
      </c>
      <c r="AY54" s="99"/>
      <c r="AZ54" s="94">
        <f t="shared" si="11"/>
        <v>5193.0672568263271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0"/>
        <v>2</v>
      </c>
      <c r="F55" s="93">
        <f>'Юнит 18'!F55</f>
        <v>1</v>
      </c>
      <c r="G55" s="93" t="str">
        <f>'Юнит 18'!G55</f>
        <v/>
      </c>
      <c r="H55" s="93" t="str">
        <f>'Юнит 18'!H55</f>
        <v/>
      </c>
      <c r="I55" s="93">
        <f>'Юнит 18'!I55</f>
        <v>0</v>
      </c>
      <c r="J55" s="93">
        <f>'Юнит 18'!J55</f>
        <v>1</v>
      </c>
      <c r="K55" s="93">
        <v>158.19</v>
      </c>
      <c r="L55" s="92">
        <f t="shared" si="45"/>
        <v>316.38</v>
      </c>
      <c r="M55" s="89">
        <f>'Юнит 18'!M55</f>
        <v>999</v>
      </c>
      <c r="N55" s="89">
        <f>'Юнит 14'!N55+'Юнит 15'!N55+'Юнит 16'!N55+'Юнит 17'!N55+'Юнит 18'!N55</f>
        <v>1</v>
      </c>
      <c r="O55" s="89">
        <v>0</v>
      </c>
      <c r="P55" s="89">
        <v>0</v>
      </c>
      <c r="Q55" s="406">
        <f t="shared" si="49"/>
        <v>0</v>
      </c>
      <c r="R55" s="92">
        <f t="shared" si="13"/>
        <v>0</v>
      </c>
      <c r="S55" s="89">
        <f>'Юнит 14'!S55+'Юнит 15'!S55+'Юнит 16'!S55+'Юнит 17'!S55+'Юнит 18'!S55</f>
        <v>0</v>
      </c>
      <c r="T55" s="89">
        <f>'Юнит 14'!T55+'Юнит 15'!T55+'Юнит 16'!T55+'Юнит 17'!T55+'Юнит 18'!T55</f>
        <v>0</v>
      </c>
      <c r="U55" s="92">
        <f t="shared" si="14"/>
        <v>0</v>
      </c>
      <c r="V55" s="89">
        <f>'Юнит 14'!V55+'Юнит 15'!V55+'Юнит 16'!V55+'Юнит 17'!V55+'Юнит 18'!V55</f>
        <v>0</v>
      </c>
      <c r="W55" s="89">
        <f>'Юнит 14'!W55+'Юнит 15'!W55+'Юнит 16'!W55+'Юнит 17'!W55+'Юнит 18'!W55</f>
        <v>0</v>
      </c>
      <c r="X55" s="92">
        <f t="shared" si="15"/>
        <v>0</v>
      </c>
      <c r="Y55" s="89">
        <f>'Юнит 14'!Y55+'Юнит 15'!Y55+'Юнит 16'!Y55+'Юнит 17'!Y55+'Юнит 18'!Y55</f>
        <v>0</v>
      </c>
      <c r="Z55" s="89">
        <f>'Юнит 14'!Z55+'Юнит 15'!Z55+'Юнит 16'!Z55+'Юнит 17'!Z55+'Юнит 18'!Z55</f>
        <v>0</v>
      </c>
      <c r="AA55" s="23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89">
        <f>'Юнит 14'!AE55+'Юнит 15'!AE55+'Юнит 16'!AE55+'Юнит 17'!AE55+'Юнит 18'!AE55</f>
        <v>0</v>
      </c>
      <c r="AF55" s="234">
        <f t="shared" si="20"/>
        <v>0</v>
      </c>
      <c r="AG55" s="89">
        <f>'Юнит 14'!AG55+'Юнит 15'!AG55+'Юнит 16'!AG55+'Юнит 17'!AG55+'Юнит 18'!AG55</f>
        <v>94.37</v>
      </c>
      <c r="AH55" s="89">
        <f>'Юнит 14'!AH55+'Юнит 15'!AH55+'Юнит 16'!AH55+'Юнит 17'!AH55+'Юнит 18'!AH55</f>
        <v>0</v>
      </c>
      <c r="AI55" s="89">
        <f>'Юнит 14'!AI55+'Юнит 15'!AI55+'Юнит 16'!AI55+'Юнит 17'!AI55+'Юнит 18'!AI55</f>
        <v>0</v>
      </c>
      <c r="AJ55" s="89">
        <f>'Юнит 14'!AJ55+'Юнит 15'!AJ55+'Юнит 16'!AJ55+'Юнит 17'!AJ55+'Юнит 18'!AJ55</f>
        <v>0</v>
      </c>
      <c r="AK55" s="89">
        <f>'Юнит 14'!AK55+'Юнит 15'!AK55+'Юнит 16'!AK55+'Юнит 17'!AK55+'Юнит 18'!AK55</f>
        <v>0</v>
      </c>
      <c r="AL55" s="89">
        <f>'Юнит 14'!AL55+'Юнит 15'!AL55+'Юнит 16'!AL55+'Юнит 17'!AL55+'Юнит 18'!AL55</f>
        <v>2.8114310735191017</v>
      </c>
      <c r="AM55" s="89">
        <f>'Юнит 14'!AM55+'Юнит 15'!AM55+'Юнит 16'!AM55+'Юнит 17'!AM55+'Юнит 18'!AM55</f>
        <v>0</v>
      </c>
      <c r="AN55" s="94">
        <f t="shared" si="21"/>
        <v>0</v>
      </c>
      <c r="AO55" s="95">
        <f t="shared" si="22"/>
        <v>-97.181431073519107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94.37</v>
      </c>
      <c r="AU55" s="98">
        <f t="shared" si="23"/>
        <v>0</v>
      </c>
      <c r="AV55" s="98">
        <f t="array" ref="AV55">_xlfn.IFS(U55=0,AO55,U55&lt;0,AO55/-U55,U55&gt;0,AO55/U55)</f>
        <v>-97.181431073519107</v>
      </c>
      <c r="AW55" s="234">
        <f t="shared" si="46"/>
        <v>0</v>
      </c>
      <c r="AX55" s="234">
        <f t="shared" si="47"/>
        <v>-0.61433359298008161</v>
      </c>
      <c r="AY55" s="99"/>
      <c r="AZ55" s="94">
        <f t="shared" si="11"/>
        <v>-194.36286214703821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0"/>
        <v>0</v>
      </c>
      <c r="F56" s="93">
        <f>'Юнит 18'!F56</f>
        <v>0</v>
      </c>
      <c r="G56" s="93">
        <f>'Юнит 18'!G56</f>
        <v>0</v>
      </c>
      <c r="H56" s="93">
        <f>'Юнит 18'!H56</f>
        <v>0</v>
      </c>
      <c r="I56" s="93">
        <f>'Юнит 18'!I56</f>
        <v>0</v>
      </c>
      <c r="J56" s="93">
        <f>'Юнит 18'!J56</f>
        <v>0</v>
      </c>
      <c r="K56" s="93">
        <v>152.34</v>
      </c>
      <c r="L56" s="92">
        <f t="shared" si="45"/>
        <v>0</v>
      </c>
      <c r="M56" s="89">
        <f>'Юнит 18'!M56</f>
        <v>1</v>
      </c>
      <c r="N56" s="89">
        <f>'Юнит 14'!N56+'Юнит 15'!N56+'Юнит 16'!N56+'Юнит 17'!N56+'Юнит 18'!N56</f>
        <v>0</v>
      </c>
      <c r="O56" s="89">
        <v>0</v>
      </c>
      <c r="P56" s="89">
        <v>0</v>
      </c>
      <c r="Q56" s="406"/>
      <c r="R56" s="92">
        <f t="shared" si="13"/>
        <v>0</v>
      </c>
      <c r="S56" s="89">
        <f>'Юнит 14'!S56+'Юнит 15'!S56+'Юнит 16'!S56+'Юнит 17'!S56+'Юнит 18'!S56</f>
        <v>0</v>
      </c>
      <c r="T56" s="89">
        <f>'Юнит 14'!T56+'Юнит 15'!T56+'Юнит 16'!T56+'Юнит 17'!T56+'Юнит 18'!T56</f>
        <v>0</v>
      </c>
      <c r="U56" s="92">
        <f t="shared" si="14"/>
        <v>0</v>
      </c>
      <c r="V56" s="89">
        <f>'Юнит 14'!V56+'Юнит 15'!V56+'Юнит 16'!V56+'Юнит 17'!V56+'Юнит 18'!V56</f>
        <v>0</v>
      </c>
      <c r="W56" s="89">
        <f>'Юнит 14'!W56+'Юнит 15'!W56+'Юнит 16'!W56+'Юнит 17'!W56+'Юнит 18'!W56</f>
        <v>0</v>
      </c>
      <c r="X56" s="92">
        <f t="shared" si="15"/>
        <v>0</v>
      </c>
      <c r="Y56" s="89">
        <f>'Юнит 14'!Y56+'Юнит 15'!Y56+'Юнит 16'!Y56+'Юнит 17'!Y56+'Юнит 18'!Y56</f>
        <v>0</v>
      </c>
      <c r="Z56" s="89">
        <f>'Юнит 14'!Z56+'Юнит 15'!Z56+'Юнит 16'!Z56+'Юнит 17'!Z56+'Юнит 18'!Z56</f>
        <v>0</v>
      </c>
      <c r="AA56" s="23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89">
        <f>'Юнит 14'!AE56+'Юнит 15'!AE56+'Юнит 16'!AE56+'Юнит 17'!AE56+'Юнит 18'!AE56</f>
        <v>0</v>
      </c>
      <c r="AF56" s="234">
        <f t="shared" si="20"/>
        <v>0</v>
      </c>
      <c r="AG56" s="89">
        <f>'Юнит 14'!AG56+'Юнит 15'!AG56+'Юнит 16'!AG56+'Юнит 17'!AG56+'Юнит 18'!AG56</f>
        <v>0</v>
      </c>
      <c r="AH56" s="89">
        <f>'Юнит 14'!AH56+'Юнит 15'!AH56+'Юнит 16'!AH56+'Юнит 17'!AH56+'Юнит 18'!AH56</f>
        <v>0</v>
      </c>
      <c r="AI56" s="89">
        <f>'Юнит 14'!AI56+'Юнит 15'!AI56+'Юнит 16'!AI56+'Юнит 17'!AI56+'Юнит 18'!AI56</f>
        <v>0</v>
      </c>
      <c r="AJ56" s="89">
        <f>'Юнит 14'!AJ56+'Юнит 15'!AJ56+'Юнит 16'!AJ56+'Юнит 17'!AJ56+'Юнит 18'!AJ56</f>
        <v>0</v>
      </c>
      <c r="AK56" s="89">
        <f>'Юнит 14'!AK56+'Юнит 15'!AK56+'Юнит 16'!AK56+'Юнит 17'!AK56+'Юнит 18'!AK56</f>
        <v>0</v>
      </c>
      <c r="AL56" s="89">
        <f>'Юнит 14'!AL56+'Юнит 15'!AL56+'Юнит 16'!AL56+'Юнит 17'!AL56+'Юнит 18'!AL56</f>
        <v>0</v>
      </c>
      <c r="AM56" s="89">
        <f>'Юнит 14'!AM56+'Юнит 15'!AM56+'Юнит 16'!AM56+'Юнит 17'!AM56+'Юнит 18'!AM56</f>
        <v>0</v>
      </c>
      <c r="AN56" s="94">
        <f t="shared" si="21"/>
        <v>0</v>
      </c>
      <c r="AO56" s="95">
        <f t="shared" si="22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6"/>
        <v>0</v>
      </c>
      <c r="AX56" s="234">
        <f t="shared" si="47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0"/>
        <v>41</v>
      </c>
      <c r="F57" s="93">
        <f>'Юнит 18'!F57</f>
        <v>0</v>
      </c>
      <c r="G57" s="93">
        <f>'Юнит 18'!G57</f>
        <v>0</v>
      </c>
      <c r="H57" s="93">
        <f>'Юнит 18'!H57</f>
        <v>0</v>
      </c>
      <c r="I57" s="93">
        <f>'Юнит 18'!I57</f>
        <v>0</v>
      </c>
      <c r="J57" s="93">
        <f>'Юнит 18'!J57</f>
        <v>41</v>
      </c>
      <c r="K57" s="93">
        <v>93.84</v>
      </c>
      <c r="L57" s="92">
        <f t="shared" si="45"/>
        <v>3847.44</v>
      </c>
      <c r="M57" s="89">
        <f>'Юнит 18'!M57</f>
        <v>0</v>
      </c>
      <c r="N57" s="89">
        <f>'Юнит 14'!N57+'Юнит 15'!N57+'Юнит 16'!N57+'Юнит 17'!N57+'Юнит 18'!N57</f>
        <v>0</v>
      </c>
      <c r="O57" s="89">
        <v>0</v>
      </c>
      <c r="P57" s="89">
        <v>0</v>
      </c>
      <c r="Q57" s="406"/>
      <c r="R57" s="92">
        <f t="shared" si="13"/>
        <v>0</v>
      </c>
      <c r="S57" s="89">
        <f>'Юнит 14'!S57+'Юнит 15'!S57+'Юнит 16'!S57+'Юнит 17'!S57+'Юнит 18'!S57</f>
        <v>0</v>
      </c>
      <c r="T57" s="89">
        <f>'Юнит 14'!T57+'Юнит 15'!T57+'Юнит 16'!T57+'Юнит 17'!T57+'Юнит 18'!T57</f>
        <v>0</v>
      </c>
      <c r="U57" s="92">
        <f t="shared" si="14"/>
        <v>0</v>
      </c>
      <c r="V57" s="89">
        <f>'Юнит 14'!V57+'Юнит 15'!V57+'Юнит 16'!V57+'Юнит 17'!V57+'Юнит 18'!V57</f>
        <v>0</v>
      </c>
      <c r="W57" s="89">
        <f>'Юнит 14'!W57+'Юнит 15'!W57+'Юнит 16'!W57+'Юнит 17'!W57+'Юнит 18'!W57</f>
        <v>0</v>
      </c>
      <c r="X57" s="92">
        <f t="shared" si="15"/>
        <v>0</v>
      </c>
      <c r="Y57" s="89">
        <f>'Юнит 14'!Y57+'Юнит 15'!Y57+'Юнит 16'!Y57+'Юнит 17'!Y57+'Юнит 18'!Y57</f>
        <v>0</v>
      </c>
      <c r="Z57" s="89">
        <f>'Юнит 14'!Z57+'Юнит 15'!Z57+'Юнит 16'!Z57+'Юнит 17'!Z57+'Юнит 18'!Z57</f>
        <v>0</v>
      </c>
      <c r="AA57" s="23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89">
        <f>'Юнит 14'!AE57+'Юнит 15'!AE57+'Юнит 16'!AE57+'Юнит 17'!AE57+'Юнит 18'!AE57</f>
        <v>0</v>
      </c>
      <c r="AF57" s="234">
        <f t="shared" si="20"/>
        <v>0</v>
      </c>
      <c r="AG57" s="89">
        <f>'Юнит 14'!AG57+'Юнит 15'!AG57+'Юнит 16'!AG57+'Юнит 17'!AG57+'Юнит 18'!AG57</f>
        <v>0</v>
      </c>
      <c r="AH57" s="89">
        <f>'Юнит 14'!AH57+'Юнит 15'!AH57+'Юнит 16'!AH57+'Юнит 17'!AH57+'Юнит 18'!AH57</f>
        <v>0</v>
      </c>
      <c r="AI57" s="89">
        <f>'Юнит 14'!AI57+'Юнит 15'!AI57+'Юнит 16'!AI57+'Юнит 17'!AI57+'Юнит 18'!AI57</f>
        <v>0</v>
      </c>
      <c r="AJ57" s="89">
        <f>'Юнит 14'!AJ57+'Юнит 15'!AJ57+'Юнит 16'!AJ57+'Юнит 17'!AJ57+'Юнит 18'!AJ57</f>
        <v>0</v>
      </c>
      <c r="AK57" s="89">
        <f>'Юнит 14'!AK57+'Юнит 15'!AK57+'Юнит 16'!AK57+'Юнит 17'!AK57+'Юнит 18'!AK57</f>
        <v>0</v>
      </c>
      <c r="AL57" s="89">
        <f>'Юнит 14'!AL57+'Юнит 15'!AL57+'Юнит 16'!AL57+'Юнит 17'!AL57+'Юнит 18'!AL57</f>
        <v>0</v>
      </c>
      <c r="AM57" s="89">
        <f>'Юнит 14'!AM57+'Юнит 15'!AM57+'Юнит 16'!AM57+'Юнит 17'!AM57+'Юнит 18'!AM57</f>
        <v>0</v>
      </c>
      <c r="AN57" s="94">
        <f t="shared" si="21"/>
        <v>0</v>
      </c>
      <c r="AO57" s="95">
        <f t="shared" si="22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0"/>
        <v>21</v>
      </c>
      <c r="F58" s="93">
        <f>'Юнит 18'!F58</f>
        <v>5</v>
      </c>
      <c r="G58" s="93">
        <f>'Юнит 18'!G58</f>
        <v>2</v>
      </c>
      <c r="H58" s="93">
        <f>'Юнит 18'!H58</f>
        <v>13</v>
      </c>
      <c r="I58" s="93">
        <f>'Юнит 18'!I58</f>
        <v>0</v>
      </c>
      <c r="J58" s="93">
        <f>'Юнит 18'!J58</f>
        <v>1</v>
      </c>
      <c r="K58" s="93">
        <v>169.89</v>
      </c>
      <c r="L58" s="92">
        <f t="shared" si="45"/>
        <v>3567.6899999999996</v>
      </c>
      <c r="M58" s="89">
        <f>'Юнит 18'!M58</f>
        <v>999</v>
      </c>
      <c r="N58" s="89">
        <f>'Юнит 14'!N58+'Юнит 15'!N58+'Юнит 16'!N58+'Юнит 17'!N58+'Юнит 18'!N58</f>
        <v>26</v>
      </c>
      <c r="O58" s="89">
        <v>994</v>
      </c>
      <c r="P58" s="89">
        <v>14</v>
      </c>
      <c r="Q58" s="406">
        <f t="shared" ref="Q58" si="51">U58/N58</f>
        <v>0.15384615384615385</v>
      </c>
      <c r="R58" s="92">
        <f t="shared" si="13"/>
        <v>0.5714285714285714</v>
      </c>
      <c r="S58" s="89">
        <f>'Юнит 14'!S58+'Юнит 15'!S58+'Юнит 16'!S58+'Юнит 17'!S58+'Юнит 18'!S58</f>
        <v>4</v>
      </c>
      <c r="T58" s="89">
        <f>'Юнит 14'!T58+'Юнит 15'!T58+'Юнит 16'!T58+'Юнит 17'!T58+'Юнит 18'!T58</f>
        <v>0</v>
      </c>
      <c r="U58" s="92">
        <f t="shared" si="14"/>
        <v>4</v>
      </c>
      <c r="V58" s="89">
        <f>'Юнит 14'!V58+'Юнит 15'!V58+'Юнит 16'!V58+'Юнит 17'!V58+'Юнит 18'!V58</f>
        <v>2812</v>
      </c>
      <c r="W58" s="89">
        <f>'Юнит 14'!W58+'Юнит 15'!W58+'Юнит 16'!W58+'Юнит 17'!W58+'Юнит 18'!W58</f>
        <v>0</v>
      </c>
      <c r="X58" s="92">
        <f t="shared" si="15"/>
        <v>2812</v>
      </c>
      <c r="Y58" s="89">
        <f>'Юнит 14'!Y58+'Юнит 15'!Y58+'Юнит 16'!Y58+'Юнит 17'!Y58+'Юнит 18'!Y58</f>
        <v>3950</v>
      </c>
      <c r="Z58" s="89">
        <f>'Юнит 14'!Z58+'Юнит 15'!Z58+'Юнит 16'!Z58+'Юнит 17'!Z58+'Юнит 18'!Z58</f>
        <v>0</v>
      </c>
      <c r="AA58" s="232">
        <f t="shared" si="16"/>
        <v>3950</v>
      </c>
      <c r="AB58" s="92">
        <f t="shared" si="17"/>
        <v>3618.16</v>
      </c>
      <c r="AC58" s="234">
        <f t="shared" si="18"/>
        <v>2.6166184462197864E-4</v>
      </c>
      <c r="AD58" s="92">
        <f t="shared" si="19"/>
        <v>679.56</v>
      </c>
      <c r="AE58" s="89">
        <f>'Юнит 14'!AE58+'Юнит 15'!AE58+'Юнит 16'!AE58+'Юнит 17'!AE58+'Юнит 18'!AE58</f>
        <v>1523.61</v>
      </c>
      <c r="AF58" s="234">
        <f t="shared" si="20"/>
        <v>0.38572405063291137</v>
      </c>
      <c r="AG58" s="89">
        <f>'Юнит 14'!AG58+'Юнит 15'!AG58+'Юнит 16'!AG58+'Юнит 17'!AG58+'Юнит 18'!AG58</f>
        <v>1827.97</v>
      </c>
      <c r="AH58" s="89">
        <f>'Юнит 14'!AH58+'Юнит 15'!AH58+'Юнит 16'!AH58+'Юнит 17'!AH58+'Юнит 18'!AH58</f>
        <v>0</v>
      </c>
      <c r="AI58" s="89">
        <f>'Юнит 14'!AI58+'Юнит 15'!AI58+'Юнит 16'!AI58+'Юнит 17'!AI58+'Юнит 18'!AI58</f>
        <v>1838</v>
      </c>
      <c r="AJ58" s="89">
        <f>'Юнит 14'!AJ58+'Юнит 15'!AJ58+'Юнит 16'!AJ58+'Юнит 17'!AJ58+'Юнит 18'!AJ58</f>
        <v>990</v>
      </c>
      <c r="AK58" s="89">
        <f>'Юнит 14'!AK58+'Юнит 15'!AK58+'Юнит 16'!AK58+'Юнит 17'!AK58+'Юнит 18'!AK58</f>
        <v>0</v>
      </c>
      <c r="AL58" s="89">
        <f>'Юнит 14'!AL58+'Юнит 15'!AL58+'Юнит 16'!AL58+'Юнит 17'!AL58+'Юнит 18'!AL58</f>
        <v>80.360393870549373</v>
      </c>
      <c r="AM58" s="89">
        <f>'Юнит 14'!AM58+'Юнит 15'!AM58+'Юнит 16'!AM58+'Юнит 17'!AM58+'Юнит 18'!AM58</f>
        <v>0</v>
      </c>
      <c r="AN58" s="94">
        <f t="shared" si="21"/>
        <v>160.5652</v>
      </c>
      <c r="AO58" s="95">
        <f t="shared" si="22"/>
        <v>-3150.065593870549</v>
      </c>
      <c r="AP58" s="96"/>
      <c r="AQ58" s="97">
        <f t="shared" si="5"/>
        <v>987.5</v>
      </c>
      <c r="AR58" s="98">
        <f t="shared" si="34"/>
        <v>169.89</v>
      </c>
      <c r="AS58" s="98">
        <f t="shared" si="7"/>
        <v>380.90249999999997</v>
      </c>
      <c r="AT58" s="98">
        <f t="shared" si="8"/>
        <v>456.99250000000001</v>
      </c>
      <c r="AU58" s="98">
        <f t="shared" si="23"/>
        <v>707</v>
      </c>
      <c r="AV58" s="98">
        <f t="array" ref="AV58">_xlfn.IFS(U58=0,AO58,U58&lt;0,AO58/-U58,U58&gt;0,AO58/U58)</f>
        <v>-787.51639846763726</v>
      </c>
      <c r="AW58" s="234">
        <f t="shared" si="46"/>
        <v>-0.79748496047355677</v>
      </c>
      <c r="AX58" s="234">
        <f t="shared" si="47"/>
        <v>-4.6354488108048582</v>
      </c>
      <c r="AY58" s="99"/>
      <c r="AZ58" s="94">
        <f t="shared" si="11"/>
        <v>-16537.844367820384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0"/>
        <v>35</v>
      </c>
      <c r="F59" s="93">
        <f>'Юнит 18'!F59</f>
        <v>0</v>
      </c>
      <c r="G59" s="93">
        <f>'Юнит 18'!G59</f>
        <v>0</v>
      </c>
      <c r="H59" s="93">
        <f>'Юнит 18'!H59</f>
        <v>0</v>
      </c>
      <c r="I59" s="93">
        <f>'Юнит 18'!I59</f>
        <v>0</v>
      </c>
      <c r="J59" s="93">
        <f>'Юнит 18'!J59</f>
        <v>35</v>
      </c>
      <c r="K59" s="93">
        <v>158.19</v>
      </c>
      <c r="L59" s="92">
        <f t="shared" si="45"/>
        <v>5536.65</v>
      </c>
      <c r="M59" s="89">
        <f>'Юнит 18'!M59</f>
        <v>0</v>
      </c>
      <c r="N59" s="89">
        <f>'Юнит 14'!N59+'Юнит 15'!N59+'Юнит 16'!N59+'Юнит 17'!N59+'Юнит 18'!N59</f>
        <v>0</v>
      </c>
      <c r="O59" s="89">
        <v>0</v>
      </c>
      <c r="P59" s="89">
        <v>0</v>
      </c>
      <c r="Q59" s="406"/>
      <c r="R59" s="92">
        <f t="shared" si="13"/>
        <v>0</v>
      </c>
      <c r="S59" s="89">
        <f>'Юнит 14'!S59+'Юнит 15'!S59+'Юнит 16'!S59+'Юнит 17'!S59+'Юнит 18'!S59</f>
        <v>0</v>
      </c>
      <c r="T59" s="89">
        <f>'Юнит 14'!T59+'Юнит 15'!T59+'Юнит 16'!T59+'Юнит 17'!T59+'Юнит 18'!T59</f>
        <v>0</v>
      </c>
      <c r="U59" s="92">
        <f t="shared" si="14"/>
        <v>0</v>
      </c>
      <c r="V59" s="89">
        <f>'Юнит 14'!V59+'Юнит 15'!V59+'Юнит 16'!V59+'Юнит 17'!V59+'Юнит 18'!V59</f>
        <v>0</v>
      </c>
      <c r="W59" s="89">
        <f>'Юнит 14'!W59+'Юнит 15'!W59+'Юнит 16'!W59+'Юнит 17'!W59+'Юнит 18'!W59</f>
        <v>0</v>
      </c>
      <c r="X59" s="92">
        <f t="shared" si="15"/>
        <v>0</v>
      </c>
      <c r="Y59" s="89">
        <f>'Юнит 14'!Y59+'Юнит 15'!Y59+'Юнит 16'!Y59+'Юнит 17'!Y59+'Юнит 18'!Y59</f>
        <v>0</v>
      </c>
      <c r="Z59" s="89">
        <f>'Юнит 14'!Z59+'Юнит 15'!Z59+'Юнит 16'!Z59+'Юнит 17'!Z59+'Юнит 18'!Z59</f>
        <v>0</v>
      </c>
      <c r="AA59" s="23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89">
        <f>'Юнит 14'!AE59+'Юнит 15'!AE59+'Юнит 16'!AE59+'Юнит 17'!AE59+'Юнит 18'!AE59</f>
        <v>0</v>
      </c>
      <c r="AF59" s="234">
        <f t="shared" si="20"/>
        <v>0</v>
      </c>
      <c r="AG59" s="89">
        <f>'Юнит 14'!AG59+'Юнит 15'!AG59+'Юнит 16'!AG59+'Юнит 17'!AG59+'Юнит 18'!AG59</f>
        <v>0</v>
      </c>
      <c r="AH59" s="89">
        <f>'Юнит 14'!AH59+'Юнит 15'!AH59+'Юнит 16'!AH59+'Юнит 17'!AH59+'Юнит 18'!AH59</f>
        <v>0</v>
      </c>
      <c r="AI59" s="89">
        <f>'Юнит 14'!AI59+'Юнит 15'!AI59+'Юнит 16'!AI59+'Юнит 17'!AI59+'Юнит 18'!AI59</f>
        <v>0</v>
      </c>
      <c r="AJ59" s="89">
        <f>'Юнит 14'!AJ59+'Юнит 15'!AJ59+'Юнит 16'!AJ59+'Юнит 17'!AJ59+'Юнит 18'!AJ59</f>
        <v>0</v>
      </c>
      <c r="AK59" s="89">
        <f>'Юнит 14'!AK59+'Юнит 15'!AK59+'Юнит 16'!AK59+'Юнит 17'!AK59+'Юнит 18'!AK59</f>
        <v>0</v>
      </c>
      <c r="AL59" s="89">
        <f>'Юнит 14'!AL59+'Юнит 15'!AL59+'Юнит 16'!AL59+'Юнит 17'!AL59+'Юнит 18'!AL59</f>
        <v>0</v>
      </c>
      <c r="AM59" s="89">
        <f>'Юнит 14'!AM59+'Юнит 15'!AM59+'Юнит 16'!AM59+'Юнит 17'!AM59+'Юнит 18'!AM59</f>
        <v>0</v>
      </c>
      <c r="AN59" s="94">
        <f t="shared" si="21"/>
        <v>0</v>
      </c>
      <c r="AO59" s="95">
        <f t="shared" si="22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0"/>
        <v>60</v>
      </c>
      <c r="F60" s="93" t="str">
        <f>'Юнит 18'!F60</f>
        <v/>
      </c>
      <c r="G60" s="93" t="str">
        <f>'Юнит 18'!G60</f>
        <v/>
      </c>
      <c r="H60" s="93">
        <f>'Юнит 18'!H60</f>
        <v>19</v>
      </c>
      <c r="I60" s="93">
        <f>'Юнит 18'!I60</f>
        <v>0</v>
      </c>
      <c r="J60" s="93">
        <f>'Юнит 18'!J60</f>
        <v>41</v>
      </c>
      <c r="K60" s="93">
        <v>158.19</v>
      </c>
      <c r="L60" s="92">
        <f t="shared" si="45"/>
        <v>9491.4</v>
      </c>
      <c r="M60" s="89">
        <f>'Юнит 18'!M60</f>
        <v>296</v>
      </c>
      <c r="N60" s="89">
        <f>'Юнит 14'!N60+'Юнит 15'!N60+'Юнит 16'!N60+'Юнит 17'!N60+'Юнит 18'!N60</f>
        <v>7</v>
      </c>
      <c r="O60" s="89">
        <v>1049</v>
      </c>
      <c r="P60" s="89">
        <v>29</v>
      </c>
      <c r="Q60" s="406">
        <f t="shared" ref="Q60:Q61" si="52">U60/N60</f>
        <v>0.2857142857142857</v>
      </c>
      <c r="R60" s="92">
        <f t="shared" si="13"/>
        <v>0.2857142857142857</v>
      </c>
      <c r="S60" s="89">
        <f>'Юнит 14'!S60+'Юнит 15'!S60+'Юнит 16'!S60+'Юнит 17'!S60+'Юнит 18'!S60</f>
        <v>3</v>
      </c>
      <c r="T60" s="89">
        <f>'Юнит 14'!T60+'Юнит 15'!T60+'Юнит 16'!T60+'Юнит 17'!T60+'Юнит 18'!T60</f>
        <v>-1</v>
      </c>
      <c r="U60" s="92">
        <f t="shared" si="14"/>
        <v>2</v>
      </c>
      <c r="V60" s="89">
        <f>'Юнит 14'!V60+'Юнит 15'!V60+'Юнит 16'!V60+'Юнит 17'!V60+'Юнит 18'!V60</f>
        <v>2184</v>
      </c>
      <c r="W60" s="89">
        <f>'Юнит 14'!W60+'Юнит 15'!W60+'Юнит 16'!W60+'Юнит 17'!W60+'Юнит 18'!W60</f>
        <v>-699</v>
      </c>
      <c r="X60" s="92">
        <f t="shared" si="15"/>
        <v>1485</v>
      </c>
      <c r="Y60" s="89">
        <f>'Юнит 14'!Y60+'Юнит 15'!Y60+'Юнит 16'!Y60+'Юнит 17'!Y60+'Юнит 18'!Y60</f>
        <v>3147</v>
      </c>
      <c r="Z60" s="89">
        <f>'Юнит 14'!Z60+'Юнит 15'!Z60+'Юнит 16'!Z60+'Юнит 17'!Z60+'Юнит 18'!Z60</f>
        <v>-1049</v>
      </c>
      <c r="AA60" s="232">
        <f t="shared" si="16"/>
        <v>2098</v>
      </c>
      <c r="AB60" s="92">
        <f t="shared" si="17"/>
        <v>2129.4699999999998</v>
      </c>
      <c r="AC60" s="234">
        <f t="shared" si="18"/>
        <v>1.3897887342200282E-4</v>
      </c>
      <c r="AD60" s="92">
        <f t="shared" si="19"/>
        <v>316.38</v>
      </c>
      <c r="AE60" s="89">
        <f>'Юнит 14'!AE60+'Юнит 15'!AE60+'Юнит 16'!AE60+'Юнит 17'!AE60+'Юнит 18'!AE60</f>
        <v>805.36</v>
      </c>
      <c r="AF60" s="234">
        <f t="shared" si="20"/>
        <v>0.3838703527168732</v>
      </c>
      <c r="AG60" s="89">
        <f>'Юнит 14'!AG60+'Юнит 15'!AG60+'Юнит 16'!AG60+'Юнит 17'!AG60+'Юнит 18'!AG60</f>
        <v>506.08999999999992</v>
      </c>
      <c r="AH60" s="89">
        <f>'Юнит 14'!AH60+'Юнит 15'!AH60+'Юнит 16'!AH60+'Юнит 17'!AH60+'Юнит 18'!AH60</f>
        <v>0</v>
      </c>
      <c r="AI60" s="89">
        <f>'Юнит 14'!AI60+'Юнит 15'!AI60+'Юнит 16'!AI60+'Юнит 17'!AI60+'Юнит 18'!AI60</f>
        <v>0</v>
      </c>
      <c r="AJ60" s="89">
        <f>'Юнит 14'!AJ60+'Юнит 15'!AJ60+'Юнит 16'!AJ60+'Юнит 17'!AJ60+'Юнит 18'!AJ60</f>
        <v>0</v>
      </c>
      <c r="AK60" s="89">
        <f>'Юнит 14'!AK60+'Юнит 15'!AK60+'Юнит 16'!AK60+'Юнит 17'!AK60+'Юнит 18'!AK60</f>
        <v>0</v>
      </c>
      <c r="AL60" s="89">
        <f>'Юнит 14'!AL60+'Юнит 15'!AL60+'Юнит 16'!AL60+'Юнит 17'!AL60+'Юнит 18'!AL60</f>
        <v>93.499748733859647</v>
      </c>
      <c r="AM60" s="89">
        <f>'Юнит 14'!AM60+'Юнит 15'!AM60+'Юнит 16'!AM60+'Юнит 17'!AM60+'Юнит 18'!AM60</f>
        <v>0</v>
      </c>
      <c r="AN60" s="94">
        <f t="shared" si="21"/>
        <v>84.793499999999995</v>
      </c>
      <c r="AO60" s="95">
        <f t="shared" si="22"/>
        <v>291.87675126614033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402.68</v>
      </c>
      <c r="AT60" s="98">
        <f t="shared" si="8"/>
        <v>168.69666666666663</v>
      </c>
      <c r="AU60" s="98">
        <f t="shared" si="23"/>
        <v>0</v>
      </c>
      <c r="AV60" s="98">
        <f t="array" ref="AV60">_xlfn.IFS(U60=0,AO60,U60&lt;0,AO60/-U60,U60&gt;0,AO60/U60)</f>
        <v>145.93837563307017</v>
      </c>
      <c r="AW60" s="234">
        <f t="shared" si="46"/>
        <v>0.13912142577032427</v>
      </c>
      <c r="AX60" s="234">
        <f t="shared" si="47"/>
        <v>0.92255120825001691</v>
      </c>
      <c r="AY60" s="99"/>
      <c r="AZ60" s="94">
        <f t="shared" si="11"/>
        <v>8756.3025379842093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0"/>
        <v>478</v>
      </c>
      <c r="F61" s="93" t="str">
        <f>'Юнит 18'!F61</f>
        <v/>
      </c>
      <c r="G61" s="93" t="str">
        <f>'Юнит 18'!G61</f>
        <v/>
      </c>
      <c r="H61" s="93">
        <f>'Юнит 18'!H61</f>
        <v>157</v>
      </c>
      <c r="I61" s="93">
        <f>'Юнит 18'!I61</f>
        <v>0</v>
      </c>
      <c r="J61" s="93">
        <f>'Юнит 18'!J61</f>
        <v>321</v>
      </c>
      <c r="K61" s="93">
        <v>128.94</v>
      </c>
      <c r="L61" s="92">
        <f t="shared" si="45"/>
        <v>61633.32</v>
      </c>
      <c r="M61" s="89">
        <f>'Юнит 18'!M61</f>
        <v>999</v>
      </c>
      <c r="N61" s="89">
        <f>'Юнит 14'!N61+'Юнит 15'!N61+'Юнит 16'!N61+'Юнит 17'!N61+'Юнит 18'!N61</f>
        <v>8</v>
      </c>
      <c r="O61" s="89">
        <v>948</v>
      </c>
      <c r="P61" s="89">
        <v>25</v>
      </c>
      <c r="Q61" s="406">
        <f t="shared" si="52"/>
        <v>0.5</v>
      </c>
      <c r="R61" s="92">
        <f t="shared" si="13"/>
        <v>0.5714285714285714</v>
      </c>
      <c r="S61" s="89">
        <f>'Юнит 14'!S61+'Юнит 15'!S61+'Юнит 16'!S61+'Юнит 17'!S61+'Юнит 18'!S61</f>
        <v>5</v>
      </c>
      <c r="T61" s="89">
        <f>'Юнит 14'!T61+'Юнит 15'!T61+'Юнит 16'!T61+'Юнит 17'!T61+'Юнит 18'!T61</f>
        <v>-1</v>
      </c>
      <c r="U61" s="92">
        <f t="shared" si="14"/>
        <v>4</v>
      </c>
      <c r="V61" s="89">
        <f>'Юнит 14'!V61+'Юнит 15'!V61+'Юнит 16'!V61+'Юнит 17'!V61+'Юнит 18'!V61</f>
        <v>3545.04</v>
      </c>
      <c r="W61" s="89">
        <f>'Юнит 14'!W61+'Юнит 15'!W61+'Юнит 16'!W61+'Юнит 17'!W61+'Юнит 18'!W61</f>
        <v>-618</v>
      </c>
      <c r="X61" s="92">
        <f t="shared" si="15"/>
        <v>2927.04</v>
      </c>
      <c r="Y61" s="89">
        <f>'Юнит 14'!Y61+'Юнит 15'!Y61+'Юнит 16'!Y61+'Юнит 17'!Y61+'Юнит 18'!Y61</f>
        <v>4691.41</v>
      </c>
      <c r="Z61" s="89">
        <f>'Юнит 14'!Z61+'Юнит 15'!Z61+'Юнит 16'!Z61+'Юнит 17'!Z61+'Юнит 18'!Z61</f>
        <v>-927</v>
      </c>
      <c r="AA61" s="232">
        <f t="shared" si="16"/>
        <v>3764.41</v>
      </c>
      <c r="AB61" s="92">
        <f t="shared" si="17"/>
        <v>1896</v>
      </c>
      <c r="AC61" s="234">
        <f t="shared" si="18"/>
        <v>2.4936771253504368E-4</v>
      </c>
      <c r="AD61" s="92">
        <f t="shared" si="19"/>
        <v>515.76</v>
      </c>
      <c r="AE61" s="89">
        <f>'Юнит 14'!AE61+'Юнит 15'!AE61+'Юнит 16'!AE61+'Юнит 17'!AE61+'Юнит 18'!AE61</f>
        <v>1425.83</v>
      </c>
      <c r="AF61" s="234">
        <f t="shared" si="20"/>
        <v>0.37876586237949639</v>
      </c>
      <c r="AG61" s="89">
        <f>'Юнит 14'!AG61+'Юнит 15'!AG61+'Юнит 16'!AG61+'Юнит 17'!AG61+'Юнит 18'!AG61</f>
        <v>1026.0800000000002</v>
      </c>
      <c r="AH61" s="89">
        <f>'Юнит 14'!AH61+'Юнит 15'!AH61+'Юнит 16'!AH61+'Юнит 17'!AH61+'Юнит 18'!AH61</f>
        <v>0</v>
      </c>
      <c r="AI61" s="89">
        <f>'Юнит 14'!AI61+'Юнит 15'!AI61+'Юнит 16'!AI61+'Юнит 17'!AI61+'Юнит 18'!AI61</f>
        <v>0</v>
      </c>
      <c r="AJ61" s="89">
        <f>'Юнит 14'!AJ61+'Юнит 15'!AJ61+'Юнит 16'!AJ61+'Юнит 17'!AJ61+'Юнит 18'!AJ61</f>
        <v>0</v>
      </c>
      <c r="AK61" s="89">
        <f>'Юнит 14'!AK61+'Юнит 15'!AK61+'Юнит 16'!AK61+'Юнит 17'!AK61+'Юнит 18'!AK61</f>
        <v>0</v>
      </c>
      <c r="AL61" s="89">
        <f>'Юнит 14'!AL61+'Юнит 15'!AL61+'Юнит 16'!AL61+'Юнит 17'!AL61+'Юнит 18'!AL61</f>
        <v>748.27903175889867</v>
      </c>
      <c r="AM61" s="89">
        <f>'Юнит 14'!AM61+'Юнит 15'!AM61+'Юнит 16'!AM61+'Юнит 17'!AM61+'Юнит 18'!AM61</f>
        <v>0</v>
      </c>
      <c r="AN61" s="94">
        <f t="shared" si="21"/>
        <v>167.133984</v>
      </c>
      <c r="AO61" s="95">
        <f t="shared" si="22"/>
        <v>-118.67301575889911</v>
      </c>
      <c r="AP61" s="96"/>
      <c r="AQ61" s="97">
        <f t="shared" si="5"/>
        <v>941.10249999999996</v>
      </c>
      <c r="AR61" s="98">
        <f t="shared" si="34"/>
        <v>128.94</v>
      </c>
      <c r="AS61" s="98">
        <f t="shared" si="7"/>
        <v>356.45749999999998</v>
      </c>
      <c r="AT61" s="98">
        <f t="shared" si="8"/>
        <v>205.21600000000004</v>
      </c>
      <c r="AU61" s="98">
        <f t="shared" si="23"/>
        <v>0</v>
      </c>
      <c r="AV61" s="98">
        <f t="array" ref="AV61">_xlfn.IFS(U61=0,AO61,U61&lt;0,AO61/-U61,U61&gt;0,AO61/U61)</f>
        <v>-29.668253939724778</v>
      </c>
      <c r="AW61" s="234">
        <f t="shared" si="46"/>
        <v>-3.1524997478728174E-2</v>
      </c>
      <c r="AX61" s="234">
        <f t="shared" si="47"/>
        <v>-0.23009348487455233</v>
      </c>
      <c r="AY61" s="99"/>
      <c r="AZ61" s="94">
        <f t="shared" si="11"/>
        <v>-14181.425383188443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0"/>
        <v>92</v>
      </c>
      <c r="F62" s="93">
        <f>'Юнит 18'!F62</f>
        <v>0</v>
      </c>
      <c r="G62" s="93">
        <f>'Юнит 18'!G62</f>
        <v>0</v>
      </c>
      <c r="H62" s="93">
        <f>'Юнит 18'!H62</f>
        <v>0</v>
      </c>
      <c r="I62" s="93">
        <f>'Юнит 18'!I62</f>
        <v>0</v>
      </c>
      <c r="J62" s="93">
        <f>'Юнит 18'!J62</f>
        <v>92</v>
      </c>
      <c r="K62" s="93">
        <v>175.74</v>
      </c>
      <c r="L62" s="92">
        <f t="shared" si="45"/>
        <v>16168.080000000002</v>
      </c>
      <c r="M62" s="89">
        <f>'Юнит 18'!M62</f>
        <v>0</v>
      </c>
      <c r="N62" s="89">
        <f>'Юнит 14'!N62+'Юнит 15'!N62+'Юнит 16'!N62+'Юнит 17'!N62+'Юнит 18'!N62</f>
        <v>0</v>
      </c>
      <c r="O62" s="89">
        <v>0</v>
      </c>
      <c r="P62" s="89">
        <v>0</v>
      </c>
      <c r="Q62" s="406"/>
      <c r="R62" s="92">
        <f t="shared" si="13"/>
        <v>0</v>
      </c>
      <c r="S62" s="89">
        <f>'Юнит 14'!S62+'Юнит 15'!S62+'Юнит 16'!S62+'Юнит 17'!S62+'Юнит 18'!S62</f>
        <v>0</v>
      </c>
      <c r="T62" s="89">
        <f>'Юнит 14'!T62+'Юнит 15'!T62+'Юнит 16'!T62+'Юнит 17'!T62+'Юнит 18'!T62</f>
        <v>0</v>
      </c>
      <c r="U62" s="92">
        <f t="shared" si="14"/>
        <v>0</v>
      </c>
      <c r="V62" s="89">
        <f>'Юнит 14'!V62+'Юнит 15'!V62+'Юнит 16'!V62+'Юнит 17'!V62+'Юнит 18'!V62</f>
        <v>0</v>
      </c>
      <c r="W62" s="89">
        <f>'Юнит 14'!W62+'Юнит 15'!W62+'Юнит 16'!W62+'Юнит 17'!W62+'Юнит 18'!W62</f>
        <v>0</v>
      </c>
      <c r="X62" s="92">
        <f t="shared" si="15"/>
        <v>0</v>
      </c>
      <c r="Y62" s="89">
        <f>'Юнит 14'!Y62+'Юнит 15'!Y62+'Юнит 16'!Y62+'Юнит 17'!Y62+'Юнит 18'!Y62</f>
        <v>0</v>
      </c>
      <c r="Z62" s="89">
        <f>'Юнит 14'!Z62+'Юнит 15'!Z62+'Юнит 16'!Z62+'Юнит 17'!Z62+'Юнит 18'!Z62</f>
        <v>0</v>
      </c>
      <c r="AA62" s="23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89">
        <f>'Юнит 14'!AE62+'Юнит 15'!AE62+'Юнит 16'!AE62+'Юнит 17'!AE62+'Юнит 18'!AE62</f>
        <v>0</v>
      </c>
      <c r="AF62" s="234">
        <f t="shared" si="20"/>
        <v>0</v>
      </c>
      <c r="AG62" s="89">
        <f>'Юнит 14'!AG62+'Юнит 15'!AG62+'Юнит 16'!AG62+'Юнит 17'!AG62+'Юнит 18'!AG62</f>
        <v>0</v>
      </c>
      <c r="AH62" s="89">
        <f>'Юнит 14'!AH62+'Юнит 15'!AH62+'Юнит 16'!AH62+'Юнит 17'!AH62+'Юнит 18'!AH62</f>
        <v>0</v>
      </c>
      <c r="AI62" s="89">
        <f>'Юнит 14'!AI62+'Юнит 15'!AI62+'Юнит 16'!AI62+'Юнит 17'!AI62+'Юнит 18'!AI62</f>
        <v>0</v>
      </c>
      <c r="AJ62" s="89">
        <f>'Юнит 14'!AJ62+'Юнит 15'!AJ62+'Юнит 16'!AJ62+'Юнит 17'!AJ62+'Юнит 18'!AJ62</f>
        <v>0</v>
      </c>
      <c r="AK62" s="89">
        <f>'Юнит 14'!AK62+'Юнит 15'!AK62+'Юнит 16'!AK62+'Юнит 17'!AK62+'Юнит 18'!AK62</f>
        <v>0</v>
      </c>
      <c r="AL62" s="89">
        <f>'Юнит 14'!AL62+'Юнит 15'!AL62+'Юнит 16'!AL62+'Юнит 17'!AL62+'Юнит 18'!AL62</f>
        <v>0</v>
      </c>
      <c r="AM62" s="89">
        <f>'Юнит 14'!AM62+'Юнит 15'!AM62+'Юнит 16'!AM62+'Юнит 17'!AM62+'Юнит 18'!AM62</f>
        <v>0</v>
      </c>
      <c r="AN62" s="94">
        <f t="shared" si="21"/>
        <v>0</v>
      </c>
      <c r="AO62" s="95">
        <f t="shared" si="22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0"/>
        <v>3</v>
      </c>
      <c r="F63" s="93">
        <f>'Юнит 18'!F63</f>
        <v>0</v>
      </c>
      <c r="G63" s="93">
        <f>'Юнит 18'!G63</f>
        <v>0</v>
      </c>
      <c r="H63" s="93">
        <f>'Юнит 18'!H63</f>
        <v>0</v>
      </c>
      <c r="I63" s="93">
        <f>'Юнит 18'!I63</f>
        <v>0</v>
      </c>
      <c r="J63" s="93">
        <f>'Юнит 18'!J63</f>
        <v>3</v>
      </c>
      <c r="K63" s="93">
        <v>140.63999999999999</v>
      </c>
      <c r="L63" s="92">
        <f t="shared" si="45"/>
        <v>421.91999999999996</v>
      </c>
      <c r="M63" s="89">
        <f>'Юнит 18'!M63</f>
        <v>0</v>
      </c>
      <c r="N63" s="89">
        <f>'Юнит 14'!N63+'Юнит 15'!N63+'Юнит 16'!N63+'Юнит 17'!N63+'Юнит 18'!N63</f>
        <v>0</v>
      </c>
      <c r="O63" s="89">
        <v>0</v>
      </c>
      <c r="P63" s="89">
        <v>0</v>
      </c>
      <c r="Q63" s="406"/>
      <c r="R63" s="92">
        <f t="shared" si="13"/>
        <v>0</v>
      </c>
      <c r="S63" s="89">
        <f>'Юнит 14'!S63+'Юнит 15'!S63+'Юнит 16'!S63+'Юнит 17'!S63+'Юнит 18'!S63</f>
        <v>0</v>
      </c>
      <c r="T63" s="89">
        <f>'Юнит 14'!T63+'Юнит 15'!T63+'Юнит 16'!T63+'Юнит 17'!T63+'Юнит 18'!T63</f>
        <v>0</v>
      </c>
      <c r="U63" s="92">
        <f t="shared" si="14"/>
        <v>0</v>
      </c>
      <c r="V63" s="89">
        <f>'Юнит 14'!V63+'Юнит 15'!V63+'Юнит 16'!V63+'Юнит 17'!V63+'Юнит 18'!V63</f>
        <v>0</v>
      </c>
      <c r="W63" s="89">
        <f>'Юнит 14'!W63+'Юнит 15'!W63+'Юнит 16'!W63+'Юнит 17'!W63+'Юнит 18'!W63</f>
        <v>0</v>
      </c>
      <c r="X63" s="92">
        <f t="shared" si="15"/>
        <v>0</v>
      </c>
      <c r="Y63" s="89">
        <f>'Юнит 14'!Y63+'Юнит 15'!Y63+'Юнит 16'!Y63+'Юнит 17'!Y63+'Юнит 18'!Y63</f>
        <v>0</v>
      </c>
      <c r="Z63" s="89">
        <f>'Юнит 14'!Z63+'Юнит 15'!Z63+'Юнит 16'!Z63+'Юнит 17'!Z63+'Юнит 18'!Z63</f>
        <v>0</v>
      </c>
      <c r="AA63" s="23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89">
        <f>'Юнит 14'!AE63+'Юнит 15'!AE63+'Юнит 16'!AE63+'Юнит 17'!AE63+'Юнит 18'!AE63</f>
        <v>0</v>
      </c>
      <c r="AF63" s="234">
        <f t="shared" si="20"/>
        <v>0</v>
      </c>
      <c r="AG63" s="89">
        <f>'Юнит 14'!AG63+'Юнит 15'!AG63+'Юнит 16'!AG63+'Юнит 17'!AG63+'Юнит 18'!AG63</f>
        <v>0</v>
      </c>
      <c r="AH63" s="89">
        <f>'Юнит 14'!AH63+'Юнит 15'!AH63+'Юнит 16'!AH63+'Юнит 17'!AH63+'Юнит 18'!AH63</f>
        <v>0</v>
      </c>
      <c r="AI63" s="89">
        <f>'Юнит 14'!AI63+'Юнит 15'!AI63+'Юнит 16'!AI63+'Юнит 17'!AI63+'Юнит 18'!AI63</f>
        <v>0</v>
      </c>
      <c r="AJ63" s="89">
        <f>'Юнит 14'!AJ63+'Юнит 15'!AJ63+'Юнит 16'!AJ63+'Юнит 17'!AJ63+'Юнит 18'!AJ63</f>
        <v>0</v>
      </c>
      <c r="AK63" s="89">
        <f>'Юнит 14'!AK63+'Юнит 15'!AK63+'Юнит 16'!AK63+'Юнит 17'!AK63+'Юнит 18'!AK63</f>
        <v>0</v>
      </c>
      <c r="AL63" s="89">
        <f>'Юнит 14'!AL63+'Юнит 15'!AL63+'Юнит 16'!AL63+'Юнит 17'!AL63+'Юнит 18'!AL63</f>
        <v>0</v>
      </c>
      <c r="AM63" s="89">
        <f>'Юнит 14'!AM63+'Юнит 15'!AM63+'Юнит 16'!AM63+'Юнит 17'!AM63+'Юнит 18'!AM63</f>
        <v>0</v>
      </c>
      <c r="AN63" s="94">
        <f t="shared" si="21"/>
        <v>0</v>
      </c>
      <c r="AO63" s="95">
        <f t="shared" si="22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0"/>
        <v>43</v>
      </c>
      <c r="F64" s="93">
        <f>'Юнит 18'!F64</f>
        <v>0</v>
      </c>
      <c r="G64" s="93">
        <f>'Юнит 18'!G64</f>
        <v>0</v>
      </c>
      <c r="H64" s="93">
        <f>'Юнит 18'!H64</f>
        <v>0</v>
      </c>
      <c r="I64" s="93">
        <f>'Юнит 18'!I64</f>
        <v>0</v>
      </c>
      <c r="J64" s="93">
        <f>'Юнит 18'!J64</f>
        <v>43</v>
      </c>
      <c r="K64" s="93">
        <v>99.69</v>
      </c>
      <c r="L64" s="92">
        <f t="shared" si="45"/>
        <v>4286.67</v>
      </c>
      <c r="M64" s="89">
        <f>'Юнит 18'!M64</f>
        <v>0</v>
      </c>
      <c r="N64" s="89">
        <f>'Юнит 14'!N64+'Юнит 15'!N64+'Юнит 16'!N64+'Юнит 17'!N64+'Юнит 18'!N64</f>
        <v>0</v>
      </c>
      <c r="O64" s="89">
        <v>0</v>
      </c>
      <c r="P64" s="89">
        <v>0</v>
      </c>
      <c r="Q64" s="406"/>
      <c r="R64" s="92">
        <f t="shared" si="13"/>
        <v>0</v>
      </c>
      <c r="S64" s="89">
        <f>'Юнит 14'!S64+'Юнит 15'!S64+'Юнит 16'!S64+'Юнит 17'!S64+'Юнит 18'!S64</f>
        <v>0</v>
      </c>
      <c r="T64" s="89">
        <f>'Юнит 14'!T64+'Юнит 15'!T64+'Юнит 16'!T64+'Юнит 17'!T64+'Юнит 18'!T64</f>
        <v>0</v>
      </c>
      <c r="U64" s="92">
        <f t="shared" si="14"/>
        <v>0</v>
      </c>
      <c r="V64" s="89">
        <f>'Юнит 14'!V64+'Юнит 15'!V64+'Юнит 16'!V64+'Юнит 17'!V64+'Юнит 18'!V64</f>
        <v>0</v>
      </c>
      <c r="W64" s="89">
        <f>'Юнит 14'!W64+'Юнит 15'!W64+'Юнит 16'!W64+'Юнит 17'!W64+'Юнит 18'!W64</f>
        <v>0</v>
      </c>
      <c r="X64" s="92">
        <f t="shared" si="15"/>
        <v>0</v>
      </c>
      <c r="Y64" s="89">
        <f>'Юнит 14'!Y64+'Юнит 15'!Y64+'Юнит 16'!Y64+'Юнит 17'!Y64+'Юнит 18'!Y64</f>
        <v>0</v>
      </c>
      <c r="Z64" s="89">
        <f>'Юнит 14'!Z64+'Юнит 15'!Z64+'Юнит 16'!Z64+'Юнит 17'!Z64+'Юнит 18'!Z64</f>
        <v>0</v>
      </c>
      <c r="AA64" s="23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89">
        <f>'Юнит 14'!AE64+'Юнит 15'!AE64+'Юнит 16'!AE64+'Юнит 17'!AE64+'Юнит 18'!AE64</f>
        <v>0</v>
      </c>
      <c r="AF64" s="234">
        <f t="shared" si="20"/>
        <v>0</v>
      </c>
      <c r="AG64" s="89">
        <f>'Юнит 14'!AG64+'Юнит 15'!AG64+'Юнит 16'!AG64+'Юнит 17'!AG64+'Юнит 18'!AG64</f>
        <v>0</v>
      </c>
      <c r="AH64" s="89">
        <f>'Юнит 14'!AH64+'Юнит 15'!AH64+'Юнит 16'!AH64+'Юнит 17'!AH64+'Юнит 18'!AH64</f>
        <v>0</v>
      </c>
      <c r="AI64" s="89">
        <f>'Юнит 14'!AI64+'Юнит 15'!AI64+'Юнит 16'!AI64+'Юнит 17'!AI64+'Юнит 18'!AI64</f>
        <v>0</v>
      </c>
      <c r="AJ64" s="89">
        <f>'Юнит 14'!AJ64+'Юнит 15'!AJ64+'Юнит 16'!AJ64+'Юнит 17'!AJ64+'Юнит 18'!AJ64</f>
        <v>0</v>
      </c>
      <c r="AK64" s="89">
        <f>'Юнит 14'!AK64+'Юнит 15'!AK64+'Юнит 16'!AK64+'Юнит 17'!AK64+'Юнит 18'!AK64</f>
        <v>0</v>
      </c>
      <c r="AL64" s="89">
        <f>'Юнит 14'!AL64+'Юнит 15'!AL64+'Юнит 16'!AL64+'Юнит 17'!AL64+'Юнит 18'!AL64</f>
        <v>0</v>
      </c>
      <c r="AM64" s="89">
        <f>'Юнит 14'!AM64+'Юнит 15'!AM64+'Юнит 16'!AM64+'Юнит 17'!AM64+'Юнит 18'!AM64</f>
        <v>0</v>
      </c>
      <c r="AN64" s="94">
        <f t="shared" si="21"/>
        <v>0</v>
      </c>
      <c r="AO64" s="95">
        <f t="shared" si="22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0"/>
        <v>95</v>
      </c>
      <c r="F65" s="93">
        <f>'Юнит 18'!F65</f>
        <v>1</v>
      </c>
      <c r="G65" s="93" t="str">
        <f>'Юнит 18'!G65</f>
        <v/>
      </c>
      <c r="H65" s="93" t="str">
        <f>'Юнит 18'!H65</f>
        <v/>
      </c>
      <c r="I65" s="93">
        <f>'Юнит 18'!I65</f>
        <v>0</v>
      </c>
      <c r="J65" s="93">
        <f>'Юнит 18'!J65</f>
        <v>94</v>
      </c>
      <c r="K65" s="93">
        <v>99.69</v>
      </c>
      <c r="L65" s="92">
        <f t="shared" si="45"/>
        <v>9470.5499999999993</v>
      </c>
      <c r="M65" s="89">
        <f>'Юнит 18'!M65</f>
        <v>29</v>
      </c>
      <c r="N65" s="89">
        <f>'Юнит 14'!N65+'Юнит 15'!N65+'Юнит 16'!N65+'Юнит 17'!N65+'Юнит 18'!N65</f>
        <v>1</v>
      </c>
      <c r="O65" s="89">
        <v>0</v>
      </c>
      <c r="P65" s="89">
        <v>0</v>
      </c>
      <c r="Q65" s="406">
        <f t="shared" ref="Q65" si="53">U65/N65</f>
        <v>0</v>
      </c>
      <c r="R65" s="92">
        <f t="shared" si="13"/>
        <v>0</v>
      </c>
      <c r="S65" s="89">
        <f>'Юнит 14'!S65+'Юнит 15'!S65+'Юнит 16'!S65+'Юнит 17'!S65+'Юнит 18'!S65</f>
        <v>0</v>
      </c>
      <c r="T65" s="89">
        <f>'Юнит 14'!T65+'Юнит 15'!T65+'Юнит 16'!T65+'Юнит 17'!T65+'Юнит 18'!T65</f>
        <v>0</v>
      </c>
      <c r="U65" s="92">
        <f t="shared" si="14"/>
        <v>0</v>
      </c>
      <c r="V65" s="89">
        <f>'Юнит 14'!V65+'Юнит 15'!V65+'Юнит 16'!V65+'Юнит 17'!V65+'Юнит 18'!V65</f>
        <v>0</v>
      </c>
      <c r="W65" s="89">
        <f>'Юнит 14'!W65+'Юнит 15'!W65+'Юнит 16'!W65+'Юнит 17'!W65+'Юнит 18'!W65</f>
        <v>0</v>
      </c>
      <c r="X65" s="92">
        <f t="shared" si="15"/>
        <v>0</v>
      </c>
      <c r="Y65" s="89">
        <f>'Юнит 14'!Y65+'Юнит 15'!Y65+'Юнит 16'!Y65+'Юнит 17'!Y65+'Юнит 18'!Y65</f>
        <v>0</v>
      </c>
      <c r="Z65" s="89">
        <f>'Юнит 14'!Z65+'Юнит 15'!Z65+'Юнит 16'!Z65+'Юнит 17'!Z65+'Юнит 18'!Z65</f>
        <v>0</v>
      </c>
      <c r="AA65" s="23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89">
        <f>'Юнит 14'!AE65+'Юнит 15'!AE65+'Юнит 16'!AE65+'Юнит 17'!AE65+'Юнит 18'!AE65</f>
        <v>0</v>
      </c>
      <c r="AF65" s="234">
        <f t="shared" si="20"/>
        <v>0</v>
      </c>
      <c r="AG65" s="89">
        <f>'Юнит 14'!AG65+'Юнит 15'!AG65+'Юнит 16'!AG65+'Юнит 17'!AG65+'Юнит 18'!AG65</f>
        <v>1.25</v>
      </c>
      <c r="AH65" s="89">
        <f>'Юнит 14'!AH65+'Юнит 15'!AH65+'Юнит 16'!AH65+'Юнит 17'!AH65+'Юнит 18'!AH65</f>
        <v>0</v>
      </c>
      <c r="AI65" s="89">
        <f>'Юнит 14'!AI65+'Юнит 15'!AI65+'Юнит 16'!AI65+'Юнит 17'!AI65+'Юнит 18'!AI65</f>
        <v>0</v>
      </c>
      <c r="AJ65" s="89">
        <f>'Юнит 14'!AJ65+'Юнит 15'!AJ65+'Юнит 16'!AJ65+'Юнит 17'!AJ65+'Юнит 18'!AJ65</f>
        <v>0</v>
      </c>
      <c r="AK65" s="89">
        <f>'Юнит 14'!AK65+'Юнит 15'!AK65+'Юнит 16'!AK65+'Юнит 17'!AK65+'Юнит 18'!AK65</f>
        <v>0</v>
      </c>
      <c r="AL65" s="89">
        <f>'Юнит 14'!AL65+'Юнит 15'!AL65+'Юнит 16'!AL65+'Юнит 17'!AL65+'Юнит 18'!AL65</f>
        <v>3.7775997209441154</v>
      </c>
      <c r="AM65" s="89">
        <f>'Юнит 14'!AM65+'Юнит 15'!AM65+'Юнит 16'!AM65+'Юнит 17'!AM65+'Юнит 18'!AM65</f>
        <v>0</v>
      </c>
      <c r="AN65" s="94">
        <f t="shared" si="21"/>
        <v>0</v>
      </c>
      <c r="AO65" s="95">
        <f t="shared" si="22"/>
        <v>-5.0275997209441154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-5.0275997209441154</v>
      </c>
      <c r="AW65" s="234">
        <f t="shared" si="46"/>
        <v>0</v>
      </c>
      <c r="AX65" s="234">
        <f t="shared" si="47"/>
        <v>-5.0432337455553373E-2</v>
      </c>
      <c r="AY65" s="99"/>
      <c r="AZ65" s="94">
        <f t="shared" si="11"/>
        <v>-477.62197348969096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0"/>
        <v>95</v>
      </c>
      <c r="F66" s="93" t="str">
        <f>'Юнит 18'!F66</f>
        <v/>
      </c>
      <c r="G66" s="93" t="str">
        <f>'Юнит 18'!G66</f>
        <v/>
      </c>
      <c r="H66" s="93">
        <f>'Юнит 18'!H66</f>
        <v>2</v>
      </c>
      <c r="I66" s="93">
        <f>'Юнит 18'!I66</f>
        <v>0</v>
      </c>
      <c r="J66" s="93">
        <f>'Юнит 18'!J66</f>
        <v>93</v>
      </c>
      <c r="K66" s="93">
        <v>97.35</v>
      </c>
      <c r="L66" s="92">
        <f t="shared" si="45"/>
        <v>9248.25</v>
      </c>
      <c r="M66" s="89">
        <f>'Юнит 18'!M66</f>
        <v>999</v>
      </c>
      <c r="N66" s="89">
        <f>'Юнит 14'!N66+'Юнит 15'!N66+'Юнит 16'!N66+'Юнит 17'!N66+'Юнит 18'!N66</f>
        <v>0</v>
      </c>
      <c r="O66" s="89">
        <v>0</v>
      </c>
      <c r="P66" s="89">
        <v>0</v>
      </c>
      <c r="Q66" s="406"/>
      <c r="R66" s="92">
        <f t="shared" si="13"/>
        <v>0</v>
      </c>
      <c r="S66" s="89">
        <f>'Юнит 14'!S66+'Юнит 15'!S66+'Юнит 16'!S66+'Юнит 17'!S66+'Юнит 18'!S66</f>
        <v>0</v>
      </c>
      <c r="T66" s="89">
        <f>'Юнит 14'!T66+'Юнит 15'!T66+'Юнит 16'!T66+'Юнит 17'!T66+'Юнит 18'!T66</f>
        <v>0</v>
      </c>
      <c r="U66" s="92">
        <f t="shared" si="14"/>
        <v>0</v>
      </c>
      <c r="V66" s="89">
        <f>'Юнит 14'!V66+'Юнит 15'!V66+'Юнит 16'!V66+'Юнит 17'!V66+'Юнит 18'!V66</f>
        <v>0</v>
      </c>
      <c r="W66" s="89">
        <f>'Юнит 14'!W66+'Юнит 15'!W66+'Юнит 16'!W66+'Юнит 17'!W66+'Юнит 18'!W66</f>
        <v>0</v>
      </c>
      <c r="X66" s="92">
        <f t="shared" si="15"/>
        <v>0</v>
      </c>
      <c r="Y66" s="89">
        <f>'Юнит 14'!Y66+'Юнит 15'!Y66+'Юнит 16'!Y66+'Юнит 17'!Y66+'Юнит 18'!Y66</f>
        <v>0</v>
      </c>
      <c r="Z66" s="89">
        <f>'Юнит 14'!Z66+'Юнит 15'!Z66+'Юнит 16'!Z66+'Юнит 17'!Z66+'Юнит 18'!Z66</f>
        <v>0</v>
      </c>
      <c r="AA66" s="23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89">
        <f>'Юнит 14'!AE66+'Юнит 15'!AE66+'Юнит 16'!AE66+'Юнит 17'!AE66+'Юнит 18'!AE66</f>
        <v>0</v>
      </c>
      <c r="AF66" s="234">
        <f t="shared" si="20"/>
        <v>0</v>
      </c>
      <c r="AG66" s="89">
        <f>'Юнит 14'!AG66+'Юнит 15'!AG66+'Юнит 16'!AG66+'Юнит 17'!AG66+'Юнит 18'!AG66</f>
        <v>0</v>
      </c>
      <c r="AH66" s="89">
        <f>'Юнит 14'!AH66+'Юнит 15'!AH66+'Юнит 16'!AH66+'Юнит 17'!AH66+'Юнит 18'!AH66</f>
        <v>0</v>
      </c>
      <c r="AI66" s="89">
        <f>'Юнит 14'!AI66+'Юнит 15'!AI66+'Юнит 16'!AI66+'Юнит 17'!AI66+'Юнит 18'!AI66</f>
        <v>0</v>
      </c>
      <c r="AJ66" s="89">
        <f>'Юнит 14'!AJ66+'Юнит 15'!AJ66+'Юнит 16'!AJ66+'Юнит 17'!AJ66+'Юнит 18'!AJ66</f>
        <v>0</v>
      </c>
      <c r="AK66" s="89">
        <f>'Юнит 14'!AK66+'Юнит 15'!AK66+'Юнит 16'!AK66+'Юнит 17'!AK66+'Юнит 18'!AK66</f>
        <v>0</v>
      </c>
      <c r="AL66" s="89">
        <f>'Юнит 14'!AL66+'Юнит 15'!AL66+'Юнит 16'!AL66+'Юнит 17'!AL66+'Юнит 18'!AL66</f>
        <v>9.6386748883168032</v>
      </c>
      <c r="AM66" s="89">
        <f>'Юнит 14'!AM66+'Юнит 15'!AM66+'Юнит 16'!AM66+'Юнит 17'!AM66+'Юнит 18'!AM66</f>
        <v>0</v>
      </c>
      <c r="AN66" s="94">
        <f t="shared" si="21"/>
        <v>0</v>
      </c>
      <c r="AO66" s="95">
        <f t="shared" si="22"/>
        <v>-9.6386748883168032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-9.6386748883168032</v>
      </c>
      <c r="AW66" s="234">
        <f t="shared" si="46"/>
        <v>0</v>
      </c>
      <c r="AX66" s="234">
        <f t="shared" si="47"/>
        <v>-9.9010527871769935E-2</v>
      </c>
      <c r="AY66" s="99"/>
      <c r="AZ66" s="94">
        <f t="shared" si="11"/>
        <v>-915.67411439009629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0"/>
        <v>1</v>
      </c>
      <c r="F67" s="93">
        <f>'Юнит 18'!F67</f>
        <v>0</v>
      </c>
      <c r="G67" s="93">
        <f>'Юнит 18'!G67</f>
        <v>0</v>
      </c>
      <c r="H67" s="93">
        <f>'Юнит 18'!H67</f>
        <v>0</v>
      </c>
      <c r="I67" s="93">
        <f>'Юнит 18'!I67</f>
        <v>0</v>
      </c>
      <c r="J67" s="93">
        <f>'Юнит 18'!J67</f>
        <v>1</v>
      </c>
      <c r="K67" s="93">
        <v>161.69999999999999</v>
      </c>
      <c r="L67" s="92">
        <f t="shared" si="45"/>
        <v>161.69999999999999</v>
      </c>
      <c r="M67" s="89">
        <f>'Юнит 18'!M67</f>
        <v>999</v>
      </c>
      <c r="N67" s="89">
        <f>'Юнит 14'!N67+'Юнит 15'!N67+'Юнит 16'!N67+'Юнит 17'!N67+'Юнит 18'!N67</f>
        <v>0</v>
      </c>
      <c r="O67" s="89">
        <v>0</v>
      </c>
      <c r="P67" s="89">
        <v>0</v>
      </c>
      <c r="Q67" s="406" t="e">
        <f t="shared" ref="Q67" si="54">U67/N67</f>
        <v>#DIV/0!</v>
      </c>
      <c r="R67" s="92">
        <f t="shared" si="13"/>
        <v>0</v>
      </c>
      <c r="S67" s="89">
        <f>'Юнит 14'!S67+'Юнит 15'!S67+'Юнит 16'!S67+'Юнит 17'!S67+'Юнит 18'!S67</f>
        <v>0</v>
      </c>
      <c r="T67" s="89">
        <f>'Юнит 14'!T67+'Юнит 15'!T67+'Юнит 16'!T67+'Юнит 17'!T67+'Юнит 18'!T67</f>
        <v>0</v>
      </c>
      <c r="U67" s="92">
        <f t="shared" si="14"/>
        <v>0</v>
      </c>
      <c r="V67" s="89">
        <f>'Юнит 14'!V67+'Юнит 15'!V67+'Юнит 16'!V67+'Юнит 17'!V67+'Юнит 18'!V67</f>
        <v>0</v>
      </c>
      <c r="W67" s="89">
        <f>'Юнит 14'!W67+'Юнит 15'!W67+'Юнит 16'!W67+'Юнит 17'!W67+'Юнит 18'!W67</f>
        <v>0</v>
      </c>
      <c r="X67" s="92">
        <f t="shared" si="15"/>
        <v>0</v>
      </c>
      <c r="Y67" s="89">
        <f>'Юнит 14'!Y67+'Юнит 15'!Y67+'Юнит 16'!Y67+'Юнит 17'!Y67+'Юнит 18'!Y67</f>
        <v>0</v>
      </c>
      <c r="Z67" s="89">
        <f>'Юнит 14'!Z67+'Юнит 15'!Z67+'Юнит 16'!Z67+'Юнит 17'!Z67+'Юнит 18'!Z67</f>
        <v>0</v>
      </c>
      <c r="AA67" s="23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89">
        <f>'Юнит 14'!AE67+'Юнит 15'!AE67+'Юнит 16'!AE67+'Юнит 17'!AE67+'Юнит 18'!AE67</f>
        <v>0</v>
      </c>
      <c r="AF67" s="234">
        <f t="shared" si="20"/>
        <v>0</v>
      </c>
      <c r="AG67" s="89">
        <f>'Юнит 14'!AG67+'Юнит 15'!AG67+'Юнит 16'!AG67+'Юнит 17'!AG67+'Юнит 18'!AG67</f>
        <v>0</v>
      </c>
      <c r="AH67" s="89">
        <f>'Юнит 14'!AH67+'Юнит 15'!AH67+'Юнит 16'!AH67+'Юнит 17'!AH67+'Юнит 18'!AH67</f>
        <v>0</v>
      </c>
      <c r="AI67" s="89">
        <f>'Юнит 14'!AI67+'Юнит 15'!AI67+'Юнит 16'!AI67+'Юнит 17'!AI67+'Юнит 18'!AI67</f>
        <v>0</v>
      </c>
      <c r="AJ67" s="89">
        <f>'Юнит 14'!AJ67+'Юнит 15'!AJ67+'Юнит 16'!AJ67+'Юнит 17'!AJ67+'Юнит 18'!AJ67</f>
        <v>0</v>
      </c>
      <c r="AK67" s="89">
        <f>'Юнит 14'!AK67+'Юнит 15'!AK67+'Юнит 16'!AK67+'Юнит 17'!AK67+'Юнит 18'!AK67</f>
        <v>0</v>
      </c>
      <c r="AL67" s="89">
        <f>'Юнит 14'!AL67+'Юнит 15'!AL67+'Юнит 16'!AL67+'Юнит 17'!AL67+'Юнит 18'!AL67</f>
        <v>0</v>
      </c>
      <c r="AM67" s="89">
        <f>'Юнит 14'!AM67+'Юнит 15'!AM67+'Юнит 16'!AM67+'Юнит 17'!AM67+'Юнит 18'!AM67</f>
        <v>0</v>
      </c>
      <c r="AN67" s="94">
        <f t="shared" si="21"/>
        <v>0</v>
      </c>
      <c r="AO67" s="95">
        <f t="shared" si="22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6"/>
        <v>0</v>
      </c>
      <c r="AX67" s="234">
        <f t="shared" si="47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0"/>
        <v>1</v>
      </c>
      <c r="F68" s="93">
        <f>'Юнит 18'!F68</f>
        <v>0</v>
      </c>
      <c r="G68" s="93">
        <f>'Юнит 18'!G68</f>
        <v>0</v>
      </c>
      <c r="H68" s="93">
        <f>'Юнит 18'!H68</f>
        <v>0</v>
      </c>
      <c r="I68" s="93">
        <f>'Юнит 18'!I68</f>
        <v>0</v>
      </c>
      <c r="J68" s="93">
        <f>'Юнит 18'!J68</f>
        <v>1</v>
      </c>
      <c r="K68" s="93">
        <v>161.69999999999999</v>
      </c>
      <c r="L68" s="92">
        <f t="shared" si="45"/>
        <v>161.69999999999999</v>
      </c>
      <c r="M68" s="89">
        <f>'Юнит 18'!M68</f>
        <v>0</v>
      </c>
      <c r="N68" s="89">
        <f>'Юнит 14'!N68+'Юнит 15'!N68+'Юнит 16'!N68+'Юнит 17'!N68+'Юнит 18'!N68</f>
        <v>0</v>
      </c>
      <c r="O68" s="89">
        <v>0</v>
      </c>
      <c r="P68" s="89">
        <v>0</v>
      </c>
      <c r="Q68" s="406"/>
      <c r="R68" s="92">
        <f t="shared" ref="R68:R103" si="55">U68/7</f>
        <v>0</v>
      </c>
      <c r="S68" s="89">
        <f>'Юнит 14'!S68+'Юнит 15'!S68+'Юнит 16'!S68+'Юнит 17'!S68+'Юнит 18'!S68</f>
        <v>0</v>
      </c>
      <c r="T68" s="89">
        <f>'Юнит 14'!T68+'Юнит 15'!T68+'Юнит 16'!T68+'Юнит 17'!T68+'Юнит 18'!T68</f>
        <v>0</v>
      </c>
      <c r="U68" s="92">
        <f t="shared" ref="U68:U104" si="56">S68+T68</f>
        <v>0</v>
      </c>
      <c r="V68" s="89">
        <f>'Юнит 14'!V68+'Юнит 15'!V68+'Юнит 16'!V68+'Юнит 17'!V68+'Юнит 18'!V68</f>
        <v>0</v>
      </c>
      <c r="W68" s="89">
        <f>'Юнит 14'!W68+'Юнит 15'!W68+'Юнит 16'!W68+'Юнит 17'!W68+'Юнит 18'!W68</f>
        <v>0</v>
      </c>
      <c r="X68" s="92">
        <f t="shared" ref="X68:X104" si="57">V68+W68</f>
        <v>0</v>
      </c>
      <c r="Y68" s="89">
        <f>'Юнит 14'!Y68+'Юнит 15'!Y68+'Юнит 16'!Y68+'Юнит 17'!Y68+'Юнит 18'!Y68</f>
        <v>0</v>
      </c>
      <c r="Z68" s="89">
        <f>'Юнит 14'!Z68+'Юнит 15'!Z68+'Юнит 16'!Z68+'Юнит 17'!Z68+'Юнит 18'!Z68</f>
        <v>0</v>
      </c>
      <c r="AA68" s="232">
        <f t="shared" ref="AA68:AA104" si="58">Y68+Z68</f>
        <v>0</v>
      </c>
      <c r="AB68" s="92">
        <f t="shared" ref="AB68:AB104" si="59">N68*O68*P68/100</f>
        <v>0</v>
      </c>
      <c r="AC68" s="234">
        <f t="shared" ref="AC68:AC104" si="60">AA68/$AA$127</f>
        <v>0</v>
      </c>
      <c r="AD68" s="92">
        <f t="shared" ref="AD68:AD104" si="61">U68*K68</f>
        <v>0</v>
      </c>
      <c r="AE68" s="89">
        <f>'Юнит 14'!AE68+'Юнит 15'!AE68+'Юнит 16'!AE68+'Юнит 17'!AE68+'Юнит 18'!AE68</f>
        <v>0</v>
      </c>
      <c r="AF68" s="234">
        <f t="shared" ref="AF68:AF104" si="62">IF(AA68=0,0,AE68/AA68)</f>
        <v>0</v>
      </c>
      <c r="AG68" s="89">
        <f>'Юнит 14'!AG68+'Юнит 15'!AG68+'Юнит 16'!AG68+'Юнит 17'!AG68+'Юнит 18'!AG68</f>
        <v>0</v>
      </c>
      <c r="AH68" s="89">
        <f>'Юнит 14'!AH68+'Юнит 15'!AH68+'Юнит 16'!AH68+'Юнит 17'!AH68+'Юнит 18'!AH68</f>
        <v>0</v>
      </c>
      <c r="AI68" s="89">
        <f>'Юнит 14'!AI68+'Юнит 15'!AI68+'Юнит 16'!AI68+'Юнит 17'!AI68+'Юнит 18'!AI68</f>
        <v>0</v>
      </c>
      <c r="AJ68" s="89">
        <f>'Юнит 14'!AJ68+'Юнит 15'!AJ68+'Юнит 16'!AJ68+'Юнит 17'!AJ68+'Юнит 18'!AJ68</f>
        <v>0</v>
      </c>
      <c r="AK68" s="89">
        <f>'Юнит 14'!AK68+'Юнит 15'!AK68+'Юнит 16'!AK68+'Юнит 17'!AK68+'Юнит 18'!AK68</f>
        <v>0</v>
      </c>
      <c r="AL68" s="89">
        <f>'Юнит 14'!AL68+'Юнит 15'!AL68+'Юнит 16'!AL68+'Юнит 17'!AL68+'Юнит 18'!AL68</f>
        <v>0</v>
      </c>
      <c r="AM68" s="89">
        <f>'Юнит 14'!AM68+'Юнит 15'!AM68+'Юнит 16'!AM68+'Юнит 17'!AM68+'Юнит 18'!AM68</f>
        <v>0</v>
      </c>
      <c r="AN68" s="94">
        <f t="shared" ref="AN68:AN103" si="63">X68*5.71%</f>
        <v>0</v>
      </c>
      <c r="AO68" s="95">
        <f t="shared" ref="AO68:AO104" si="64">AA68-AD68-AE68-AG68-AH68-AI68-AJ68-AK68-AL68-AN68-AM68</f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0"/>
        <v>4</v>
      </c>
      <c r="F69" s="93">
        <f>'Юнит 18'!F69</f>
        <v>1</v>
      </c>
      <c r="G69" s="93">
        <f>'Юнит 18'!G69</f>
        <v>1</v>
      </c>
      <c r="H69" s="93">
        <f>'Юнит 18'!H69</f>
        <v>1</v>
      </c>
      <c r="I69" s="93">
        <f>'Юнит 18'!I69</f>
        <v>0</v>
      </c>
      <c r="J69" s="93">
        <f>'Юнит 18'!J69</f>
        <v>1</v>
      </c>
      <c r="K69" s="93">
        <v>140.63999999999999</v>
      </c>
      <c r="L69" s="92">
        <f t="shared" si="45"/>
        <v>562.55999999999995</v>
      </c>
      <c r="M69" s="89">
        <f>'Юнит 18'!M69</f>
        <v>44</v>
      </c>
      <c r="N69" s="89">
        <f>'Юнит 14'!N69+'Юнит 15'!N69+'Юнит 16'!N69+'Юнит 17'!N69+'Юнит 18'!N69</f>
        <v>16</v>
      </c>
      <c r="O69" s="89">
        <v>998</v>
      </c>
      <c r="P69" s="89">
        <v>33</v>
      </c>
      <c r="Q69" s="406">
        <f t="shared" ref="Q69:Q93" si="65">U69/N69</f>
        <v>0.375</v>
      </c>
      <c r="R69" s="92">
        <f t="shared" si="55"/>
        <v>0.8571428571428571</v>
      </c>
      <c r="S69" s="89">
        <f>'Юнит 14'!S69+'Юнит 15'!S69+'Юнит 16'!S69+'Юнит 17'!S69+'Юнит 18'!S69</f>
        <v>6</v>
      </c>
      <c r="T69" s="89">
        <f>'Юнит 14'!T69+'Юнит 15'!T69+'Юнит 16'!T69+'Юнит 17'!T69+'Юнит 18'!T69</f>
        <v>0</v>
      </c>
      <c r="U69" s="92">
        <f t="shared" si="56"/>
        <v>6</v>
      </c>
      <c r="V69" s="89">
        <f>'Юнит 14'!V69+'Юнит 15'!V69+'Юнит 16'!V69+'Юнит 17'!V69+'Юнит 18'!V69</f>
        <v>4104</v>
      </c>
      <c r="W69" s="89">
        <f>'Юнит 14'!W69+'Юнит 15'!W69+'Юнит 16'!W69+'Юнит 17'!W69+'Юнит 18'!W69</f>
        <v>0</v>
      </c>
      <c r="X69" s="92">
        <f t="shared" si="57"/>
        <v>4104</v>
      </c>
      <c r="Y69" s="89">
        <f>'Юнит 14'!Y69+'Юнит 15'!Y69+'Юнит 16'!Y69+'Юнит 17'!Y69+'Юнит 18'!Y69</f>
        <v>5967</v>
      </c>
      <c r="Z69" s="89">
        <f>'Юнит 14'!Z69+'Юнит 15'!Z69+'Юнит 16'!Z69+'Юнит 17'!Z69+'Юнит 18'!Z69</f>
        <v>0</v>
      </c>
      <c r="AA69" s="232">
        <f t="shared" si="58"/>
        <v>5967</v>
      </c>
      <c r="AB69" s="92">
        <f t="shared" si="59"/>
        <v>5269.44</v>
      </c>
      <c r="AC69" s="234">
        <f t="shared" si="60"/>
        <v>3.9527499414160669E-4</v>
      </c>
      <c r="AD69" s="92">
        <f t="shared" si="61"/>
        <v>843.83999999999992</v>
      </c>
      <c r="AE69" s="89">
        <f>'Юнит 14'!AE69+'Юнит 15'!AE69+'Юнит 16'!AE69+'Юнит 17'!AE69+'Юнит 18'!AE69</f>
        <v>2253.12</v>
      </c>
      <c r="AF69" s="234">
        <f t="shared" si="62"/>
        <v>0.37759678230266464</v>
      </c>
      <c r="AG69" s="89">
        <f>'Юнит 14'!AG69+'Юнит 15'!AG69+'Юнит 16'!AG69+'Юнит 17'!AG69+'Юнит 18'!AG69</f>
        <v>1288.8900000000001</v>
      </c>
      <c r="AH69" s="89">
        <f>'Юнит 14'!AH69+'Юнит 15'!AH69+'Юнит 16'!AH69+'Юнит 17'!AH69+'Юнит 18'!AH69</f>
        <v>0</v>
      </c>
      <c r="AI69" s="89">
        <f>'Юнит 14'!AI69+'Юнит 15'!AI69+'Юнит 16'!AI69+'Юнит 17'!AI69+'Юнит 18'!AI69</f>
        <v>0</v>
      </c>
      <c r="AJ69" s="89">
        <f>'Юнит 14'!AJ69+'Юнит 15'!AJ69+'Юнит 16'!AJ69+'Юнит 17'!AJ69+'Юнит 18'!AJ69</f>
        <v>0</v>
      </c>
      <c r="AK69" s="89">
        <f>'Юнит 14'!AK69+'Юнит 15'!AK69+'Юнит 16'!AK69+'Юнит 17'!AK69+'Юнит 18'!AK69</f>
        <v>0</v>
      </c>
      <c r="AL69" s="89">
        <f>'Юнит 14'!AL69+'Юнит 15'!AL69+'Юнит 16'!AL69+'Юнит 17'!AL69+'Юнит 18'!AL69</f>
        <v>6.4284334694900593</v>
      </c>
      <c r="AM69" s="89">
        <f>'Юнит 14'!AM69+'Юнит 15'!AM69+'Юнит 16'!AM69+'Юнит 17'!AM69+'Юнит 18'!AM69</f>
        <v>0</v>
      </c>
      <c r="AN69" s="94">
        <f t="shared" si="63"/>
        <v>234.33839999999998</v>
      </c>
      <c r="AO69" s="95">
        <f t="shared" si="64"/>
        <v>1340.3831665305097</v>
      </c>
      <c r="AP69" s="96"/>
      <c r="AQ69" s="97">
        <f t="shared" si="5"/>
        <v>994.5</v>
      </c>
      <c r="AR69" s="98">
        <f t="shared" si="34"/>
        <v>140.63999999999999</v>
      </c>
      <c r="AS69" s="98">
        <f t="shared" si="7"/>
        <v>375.52</v>
      </c>
      <c r="AT69" s="98">
        <f t="shared" si="8"/>
        <v>214.81500000000003</v>
      </c>
      <c r="AU69" s="98">
        <f t="shared" si="23"/>
        <v>0</v>
      </c>
      <c r="AV69" s="98">
        <f t="array" ref="AV69">_xlfn.IFS(U69=0,AO69,U69&lt;0,AO69/-U69,U69&gt;0,AO69/U69)</f>
        <v>223.39719442175161</v>
      </c>
      <c r="AW69" s="234">
        <f t="shared" si="46"/>
        <v>0.22463267412946367</v>
      </c>
      <c r="AX69" s="234">
        <f t="shared" si="47"/>
        <v>1.5884328386074491</v>
      </c>
      <c r="AY69" s="99"/>
      <c r="AZ69" s="94">
        <f t="shared" si="11"/>
        <v>893.58877768700643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0"/>
        <v>1</v>
      </c>
      <c r="F70" s="93">
        <f>'Юнит 18'!F70</f>
        <v>0</v>
      </c>
      <c r="G70" s="93">
        <f>'Юнит 18'!G70</f>
        <v>0</v>
      </c>
      <c r="H70" s="93">
        <f>'Юнит 18'!H70</f>
        <v>0</v>
      </c>
      <c r="I70" s="93">
        <f>'Юнит 18'!I70</f>
        <v>0</v>
      </c>
      <c r="J70" s="93">
        <f>'Юнит 18'!J70</f>
        <v>1</v>
      </c>
      <c r="K70" s="93">
        <v>117.24</v>
      </c>
      <c r="L70" s="92">
        <f t="shared" si="45"/>
        <v>117.24</v>
      </c>
      <c r="M70" s="89">
        <f>'Юнит 18'!M70</f>
        <v>1</v>
      </c>
      <c r="N70" s="89">
        <f>'Юнит 14'!N70+'Юнит 15'!N70+'Юнит 16'!N70+'Юнит 17'!N70+'Юнит 18'!N70</f>
        <v>1</v>
      </c>
      <c r="O70" s="89">
        <v>1048</v>
      </c>
      <c r="P70" s="89">
        <v>100</v>
      </c>
      <c r="Q70" s="406">
        <f t="shared" si="65"/>
        <v>2</v>
      </c>
      <c r="R70" s="92">
        <f t="shared" si="55"/>
        <v>0.2857142857142857</v>
      </c>
      <c r="S70" s="89">
        <f>'Юнит 14'!S70+'Юнит 15'!S70+'Юнит 16'!S70+'Юнит 17'!S70+'Юнит 18'!S70</f>
        <v>2</v>
      </c>
      <c r="T70" s="89">
        <f>'Юнит 14'!T70+'Юнит 15'!T70+'Юнит 16'!T70+'Юнит 17'!T70+'Юнит 18'!T70</f>
        <v>0</v>
      </c>
      <c r="U70" s="92">
        <f t="shared" si="56"/>
        <v>2</v>
      </c>
      <c r="V70" s="89">
        <f>'Юнит 14'!V70+'Юнит 15'!V70+'Юнит 16'!V70+'Юнит 17'!V70+'Юнит 18'!V70</f>
        <v>1379</v>
      </c>
      <c r="W70" s="89">
        <f>'Юнит 14'!W70+'Юнит 15'!W70+'Юнит 16'!W70+'Юнит 17'!W70+'Юнит 18'!W70</f>
        <v>0</v>
      </c>
      <c r="X70" s="92">
        <f t="shared" si="57"/>
        <v>1379</v>
      </c>
      <c r="Y70" s="89">
        <f>'Юнит 14'!Y70+'Юнит 15'!Y70+'Юнит 16'!Y70+'Юнит 17'!Y70+'Юнит 18'!Y70</f>
        <v>2096</v>
      </c>
      <c r="Z70" s="89">
        <f>'Юнит 14'!Z70+'Юнит 15'!Z70+'Юнит 16'!Z70+'Юнит 17'!Z70+'Юнит 18'!Z70</f>
        <v>0</v>
      </c>
      <c r="AA70" s="232">
        <f t="shared" si="58"/>
        <v>2096</v>
      </c>
      <c r="AB70" s="92">
        <f t="shared" si="59"/>
        <v>1048</v>
      </c>
      <c r="AC70" s="234">
        <f t="shared" si="60"/>
        <v>1.3884638641206763E-4</v>
      </c>
      <c r="AD70" s="92">
        <f t="shared" si="61"/>
        <v>234.48</v>
      </c>
      <c r="AE70" s="89">
        <f>'Юнит 14'!AE70+'Юнит 15'!AE70+'Юнит 16'!AE70+'Юнит 17'!AE70+'Юнит 18'!AE70</f>
        <v>794</v>
      </c>
      <c r="AF70" s="234">
        <f t="shared" si="62"/>
        <v>0.37881679389312978</v>
      </c>
      <c r="AG70" s="89">
        <f>'Юнит 14'!AG70+'Юнит 15'!AG70+'Юнит 16'!AG70+'Юнит 17'!AG70+'Юнит 18'!AG70</f>
        <v>108.25</v>
      </c>
      <c r="AH70" s="89">
        <f>'Юнит 14'!AH70+'Юнит 15'!AH70+'Юнит 16'!AH70+'Юнит 17'!AH70+'Юнит 18'!AH70</f>
        <v>0</v>
      </c>
      <c r="AI70" s="89">
        <f>'Юнит 14'!AI70+'Юнит 15'!AI70+'Юнит 16'!AI70+'Юнит 17'!AI70+'Юнит 18'!AI70</f>
        <v>0</v>
      </c>
      <c r="AJ70" s="89">
        <f>'Юнит 14'!AJ70+'Юнит 15'!AJ70+'Юнит 16'!AJ70+'Юнит 17'!AJ70+'Юнит 18'!AJ70</f>
        <v>0</v>
      </c>
      <c r="AK70" s="89">
        <f>'Юнит 14'!AK70+'Юнит 15'!AK70+'Юнит 16'!AK70+'Юнит 17'!AK70+'Юнит 18'!AK70</f>
        <v>0</v>
      </c>
      <c r="AL70" s="89">
        <f>'Юнит 14'!AL70+'Юнит 15'!AL70+'Юнит 16'!AL70+'Юнит 17'!AL70+'Юнит 18'!AL70</f>
        <v>0</v>
      </c>
      <c r="AM70" s="89">
        <f>'Юнит 14'!AM70+'Юнит 15'!AM70+'Юнит 16'!AM70+'Юнит 17'!AM70+'Юнит 18'!AM70</f>
        <v>0</v>
      </c>
      <c r="AN70" s="94">
        <f t="shared" si="63"/>
        <v>78.740899999999996</v>
      </c>
      <c r="AO70" s="95">
        <f t="shared" si="64"/>
        <v>880.52909999999997</v>
      </c>
      <c r="AP70" s="96"/>
      <c r="AQ70" s="97">
        <f t="shared" si="5"/>
        <v>1048</v>
      </c>
      <c r="AR70" s="98">
        <f t="shared" si="34"/>
        <v>117.24</v>
      </c>
      <c r="AS70" s="98">
        <f t="shared" si="7"/>
        <v>397</v>
      </c>
      <c r="AT70" s="98">
        <f t="shared" si="8"/>
        <v>54.125</v>
      </c>
      <c r="AU70" s="98">
        <f t="shared" si="23"/>
        <v>0</v>
      </c>
      <c r="AV70" s="98">
        <f t="array" ref="AV70">_xlfn.IFS(U70=0,AO70,U70&lt;0,AO70/-U70,U70&gt;0,AO70/U70)</f>
        <v>440.26454999999999</v>
      </c>
      <c r="AW70" s="234">
        <f t="shared" si="46"/>
        <v>0.42009976145038169</v>
      </c>
      <c r="AX70" s="234">
        <f t="shared" si="47"/>
        <v>3.7552418116683728</v>
      </c>
      <c r="AY70" s="99"/>
      <c r="AZ70" s="94">
        <f t="shared" si="11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0"/>
        <v>27</v>
      </c>
      <c r="F71" s="93">
        <f>'Юнит 18'!F71</f>
        <v>3</v>
      </c>
      <c r="G71" s="93" t="str">
        <f>'Юнит 18'!G71</f>
        <v/>
      </c>
      <c r="H71" s="93" t="str">
        <f>'Юнит 18'!H71</f>
        <v/>
      </c>
      <c r="I71" s="93">
        <f>'Юнит 18'!I71</f>
        <v>0</v>
      </c>
      <c r="J71" s="93">
        <f>'Юнит 18'!J71</f>
        <v>24</v>
      </c>
      <c r="K71" s="93">
        <v>123.09</v>
      </c>
      <c r="L71" s="92">
        <f t="shared" si="45"/>
        <v>3323.4300000000003</v>
      </c>
      <c r="M71" s="89">
        <f>'Юнит 18'!M71</f>
        <v>999</v>
      </c>
      <c r="N71" s="89">
        <f>'Юнит 14'!N71+'Юнит 15'!N71+'Юнит 16'!N71+'Юнит 17'!N71+'Юнит 18'!N71</f>
        <v>5</v>
      </c>
      <c r="O71" s="89">
        <v>702</v>
      </c>
      <c r="P71" s="89">
        <v>0</v>
      </c>
      <c r="Q71" s="406">
        <f t="shared" si="65"/>
        <v>0.2</v>
      </c>
      <c r="R71" s="92">
        <f t="shared" si="55"/>
        <v>0.14285714285714285</v>
      </c>
      <c r="S71" s="89">
        <f>'Юнит 14'!S71+'Юнит 15'!S71+'Юнит 16'!S71+'Юнит 17'!S71+'Юнит 18'!S71</f>
        <v>2</v>
      </c>
      <c r="T71" s="89">
        <f>'Юнит 14'!T71+'Юнит 15'!T71+'Юнит 16'!T71+'Юнит 17'!T71+'Юнит 18'!T71</f>
        <v>-1</v>
      </c>
      <c r="U71" s="92">
        <f t="shared" si="56"/>
        <v>1</v>
      </c>
      <c r="V71" s="89">
        <f>'Юнит 14'!V71+'Юнит 15'!V71+'Юнит 16'!V71+'Юнит 17'!V71+'Юнит 18'!V71</f>
        <v>970</v>
      </c>
      <c r="W71" s="89">
        <f>'Юнит 14'!W71+'Юнит 15'!W71+'Юнит 16'!W71+'Юнит 17'!W71+'Юнит 18'!W71</f>
        <v>-470</v>
      </c>
      <c r="X71" s="92">
        <f t="shared" si="57"/>
        <v>500</v>
      </c>
      <c r="Y71" s="89">
        <f>'Юнит 14'!Y71+'Юнит 15'!Y71+'Юнит 16'!Y71+'Юнит 17'!Y71+'Юнит 18'!Y71</f>
        <v>1404</v>
      </c>
      <c r="Z71" s="89">
        <f>'Юнит 14'!Z71+'Юнит 15'!Z71+'Юнит 16'!Z71+'Юнит 17'!Z71+'Юнит 18'!Z71</f>
        <v>-702</v>
      </c>
      <c r="AA71" s="232">
        <f t="shared" si="58"/>
        <v>702</v>
      </c>
      <c r="AB71" s="92">
        <f t="shared" si="59"/>
        <v>0</v>
      </c>
      <c r="AC71" s="234">
        <f t="shared" si="60"/>
        <v>4.6502940487247843E-5</v>
      </c>
      <c r="AD71" s="92">
        <f t="shared" si="61"/>
        <v>123.09</v>
      </c>
      <c r="AE71" s="89">
        <f>'Юнит 14'!AE71+'Юнит 15'!AE71+'Юнит 16'!AE71+'Юнит 17'!AE71+'Юнит 18'!AE71</f>
        <v>267.68000000000006</v>
      </c>
      <c r="AF71" s="234">
        <f t="shared" si="62"/>
        <v>0.38131054131054143</v>
      </c>
      <c r="AG71" s="89">
        <f>'Юнит 14'!AG71+'Юнит 15'!AG71+'Юнит 16'!AG71+'Юнит 17'!AG71+'Юнит 18'!AG71</f>
        <v>342.39</v>
      </c>
      <c r="AH71" s="89">
        <f>'Юнит 14'!AH71+'Юнит 15'!AH71+'Юнит 16'!AH71+'Юнит 17'!AH71+'Юнит 18'!AH71</f>
        <v>0</v>
      </c>
      <c r="AI71" s="89">
        <f>'Юнит 14'!AI71+'Юнит 15'!AI71+'Юнит 16'!AI71+'Юнит 17'!AI71+'Юнит 18'!AI71</f>
        <v>0</v>
      </c>
      <c r="AJ71" s="89">
        <f>'Юнит 14'!AJ71+'Юнит 15'!AJ71+'Юнит 16'!AJ71+'Юнит 17'!AJ71+'Юнит 18'!AJ71</f>
        <v>0</v>
      </c>
      <c r="AK71" s="89">
        <f>'Юнит 14'!AK71+'Юнит 15'!AK71+'Юнит 16'!AK71+'Юнит 17'!AK71+'Юнит 18'!AK71</f>
        <v>0</v>
      </c>
      <c r="AL71" s="89">
        <f>'Юнит 14'!AL71+'Юнит 15'!AL71+'Юнит 16'!AL71+'Юнит 17'!AL71+'Юнит 18'!AL71</f>
        <v>5.4253688695692937</v>
      </c>
      <c r="AM71" s="89">
        <f>'Юнит 14'!AM71+'Юнит 15'!AM71+'Юнит 16'!AM71+'Юнит 17'!AM71+'Юнит 18'!AM71</f>
        <v>0</v>
      </c>
      <c r="AN71" s="94">
        <f t="shared" si="63"/>
        <v>28.55</v>
      </c>
      <c r="AO71" s="95">
        <f t="shared" si="64"/>
        <v>-65.135368869569376</v>
      </c>
      <c r="AP71" s="96"/>
      <c r="AQ71" s="97">
        <f t="shared" si="5"/>
        <v>702</v>
      </c>
      <c r="AR71" s="98">
        <f t="shared" si="34"/>
        <v>123.09</v>
      </c>
      <c r="AS71" s="98">
        <f t="shared" si="7"/>
        <v>267.68000000000006</v>
      </c>
      <c r="AT71" s="98">
        <f t="shared" si="8"/>
        <v>171.19499999999999</v>
      </c>
      <c r="AU71" s="98">
        <f t="shared" ref="AU71:AU103" si="66">IF(S71=0,0,(AH71+AI71+AJ71)/S71)</f>
        <v>0</v>
      </c>
      <c r="AV71" s="98">
        <f t="array" ref="AV71">_xlfn.IFS(U71=0,AO71,U71&lt;0,AO71/-U71,U71&gt;0,AO71/U71)</f>
        <v>-65.135368869569376</v>
      </c>
      <c r="AW71" s="234">
        <f t="shared" si="46"/>
        <v>-9.2785425740127311E-2</v>
      </c>
      <c r="AX71" s="234">
        <f t="shared" si="47"/>
        <v>-0.52916864789641216</v>
      </c>
      <c r="AY71" s="99"/>
      <c r="AZ71" s="94">
        <f t="shared" si="11"/>
        <v>-1758.6549594783733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0"/>
        <v>1</v>
      </c>
      <c r="F72" s="93">
        <f>'Юнит 18'!F72</f>
        <v>0</v>
      </c>
      <c r="G72" s="93">
        <f>'Юнит 18'!G72</f>
        <v>0</v>
      </c>
      <c r="H72" s="93">
        <f>'Юнит 18'!H72</f>
        <v>0</v>
      </c>
      <c r="I72" s="93">
        <f>'Юнит 18'!I72</f>
        <v>0</v>
      </c>
      <c r="J72" s="93">
        <f>'Юнит 18'!J72</f>
        <v>1</v>
      </c>
      <c r="K72" s="93">
        <v>123.09</v>
      </c>
      <c r="L72" s="92">
        <f t="shared" si="45"/>
        <v>123.09</v>
      </c>
      <c r="M72" s="89">
        <f>'Юнит 18'!M72</f>
        <v>999</v>
      </c>
      <c r="N72" s="89">
        <f>'Юнит 14'!N72+'Юнит 15'!N72+'Юнит 16'!N72+'Юнит 17'!N72+'Юнит 18'!N72</f>
        <v>0</v>
      </c>
      <c r="O72" s="89">
        <v>0</v>
      </c>
      <c r="P72" s="89">
        <v>0</v>
      </c>
      <c r="Q72" s="406" t="e">
        <f t="shared" si="65"/>
        <v>#DIV/0!</v>
      </c>
      <c r="R72" s="92">
        <f t="shared" si="55"/>
        <v>0.14285714285714285</v>
      </c>
      <c r="S72" s="89">
        <f>'Юнит 14'!S72+'Юнит 15'!S72+'Юнит 16'!S72+'Юнит 17'!S72+'Юнит 18'!S72</f>
        <v>1</v>
      </c>
      <c r="T72" s="89">
        <f>'Юнит 14'!T72+'Юнит 15'!T72+'Юнит 16'!T72+'Юнит 17'!T72+'Юнит 18'!T72</f>
        <v>0</v>
      </c>
      <c r="U72" s="92">
        <f t="shared" si="56"/>
        <v>1</v>
      </c>
      <c r="V72" s="89">
        <f>'Юнит 14'!V72+'Юнит 15'!V72+'Юнит 16'!V72+'Юнит 17'!V72+'Юнит 18'!V72</f>
        <v>573</v>
      </c>
      <c r="W72" s="89">
        <f>'Юнит 14'!W72+'Юнит 15'!W72+'Юнит 16'!W72+'Юнит 17'!W72+'Юнит 18'!W72</f>
        <v>0</v>
      </c>
      <c r="X72" s="92">
        <f t="shared" si="57"/>
        <v>573</v>
      </c>
      <c r="Y72" s="89">
        <f>'Юнит 14'!Y72+'Юнит 15'!Y72+'Юнит 16'!Y72+'Юнит 17'!Y72+'Юнит 18'!Y72</f>
        <v>837</v>
      </c>
      <c r="Z72" s="89">
        <f>'Юнит 14'!Z72+'Юнит 15'!Z72+'Юнит 16'!Z72+'Юнит 17'!Z72+'Юнит 18'!Z72</f>
        <v>0</v>
      </c>
      <c r="AA72" s="232">
        <f t="shared" si="58"/>
        <v>837</v>
      </c>
      <c r="AB72" s="92">
        <f t="shared" si="59"/>
        <v>0</v>
      </c>
      <c r="AC72" s="234">
        <f t="shared" si="60"/>
        <v>5.5445813657872431E-5</v>
      </c>
      <c r="AD72" s="92">
        <f t="shared" si="61"/>
        <v>123.09</v>
      </c>
      <c r="AE72" s="89">
        <f>'Юнит 14'!AE72+'Юнит 15'!AE72+'Юнит 16'!AE72+'Юнит 17'!AE72+'Юнит 18'!AE72</f>
        <v>317.96000000000004</v>
      </c>
      <c r="AF72" s="234">
        <f t="shared" si="62"/>
        <v>0.37988052568697733</v>
      </c>
      <c r="AG72" s="89">
        <f>'Юнит 14'!AG72+'Юнит 15'!AG72+'Юнит 16'!AG72+'Юнит 17'!AG72+'Юнит 18'!AG72</f>
        <v>59.66</v>
      </c>
      <c r="AH72" s="89">
        <f>'Юнит 14'!AH72+'Юнит 15'!AH72+'Юнит 16'!AH72+'Юнит 17'!AH72+'Юнит 18'!AH72</f>
        <v>0</v>
      </c>
      <c r="AI72" s="89">
        <f>'Юнит 14'!AI72+'Юнит 15'!AI72+'Юнит 16'!AI72+'Юнит 17'!AI72+'Юнит 18'!AI72</f>
        <v>0</v>
      </c>
      <c r="AJ72" s="89">
        <f>'Юнит 14'!AJ72+'Юнит 15'!AJ72+'Юнит 16'!AJ72+'Юнит 17'!AJ72+'Юнит 18'!AJ72</f>
        <v>0</v>
      </c>
      <c r="AK72" s="89">
        <f>'Юнит 14'!AK72+'Юнит 15'!AK72+'Юнит 16'!AK72+'Юнит 17'!AK72+'Юнит 18'!AK72</f>
        <v>0</v>
      </c>
      <c r="AL72" s="89">
        <f>'Юнит 14'!AL72+'Юнит 15'!AL72+'Юнит 16'!AL72+'Юнит 17'!AL72+'Юнит 18'!AL72</f>
        <v>0</v>
      </c>
      <c r="AM72" s="89">
        <f>'Юнит 14'!AM72+'Юнит 15'!AM72+'Юнит 16'!AM72+'Юнит 17'!AM72+'Юнит 18'!AM72</f>
        <v>0</v>
      </c>
      <c r="AN72" s="94">
        <f t="shared" si="63"/>
        <v>32.718299999999999</v>
      </c>
      <c r="AO72" s="95">
        <f t="shared" si="64"/>
        <v>303.57169999999996</v>
      </c>
      <c r="AP72" s="96"/>
      <c r="AQ72" s="97">
        <f t="shared" si="5"/>
        <v>837</v>
      </c>
      <c r="AR72" s="98">
        <f t="shared" si="34"/>
        <v>123.09</v>
      </c>
      <c r="AS72" s="98">
        <f t="shared" si="7"/>
        <v>317.96000000000004</v>
      </c>
      <c r="AT72" s="98">
        <f t="shared" si="8"/>
        <v>59.66</v>
      </c>
      <c r="AU72" s="98">
        <f t="shared" si="66"/>
        <v>0</v>
      </c>
      <c r="AV72" s="98">
        <f t="array" ref="AV72">_xlfn.IFS(U72=0,AO72,U72&lt;0,AO72/-U72,U72&gt;0,AO72/U72)</f>
        <v>303.57169999999996</v>
      </c>
      <c r="AW72" s="234">
        <f t="shared" si="46"/>
        <v>0.3626902031063321</v>
      </c>
      <c r="AX72" s="234">
        <f t="shared" si="47"/>
        <v>2.4662580225850999</v>
      </c>
      <c r="AY72" s="99"/>
      <c r="AZ72" s="94">
        <f t="shared" si="11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0"/>
        <v>2</v>
      </c>
      <c r="F73" s="93" t="str">
        <f>'Юнит 18'!F73</f>
        <v/>
      </c>
      <c r="G73" s="93" t="str">
        <f>'Юнит 18'!G73</f>
        <v/>
      </c>
      <c r="H73" s="93">
        <f>'Юнит 18'!H73</f>
        <v>1</v>
      </c>
      <c r="I73" s="93">
        <f>'Юнит 18'!I73</f>
        <v>0</v>
      </c>
      <c r="J73" s="93">
        <f>'Юнит 18'!J73</f>
        <v>1</v>
      </c>
      <c r="K73" s="93">
        <v>123.09</v>
      </c>
      <c r="L73" s="92">
        <f t="shared" si="45"/>
        <v>246.18</v>
      </c>
      <c r="M73" s="89">
        <f>'Юнит 18'!M73</f>
        <v>999</v>
      </c>
      <c r="N73" s="89">
        <f>'Юнит 14'!N73+'Юнит 15'!N73+'Юнит 16'!N73+'Юнит 17'!N73+'Юнит 18'!N73</f>
        <v>5</v>
      </c>
      <c r="O73" s="89">
        <v>807</v>
      </c>
      <c r="P73" s="89">
        <v>40</v>
      </c>
      <c r="Q73" s="406">
        <f t="shared" si="65"/>
        <v>0.8</v>
      </c>
      <c r="R73" s="92">
        <f t="shared" si="55"/>
        <v>0.5714285714285714</v>
      </c>
      <c r="S73" s="89">
        <f>'Юнит 14'!S73+'Юнит 15'!S73+'Юнит 16'!S73+'Юнит 17'!S73+'Юнит 18'!S73</f>
        <v>4</v>
      </c>
      <c r="T73" s="89">
        <f>'Юнит 14'!T73+'Юнит 15'!T73+'Юнит 16'!T73+'Юнит 17'!T73+'Юнит 18'!T73</f>
        <v>0</v>
      </c>
      <c r="U73" s="92">
        <f t="shared" si="56"/>
        <v>4</v>
      </c>
      <c r="V73" s="89">
        <f>'Юнит 14'!V73+'Юнит 15'!V73+'Юнит 16'!V73+'Юнит 17'!V73+'Юнит 18'!V73</f>
        <v>2330.48</v>
      </c>
      <c r="W73" s="89">
        <f>'Юнит 14'!W73+'Юнит 15'!W73+'Юнит 16'!W73+'Юнит 17'!W73+'Юнит 18'!W73</f>
        <v>0</v>
      </c>
      <c r="X73" s="92">
        <f t="shared" si="57"/>
        <v>2330.48</v>
      </c>
      <c r="Y73" s="89">
        <f>'Юнит 14'!Y73+'Юнит 15'!Y73+'Юнит 16'!Y73+'Юнит 17'!Y73+'Юнит 18'!Y73</f>
        <v>3227.67</v>
      </c>
      <c r="Z73" s="89">
        <f>'Юнит 14'!Z73+'Юнит 15'!Z73+'Юнит 16'!Z73+'Юнит 17'!Z73+'Юнит 18'!Z73</f>
        <v>0</v>
      </c>
      <c r="AA73" s="232">
        <f t="shared" si="58"/>
        <v>3227.67</v>
      </c>
      <c r="AB73" s="92">
        <f t="shared" si="59"/>
        <v>1614</v>
      </c>
      <c r="AC73" s="234">
        <f t="shared" si="60"/>
        <v>2.1381217367873968E-4</v>
      </c>
      <c r="AD73" s="92">
        <f t="shared" si="61"/>
        <v>492.36</v>
      </c>
      <c r="AE73" s="89">
        <f>'Юнит 14'!AE73+'Юнит 15'!AE73+'Юнит 16'!AE73+'Юнит 17'!AE73+'Юнит 18'!AE73</f>
        <v>1225.68</v>
      </c>
      <c r="AF73" s="234">
        <f t="shared" si="62"/>
        <v>0.37974142337971356</v>
      </c>
      <c r="AG73" s="89">
        <f>'Юнит 14'!AG73+'Юнит 15'!AG73+'Юнит 16'!AG73+'Юнит 17'!AG73+'Юнит 18'!AG73</f>
        <v>610.03</v>
      </c>
      <c r="AH73" s="89">
        <f>'Юнит 14'!AH73+'Юнит 15'!AH73+'Юнит 16'!AH73+'Юнит 17'!AH73+'Юнит 18'!AH73</f>
        <v>0</v>
      </c>
      <c r="AI73" s="89">
        <f>'Юнит 14'!AI73+'Юнит 15'!AI73+'Юнит 16'!AI73+'Юнит 17'!AI73+'Юнит 18'!AI73</f>
        <v>0</v>
      </c>
      <c r="AJ73" s="89">
        <f>'Юнит 14'!AJ73+'Юнит 15'!AJ73+'Юнит 16'!AJ73+'Юнит 17'!AJ73+'Юнит 18'!AJ73</f>
        <v>0</v>
      </c>
      <c r="AK73" s="89">
        <f>'Юнит 14'!AK73+'Юнит 15'!AK73+'Юнит 16'!AK73+'Юнит 17'!AK73+'Юнит 18'!AK73</f>
        <v>0</v>
      </c>
      <c r="AL73" s="89">
        <f>'Юнит 14'!AL73+'Юнит 15'!AL73+'Юнит 16'!AL73+'Юнит 17'!AL73+'Юнит 18'!AL73</f>
        <v>5.7524339294574887</v>
      </c>
      <c r="AM73" s="89">
        <f>'Юнит 14'!AM73+'Юнит 15'!AM73+'Юнит 16'!AM73+'Юнит 17'!AM73+'Юнит 18'!AM73</f>
        <v>0</v>
      </c>
      <c r="AN73" s="94">
        <f t="shared" si="63"/>
        <v>133.07040799999999</v>
      </c>
      <c r="AO73" s="95">
        <f t="shared" si="64"/>
        <v>760.77715807054233</v>
      </c>
      <c r="AP73" s="96"/>
      <c r="AQ73" s="97">
        <f t="shared" si="5"/>
        <v>806.91750000000002</v>
      </c>
      <c r="AR73" s="98">
        <f t="shared" si="34"/>
        <v>123.09</v>
      </c>
      <c r="AS73" s="98">
        <f t="shared" si="7"/>
        <v>306.42</v>
      </c>
      <c r="AT73" s="98">
        <f t="shared" si="8"/>
        <v>152.50749999999999</v>
      </c>
      <c r="AU73" s="98">
        <f t="shared" si="66"/>
        <v>0</v>
      </c>
      <c r="AV73" s="98">
        <f t="array" ref="AV73">_xlfn.IFS(U73=0,AO73,U73&lt;0,AO73/-U73,U73&gt;0,AO73/U73)</f>
        <v>190.19428951763558</v>
      </c>
      <c r="AW73" s="234">
        <f t="shared" si="46"/>
        <v>0.23570475236642605</v>
      </c>
      <c r="AX73" s="234">
        <f t="shared" si="47"/>
        <v>1.5451644286102493</v>
      </c>
      <c r="AY73" s="99"/>
      <c r="AZ73" s="94">
        <f t="shared" si="11"/>
        <v>380.38857903527116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0"/>
        <v>2</v>
      </c>
      <c r="F74" s="93" t="str">
        <f>'Юнит 18'!F74</f>
        <v/>
      </c>
      <c r="G74" s="93">
        <f>'Юнит 18'!G74</f>
        <v>1</v>
      </c>
      <c r="H74" s="93" t="str">
        <f>'Юнит 18'!H74</f>
        <v/>
      </c>
      <c r="I74" s="93">
        <f>'Юнит 18'!I74</f>
        <v>0</v>
      </c>
      <c r="J74" s="93">
        <f>'Юнит 18'!J74</f>
        <v>1</v>
      </c>
      <c r="K74" s="93">
        <v>134.79</v>
      </c>
      <c r="L74" s="92">
        <f t="shared" si="45"/>
        <v>269.58</v>
      </c>
      <c r="M74" s="89">
        <f>'Юнит 18'!M74</f>
        <v>999</v>
      </c>
      <c r="N74" s="89">
        <f>'Юнит 14'!N74+'Юнит 15'!N74+'Юнит 16'!N74+'Юнит 17'!N74+'Юнит 18'!N74</f>
        <v>0</v>
      </c>
      <c r="O74" s="89">
        <v>0</v>
      </c>
      <c r="P74" s="89">
        <v>0</v>
      </c>
      <c r="Q74" s="406" t="e">
        <f t="shared" si="65"/>
        <v>#DIV/0!</v>
      </c>
      <c r="R74" s="92">
        <f t="shared" si="55"/>
        <v>0</v>
      </c>
      <c r="S74" s="89">
        <f>'Юнит 14'!S74+'Юнит 15'!S74+'Юнит 16'!S74+'Юнит 17'!S74+'Юнит 18'!S74</f>
        <v>0</v>
      </c>
      <c r="T74" s="89">
        <f>'Юнит 14'!T74+'Юнит 15'!T74+'Юнит 16'!T74+'Юнит 17'!T74+'Юнит 18'!T74</f>
        <v>0</v>
      </c>
      <c r="U74" s="92">
        <f t="shared" si="56"/>
        <v>0</v>
      </c>
      <c r="V74" s="89">
        <f>'Юнит 14'!V74+'Юнит 15'!V74+'Юнит 16'!V74+'Юнит 17'!V74+'Юнит 18'!V74</f>
        <v>0</v>
      </c>
      <c r="W74" s="89">
        <f>'Юнит 14'!W74+'Юнит 15'!W74+'Юнит 16'!W74+'Юнит 17'!W74+'Юнит 18'!W74</f>
        <v>0</v>
      </c>
      <c r="X74" s="92">
        <f t="shared" si="57"/>
        <v>0</v>
      </c>
      <c r="Y74" s="89">
        <f>'Юнит 14'!Y74+'Юнит 15'!Y74+'Юнит 16'!Y74+'Юнит 17'!Y74+'Юнит 18'!Y74</f>
        <v>0</v>
      </c>
      <c r="Z74" s="89">
        <f>'Юнит 14'!Z74+'Юнит 15'!Z74+'Юнит 16'!Z74+'Юнит 17'!Z74+'Юнит 18'!Z74</f>
        <v>0</v>
      </c>
      <c r="AA74" s="232">
        <f t="shared" si="58"/>
        <v>0</v>
      </c>
      <c r="AB74" s="92">
        <f t="shared" si="59"/>
        <v>0</v>
      </c>
      <c r="AC74" s="234">
        <f t="shared" si="60"/>
        <v>0</v>
      </c>
      <c r="AD74" s="92">
        <f t="shared" si="61"/>
        <v>0</v>
      </c>
      <c r="AE74" s="89">
        <f>'Юнит 14'!AE74+'Юнит 15'!AE74+'Юнит 16'!AE74+'Юнит 17'!AE74+'Юнит 18'!AE74</f>
        <v>0</v>
      </c>
      <c r="AF74" s="234">
        <f t="shared" si="62"/>
        <v>0</v>
      </c>
      <c r="AG74" s="89">
        <f>'Юнит 14'!AG74+'Юнит 15'!AG74+'Юнит 16'!AG74+'Юнит 17'!AG74+'Юнит 18'!AG74</f>
        <v>59.3</v>
      </c>
      <c r="AH74" s="89">
        <f>'Юнит 14'!AH74+'Юнит 15'!AH74+'Юнит 16'!AH74+'Юнит 17'!AH74+'Юнит 18'!AH74</f>
        <v>0</v>
      </c>
      <c r="AI74" s="89">
        <f>'Юнит 14'!AI74+'Юнит 15'!AI74+'Юнит 16'!AI74+'Юнит 17'!AI74+'Юнит 18'!AI74</f>
        <v>0</v>
      </c>
      <c r="AJ74" s="89">
        <f>'Юнит 14'!AJ74+'Юнит 15'!AJ74+'Юнит 16'!AJ74+'Юнит 17'!AJ74+'Юнит 18'!AJ74</f>
        <v>0</v>
      </c>
      <c r="AK74" s="89">
        <f>'Юнит 14'!AK74+'Юнит 15'!AK74+'Юнит 16'!AK74+'Юнит 17'!AK74+'Юнит 18'!AK74</f>
        <v>0</v>
      </c>
      <c r="AL74" s="89">
        <f>'Юнит 14'!AL74+'Юнит 15'!AL74+'Юнит 16'!AL74+'Юнит 17'!AL74+'Юнит 18'!AL74</f>
        <v>0</v>
      </c>
      <c r="AM74" s="89">
        <f>'Юнит 14'!AM74+'Юнит 15'!AM74+'Юнит 16'!AM74+'Юнит 17'!AM74+'Юнит 18'!AM74</f>
        <v>0</v>
      </c>
      <c r="AN74" s="94">
        <f t="shared" si="63"/>
        <v>0</v>
      </c>
      <c r="AO74" s="95">
        <f t="shared" si="64"/>
        <v>-59.3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59.3</v>
      </c>
      <c r="AU74" s="98">
        <f t="shared" si="66"/>
        <v>0</v>
      </c>
      <c r="AV74" s="98">
        <f t="array" ref="AV74">_xlfn.IFS(U74=0,AO74,U74&lt;0,AO74/-U74,U74&gt;0,AO74/U74)</f>
        <v>-59.3</v>
      </c>
      <c r="AW74" s="234">
        <f t="shared" si="46"/>
        <v>0</v>
      </c>
      <c r="AX74" s="234">
        <f t="shared" si="47"/>
        <v>-0.43994361599525189</v>
      </c>
      <c r="AY74" s="99"/>
      <c r="AZ74" s="94">
        <f t="shared" si="11"/>
        <v>-118.6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0"/>
        <v>8</v>
      </c>
      <c r="F75" s="93">
        <f>'Юнит 18'!F75</f>
        <v>3</v>
      </c>
      <c r="G75" s="93">
        <f>'Юнит 18'!G75</f>
        <v>1</v>
      </c>
      <c r="H75" s="93">
        <f>'Юнит 18'!H75</f>
        <v>3</v>
      </c>
      <c r="I75" s="93">
        <f>'Юнит 18'!I75</f>
        <v>0</v>
      </c>
      <c r="J75" s="93">
        <f>'Юнит 18'!J75</f>
        <v>1</v>
      </c>
      <c r="K75" s="93">
        <v>134.79</v>
      </c>
      <c r="L75" s="92">
        <f t="shared" si="45"/>
        <v>1078.32</v>
      </c>
      <c r="M75" s="89">
        <f>'Юнит 18'!M75</f>
        <v>999</v>
      </c>
      <c r="N75" s="89">
        <f>'Юнит 14'!N75+'Юнит 15'!N75+'Юнит 16'!N75+'Юнит 17'!N75+'Юнит 18'!N75</f>
        <v>38</v>
      </c>
      <c r="O75" s="89">
        <v>763</v>
      </c>
      <c r="P75" s="89">
        <v>33</v>
      </c>
      <c r="Q75" s="406">
        <f t="shared" si="65"/>
        <v>0.36842105263157893</v>
      </c>
      <c r="R75" s="92">
        <f t="shared" si="55"/>
        <v>2</v>
      </c>
      <c r="S75" s="89">
        <f>'Юнит 14'!S75+'Юнит 15'!S75+'Юнит 16'!S75+'Юнит 17'!S75+'Юнит 18'!S75</f>
        <v>15</v>
      </c>
      <c r="T75" s="89">
        <f>'Юнит 14'!T75+'Юнит 15'!T75+'Юнит 16'!T75+'Юнит 17'!T75+'Юнит 18'!T75</f>
        <v>-1</v>
      </c>
      <c r="U75" s="92">
        <f t="shared" si="56"/>
        <v>14</v>
      </c>
      <c r="V75" s="89">
        <f>'Юнит 14'!V75+'Юнит 15'!V75+'Юнит 16'!V75+'Юнит 17'!V75+'Юнит 18'!V75</f>
        <v>7868.4400000000005</v>
      </c>
      <c r="W75" s="89">
        <f>'Юнит 14'!W75+'Юнит 15'!W75+'Юнит 16'!W75+'Юнит 17'!W75+'Юнит 18'!W75</f>
        <v>-521</v>
      </c>
      <c r="X75" s="92">
        <f t="shared" si="57"/>
        <v>7347.4400000000005</v>
      </c>
      <c r="Y75" s="89">
        <f>'Юнит 14'!Y75+'Юнит 15'!Y75+'Юнит 16'!Y75+'Юнит 17'!Y75+'Юнит 18'!Y75</f>
        <v>11405.12</v>
      </c>
      <c r="Z75" s="89">
        <f>'Юнит 14'!Z75+'Юнит 15'!Z75+'Юнит 16'!Z75+'Юнит 17'!Z75+'Юнит 18'!Z75</f>
        <v>-763</v>
      </c>
      <c r="AA75" s="232">
        <f t="shared" si="58"/>
        <v>10642.12</v>
      </c>
      <c r="AB75" s="92">
        <f t="shared" si="59"/>
        <v>9568.02</v>
      </c>
      <c r="AC75" s="234">
        <f t="shared" si="60"/>
        <v>7.0497132908568393E-4</v>
      </c>
      <c r="AD75" s="92">
        <f t="shared" si="61"/>
        <v>1887.06</v>
      </c>
      <c r="AE75" s="89">
        <f>'Юнит 14'!AE75+'Юнит 15'!AE75+'Юнит 16'!AE75+'Юнит 17'!AE75+'Юнит 18'!AE75</f>
        <v>4022.3300000000008</v>
      </c>
      <c r="AF75" s="234">
        <f t="shared" si="62"/>
        <v>0.37796322537238825</v>
      </c>
      <c r="AG75" s="89">
        <f>'Юнит 14'!AG75+'Юнит 15'!AG75+'Юнит 16'!AG75+'Юнит 17'!AG75+'Юнит 18'!AG75</f>
        <v>2976.47</v>
      </c>
      <c r="AH75" s="89">
        <f>'Юнит 14'!AH75+'Юнит 15'!AH75+'Юнит 16'!AH75+'Юнит 17'!AH75+'Юнит 18'!AH75</f>
        <v>0</v>
      </c>
      <c r="AI75" s="89">
        <f>'Юнит 14'!AI75+'Юнит 15'!AI75+'Юнит 16'!AI75+'Юнит 17'!AI75+'Юнит 18'!AI75</f>
        <v>0</v>
      </c>
      <c r="AJ75" s="89">
        <f>'Юнит 14'!AJ75+'Юнит 15'!AJ75+'Юнит 16'!AJ75+'Юнит 17'!AJ75+'Юнит 18'!AJ75</f>
        <v>0</v>
      </c>
      <c r="AK75" s="89">
        <f>'Юнит 14'!AK75+'Юнит 15'!AK75+'Юнит 16'!AK75+'Юнит 17'!AK75+'Юнит 18'!AK75</f>
        <v>0</v>
      </c>
      <c r="AL75" s="89">
        <f>'Юнит 14'!AL75+'Юнит 15'!AL75+'Юнит 16'!AL75+'Юнит 17'!AL75+'Юнит 18'!AL75</f>
        <v>12.283907675695152</v>
      </c>
      <c r="AM75" s="89">
        <f>'Юнит 14'!AM75+'Юнит 15'!AM75+'Юнит 16'!AM75+'Юнит 17'!AM75+'Юнит 18'!AM75</f>
        <v>0</v>
      </c>
      <c r="AN75" s="94">
        <f t="shared" si="63"/>
        <v>419.53882400000003</v>
      </c>
      <c r="AO75" s="95">
        <f t="shared" si="64"/>
        <v>1324.4372683243055</v>
      </c>
      <c r="AP75" s="96"/>
      <c r="AQ75" s="97">
        <f t="shared" si="5"/>
        <v>760.1514285714286</v>
      </c>
      <c r="AR75" s="98">
        <f t="shared" si="34"/>
        <v>134.79</v>
      </c>
      <c r="AS75" s="98">
        <f t="shared" si="7"/>
        <v>287.30928571428575</v>
      </c>
      <c r="AT75" s="98">
        <f t="shared" si="8"/>
        <v>198.43133333333333</v>
      </c>
      <c r="AU75" s="98">
        <f t="shared" si="66"/>
        <v>0</v>
      </c>
      <c r="AV75" s="98">
        <f t="array" ref="AV75">_xlfn.IFS(U75=0,AO75,U75&lt;0,AO75/-U75,U75&gt;0,AO75/U75)</f>
        <v>94.602662023164683</v>
      </c>
      <c r="AW75" s="234">
        <f t="shared" si="46"/>
        <v>0.12445238996781709</v>
      </c>
      <c r="AX75" s="234">
        <f t="shared" si="47"/>
        <v>0.70185222956572957</v>
      </c>
      <c r="AY75" s="99"/>
      <c r="AZ75" s="94">
        <f t="shared" si="11"/>
        <v>756.82129618531746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0"/>
        <v>38</v>
      </c>
      <c r="F76" s="93">
        <f>'Юнит 18'!F76</f>
        <v>5</v>
      </c>
      <c r="G76" s="93">
        <f>'Юнит 18'!G76</f>
        <v>1</v>
      </c>
      <c r="H76" s="93">
        <f>'Юнит 18'!H76</f>
        <v>31</v>
      </c>
      <c r="I76" s="93">
        <f>'Юнит 18'!I76</f>
        <v>0</v>
      </c>
      <c r="J76" s="93">
        <f>'Юнит 18'!J76</f>
        <v>1</v>
      </c>
      <c r="K76" s="93">
        <v>123.09</v>
      </c>
      <c r="L76" s="92">
        <f t="shared" si="45"/>
        <v>4677.42</v>
      </c>
      <c r="M76" s="89">
        <f>'Юнит 18'!M76</f>
        <v>999</v>
      </c>
      <c r="N76" s="89">
        <f>'Юнит 14'!N76+'Юнит 15'!N76+'Юнит 16'!N76+'Юнит 17'!N76+'Юнит 18'!N76</f>
        <v>43</v>
      </c>
      <c r="O76" s="89">
        <v>1050</v>
      </c>
      <c r="P76" s="89">
        <v>8</v>
      </c>
      <c r="Q76" s="406">
        <f t="shared" si="65"/>
        <v>0.11627906976744186</v>
      </c>
      <c r="R76" s="92">
        <f t="shared" si="55"/>
        <v>0.7142857142857143</v>
      </c>
      <c r="S76" s="89">
        <f>'Юнит 14'!S76+'Юнит 15'!S76+'Юнит 16'!S76+'Юнит 17'!S76+'Юнит 18'!S76</f>
        <v>6</v>
      </c>
      <c r="T76" s="89">
        <f>'Юнит 14'!T76+'Юнит 15'!T76+'Юнит 16'!T76+'Юнит 17'!T76+'Юнит 18'!T76</f>
        <v>-1</v>
      </c>
      <c r="U76" s="92">
        <f t="shared" si="56"/>
        <v>5</v>
      </c>
      <c r="V76" s="89">
        <f>'Юнит 14'!V76+'Юнит 15'!V76+'Юнит 16'!V76+'Юнит 17'!V76+'Юнит 18'!V76</f>
        <v>4296.1499999999996</v>
      </c>
      <c r="W76" s="89">
        <f>'Юнит 14'!W76+'Юнит 15'!W76+'Юнит 16'!W76+'Юнит 17'!W76+'Юнит 18'!W76</f>
        <v>-694</v>
      </c>
      <c r="X76" s="92">
        <f t="shared" si="57"/>
        <v>3602.1499999999996</v>
      </c>
      <c r="Y76" s="89">
        <f>'Юнит 14'!Y76+'Юнит 15'!Y76+'Юнит 16'!Y76+'Юнит 17'!Y76+'Юнит 18'!Y76</f>
        <v>6275.77</v>
      </c>
      <c r="Z76" s="89">
        <f>'Юнит 14'!Z76+'Юнит 15'!Z76+'Юнит 16'!Z76+'Юнит 17'!Z76+'Юнит 18'!Z76</f>
        <v>-1050</v>
      </c>
      <c r="AA76" s="232">
        <f t="shared" si="58"/>
        <v>5225.7700000000004</v>
      </c>
      <c r="AB76" s="92">
        <f t="shared" si="59"/>
        <v>3612</v>
      </c>
      <c r="AC76" s="234">
        <f t="shared" si="60"/>
        <v>3.4617332095448035E-4</v>
      </c>
      <c r="AD76" s="92">
        <f t="shared" si="61"/>
        <v>615.45000000000005</v>
      </c>
      <c r="AE76" s="89">
        <f>'Юнит 14'!AE76+'Юнит 15'!AE76+'Юнит 16'!AE76+'Юнит 17'!AE76+'Юнит 18'!AE76</f>
        <v>1980.2400000000002</v>
      </c>
      <c r="AF76" s="234">
        <f t="shared" si="62"/>
        <v>0.37893745802054052</v>
      </c>
      <c r="AG76" s="89">
        <f>'Юнит 14'!AG76+'Юнит 15'!AG76+'Юнит 16'!AG76+'Юнит 17'!AG76+'Юнит 18'!AG76</f>
        <v>4753.6899999999996</v>
      </c>
      <c r="AH76" s="89">
        <f>'Юнит 14'!AH76+'Юнит 15'!AH76+'Юнит 16'!AH76+'Юнит 17'!AH76+'Юнит 18'!AH76</f>
        <v>566</v>
      </c>
      <c r="AI76" s="89">
        <f>'Юнит 14'!AI76+'Юнит 15'!AI76+'Юнит 16'!AI76+'Юнит 17'!AI76+'Юнит 18'!AI76</f>
        <v>2510</v>
      </c>
      <c r="AJ76" s="89">
        <f>'Юнит 14'!AJ76+'Юнит 15'!AJ76+'Юнит 16'!AJ76+'Юнит 17'!AJ76+'Юнит 18'!AJ76</f>
        <v>990</v>
      </c>
      <c r="AK76" s="89">
        <f>'Юнит 14'!AK76+'Юнит 15'!AK76+'Юнит 16'!AK76+'Юнит 17'!AK76+'Юнит 18'!AK76</f>
        <v>0</v>
      </c>
      <c r="AL76" s="89">
        <f>'Юнит 14'!AL76+'Юнит 15'!AL76+'Юнит 16'!AL76+'Юнит 17'!AL76+'Юнит 18'!AL76</f>
        <v>148.83032447646076</v>
      </c>
      <c r="AM76" s="89">
        <f>'Юнит 14'!AM76+'Юнит 15'!AM76+'Юнит 16'!AM76+'Юнит 17'!AM76+'Юнит 18'!AM76</f>
        <v>0</v>
      </c>
      <c r="AN76" s="94">
        <f t="shared" si="63"/>
        <v>205.68276499999996</v>
      </c>
      <c r="AO76" s="95">
        <f t="shared" si="64"/>
        <v>-6544.1230894764594</v>
      </c>
      <c r="AP76" s="96"/>
      <c r="AQ76" s="97">
        <f t="shared" si="5"/>
        <v>1045.154</v>
      </c>
      <c r="AR76" s="98">
        <f t="shared" si="34"/>
        <v>123.09</v>
      </c>
      <c r="AS76" s="98">
        <f t="shared" si="7"/>
        <v>396.04800000000006</v>
      </c>
      <c r="AT76" s="98">
        <f t="shared" si="8"/>
        <v>792.28166666666664</v>
      </c>
      <c r="AU76" s="98">
        <f t="shared" si="66"/>
        <v>677.66666666666663</v>
      </c>
      <c r="AV76" s="98">
        <f t="array" ref="AV76">_xlfn.IFS(U76=0,AO76,U76&lt;0,AO76/-U76,U76&gt;0,AO76/U76)</f>
        <v>-1308.8246178952918</v>
      </c>
      <c r="AW76" s="234">
        <f t="shared" si="46"/>
        <v>-1.2522792027732677</v>
      </c>
      <c r="AX76" s="234">
        <f t="shared" si="47"/>
        <v>-10.633070256684473</v>
      </c>
      <c r="AY76" s="99"/>
      <c r="AZ76" s="94">
        <f t="shared" si="11"/>
        <v>-49735.335480021087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0"/>
        <v>29</v>
      </c>
      <c r="F77" s="93">
        <f>'Юнит 18'!F77</f>
        <v>5</v>
      </c>
      <c r="G77" s="93">
        <f>'Юнит 18'!G77</f>
        <v>2</v>
      </c>
      <c r="H77" s="93">
        <f>'Юнит 18'!H77</f>
        <v>18</v>
      </c>
      <c r="I77" s="93">
        <f>'Юнит 18'!I77</f>
        <v>0</v>
      </c>
      <c r="J77" s="93">
        <f>'Юнит 18'!J77</f>
        <v>4</v>
      </c>
      <c r="K77" s="93">
        <v>123.09</v>
      </c>
      <c r="L77" s="92">
        <f t="shared" si="45"/>
        <v>3569.61</v>
      </c>
      <c r="M77" s="89">
        <f>'Юнит 18'!M77</f>
        <v>105</v>
      </c>
      <c r="N77" s="89">
        <f>'Юнит 14'!N77+'Юнит 15'!N77+'Юнит 16'!N77+'Юнит 17'!N77+'Юнит 18'!N77</f>
        <v>32</v>
      </c>
      <c r="O77" s="89">
        <v>1150</v>
      </c>
      <c r="P77" s="89">
        <v>28</v>
      </c>
      <c r="Q77" s="406">
        <f t="shared" si="65"/>
        <v>0.34375</v>
      </c>
      <c r="R77" s="92">
        <f t="shared" si="55"/>
        <v>1.5714285714285714</v>
      </c>
      <c r="S77" s="89">
        <f>'Юнит 14'!S77+'Юнит 15'!S77+'Юнит 16'!S77+'Юнит 17'!S77+'Юнит 18'!S77</f>
        <v>11</v>
      </c>
      <c r="T77" s="89">
        <f>'Юнит 14'!T77+'Юнит 15'!T77+'Юнит 16'!T77+'Юнит 17'!T77+'Юнит 18'!T77</f>
        <v>0</v>
      </c>
      <c r="U77" s="92">
        <f t="shared" si="56"/>
        <v>11</v>
      </c>
      <c r="V77" s="89">
        <f>'Юнит 14'!V77+'Юнит 15'!V77+'Юнит 16'!V77+'Юнит 17'!V77+'Юнит 18'!V77</f>
        <v>8216</v>
      </c>
      <c r="W77" s="89">
        <f>'Юнит 14'!W77+'Юнит 15'!W77+'Юнит 16'!W77+'Юнит 17'!W77+'Юнит 18'!W77</f>
        <v>0</v>
      </c>
      <c r="X77" s="92">
        <f t="shared" si="57"/>
        <v>8216</v>
      </c>
      <c r="Y77" s="89">
        <f>'Юнит 14'!Y77+'Юнит 15'!Y77+'Юнит 16'!Y77+'Юнит 17'!Y77+'Юнит 18'!Y77</f>
        <v>12579</v>
      </c>
      <c r="Z77" s="89">
        <f>'Юнит 14'!Z77+'Юнит 15'!Z77+'Юнит 16'!Z77+'Юнит 17'!Z77+'Юнит 18'!Z77</f>
        <v>0</v>
      </c>
      <c r="AA77" s="232">
        <f t="shared" si="58"/>
        <v>12579</v>
      </c>
      <c r="AB77" s="92">
        <f t="shared" si="59"/>
        <v>10304</v>
      </c>
      <c r="AC77" s="234">
        <f t="shared" si="60"/>
        <v>8.3327704898730867E-4</v>
      </c>
      <c r="AD77" s="92">
        <f t="shared" si="61"/>
        <v>1353.99</v>
      </c>
      <c r="AE77" s="89">
        <f>'Юнит 14'!AE77+'Юнит 15'!AE77+'Юнит 16'!AE77+'Юнит 17'!AE77+'Юнит 18'!AE77</f>
        <v>4769.83</v>
      </c>
      <c r="AF77" s="234">
        <f t="shared" si="62"/>
        <v>0.37918991970744892</v>
      </c>
      <c r="AG77" s="89">
        <f>'Юнит 14'!AG77+'Юнит 15'!AG77+'Юнит 16'!AG77+'Юнит 17'!AG77+'Юнит 18'!AG77</f>
        <v>2989.4100000000003</v>
      </c>
      <c r="AH77" s="89">
        <f>'Юнит 14'!AH77+'Юнит 15'!AH77+'Юнит 16'!AH77+'Юнит 17'!AH77+'Юнит 18'!AH77</f>
        <v>880</v>
      </c>
      <c r="AI77" s="89">
        <f>'Юнит 14'!AI77+'Юнит 15'!AI77+'Юнит 16'!AI77+'Юнит 17'!AI77+'Юнит 18'!AI77</f>
        <v>4088</v>
      </c>
      <c r="AJ77" s="89">
        <f>'Юнит 14'!AJ77+'Юнит 15'!AJ77+'Юнит 16'!AJ77+'Юнит 17'!AJ77+'Юнит 18'!AJ77</f>
        <v>990</v>
      </c>
      <c r="AK77" s="89">
        <f>'Юнит 14'!AK77+'Юнит 15'!AK77+'Юнит 16'!AK77+'Юнит 17'!AK77+'Юнит 18'!AK77</f>
        <v>0</v>
      </c>
      <c r="AL77" s="89">
        <f>'Юнит 14'!AL77+'Юнит 15'!AL77+'Юнит 16'!AL77+'Юнит 17'!AL77+'Юнит 18'!AL77</f>
        <v>100.5690629616843</v>
      </c>
      <c r="AM77" s="89">
        <f>'Юнит 14'!AM77+'Юнит 15'!AM77+'Юнит 16'!AM77+'Юнит 17'!AM77+'Юнит 18'!AM77</f>
        <v>0</v>
      </c>
      <c r="AN77" s="94">
        <f t="shared" si="63"/>
        <v>469.1336</v>
      </c>
      <c r="AO77" s="95">
        <f t="shared" si="64"/>
        <v>-3061.9326629616844</v>
      </c>
      <c r="AP77" s="96"/>
      <c r="AQ77" s="97">
        <f t="shared" si="5"/>
        <v>1143.5454545454545</v>
      </c>
      <c r="AR77" s="98">
        <f t="shared" si="34"/>
        <v>123.09</v>
      </c>
      <c r="AS77" s="98">
        <f t="shared" si="7"/>
        <v>433.62090909090909</v>
      </c>
      <c r="AT77" s="98">
        <f t="shared" si="8"/>
        <v>271.7645454545455</v>
      </c>
      <c r="AU77" s="98">
        <f t="shared" si="66"/>
        <v>541.63636363636363</v>
      </c>
      <c r="AV77" s="98">
        <f t="array" ref="AV77">_xlfn.IFS(U77=0,AO77,U77&lt;0,AO77/-U77,U77&gt;0,AO77/U77)</f>
        <v>-278.35751481469856</v>
      </c>
      <c r="AW77" s="234">
        <f t="shared" si="46"/>
        <v>-0.24341622251066733</v>
      </c>
      <c r="AX77" s="234">
        <f t="shared" si="47"/>
        <v>-2.2614145325753396</v>
      </c>
      <c r="AY77" s="99"/>
      <c r="AZ77" s="94">
        <f t="shared" si="11"/>
        <v>-8072.367929626258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0"/>
        <v>16</v>
      </c>
      <c r="F78" s="93">
        <f>'Юнит 18'!F78</f>
        <v>4</v>
      </c>
      <c r="G78" s="93">
        <f>'Юнит 18'!G78</f>
        <v>2</v>
      </c>
      <c r="H78" s="93">
        <f>'Юнит 18'!H78</f>
        <v>9</v>
      </c>
      <c r="I78" s="93">
        <f>'Юнит 18'!I78</f>
        <v>0</v>
      </c>
      <c r="J78" s="93">
        <f>'Юнит 18'!J78</f>
        <v>1</v>
      </c>
      <c r="K78" s="93">
        <v>123.09</v>
      </c>
      <c r="L78" s="92">
        <f t="shared" si="45"/>
        <v>1969.44</v>
      </c>
      <c r="M78" s="89">
        <f>'Юнит 18'!M78</f>
        <v>999</v>
      </c>
      <c r="N78" s="89">
        <f>'Юнит 14'!N78+'Юнит 15'!N78+'Юнит 16'!N78+'Юнит 17'!N78+'Юнит 18'!N78</f>
        <v>33</v>
      </c>
      <c r="O78" s="89">
        <v>1000</v>
      </c>
      <c r="P78" s="89">
        <v>19</v>
      </c>
      <c r="Q78" s="406">
        <f t="shared" si="65"/>
        <v>0.18181818181818182</v>
      </c>
      <c r="R78" s="92">
        <f t="shared" si="55"/>
        <v>0.8571428571428571</v>
      </c>
      <c r="S78" s="89">
        <f>'Юнит 14'!S78+'Юнит 15'!S78+'Юнит 16'!S78+'Юнит 17'!S78+'Юнит 18'!S78</f>
        <v>7</v>
      </c>
      <c r="T78" s="89">
        <f>'Юнит 14'!T78+'Юнит 15'!T78+'Юнит 16'!T78+'Юнит 17'!T78+'Юнит 18'!T78</f>
        <v>-1</v>
      </c>
      <c r="U78" s="92">
        <f t="shared" si="56"/>
        <v>6</v>
      </c>
      <c r="V78" s="89">
        <f>'Юнит 14'!V78+'Юнит 15'!V78+'Юнит 16'!V78+'Юнит 17'!V78+'Юнит 18'!V78</f>
        <v>4541</v>
      </c>
      <c r="W78" s="89">
        <f>'Юнит 14'!W78+'Юнит 15'!W78+'Юнит 16'!W78+'Юнит 17'!W78+'Юнит 18'!W78</f>
        <v>-677</v>
      </c>
      <c r="X78" s="92">
        <f t="shared" si="57"/>
        <v>3864</v>
      </c>
      <c r="Y78" s="89">
        <f>'Юнит 14'!Y78+'Юнит 15'!Y78+'Юнит 16'!Y78+'Юнит 17'!Y78+'Юнит 18'!Y78</f>
        <v>6959</v>
      </c>
      <c r="Z78" s="89">
        <f>'Юнит 14'!Z78+'Юнит 15'!Z78+'Юнит 16'!Z78+'Юнит 17'!Z78+'Юнит 18'!Z78</f>
        <v>-1000</v>
      </c>
      <c r="AA78" s="232">
        <f t="shared" si="58"/>
        <v>5959</v>
      </c>
      <c r="AB78" s="92">
        <f t="shared" si="59"/>
        <v>6270</v>
      </c>
      <c r="AC78" s="234">
        <f t="shared" si="60"/>
        <v>3.9474504610186598E-4</v>
      </c>
      <c r="AD78" s="92">
        <f t="shared" si="61"/>
        <v>738.54</v>
      </c>
      <c r="AE78" s="89">
        <f>'Юнит 14'!AE78+'Юнит 15'!AE78+'Юнит 16'!AE78+'Юнит 17'!AE78+'Юнит 18'!AE78</f>
        <v>2260.83</v>
      </c>
      <c r="AF78" s="234">
        <f t="shared" si="62"/>
        <v>0.37939754992448393</v>
      </c>
      <c r="AG78" s="89">
        <f>'Юнит 14'!AG78+'Юнит 15'!AG78+'Юнит 16'!AG78+'Юнит 17'!AG78+'Юнит 18'!AG78</f>
        <v>2407.5699999999997</v>
      </c>
      <c r="AH78" s="89">
        <f>'Юнит 14'!AH78+'Юнит 15'!AH78+'Юнит 16'!AH78+'Юнит 17'!AH78+'Юнит 18'!AH78</f>
        <v>680</v>
      </c>
      <c r="AI78" s="89">
        <f>'Юнит 14'!AI78+'Юнит 15'!AI78+'Юнит 16'!AI78+'Юнит 17'!AI78+'Юнит 18'!AI78</f>
        <v>2960</v>
      </c>
      <c r="AJ78" s="89">
        <f>'Юнит 14'!AJ78+'Юнит 15'!AJ78+'Юнит 16'!AJ78+'Юнит 17'!AJ78+'Юнит 18'!AJ78</f>
        <v>0</v>
      </c>
      <c r="AK78" s="89">
        <f>'Юнит 14'!AK78+'Юнит 15'!AK78+'Юнит 16'!AK78+'Юнит 17'!AK78+'Юнит 18'!AK78</f>
        <v>0</v>
      </c>
      <c r="AL78" s="89">
        <f>'Юнит 14'!AL78+'Юнит 15'!AL78+'Юнит 16'!AL78+'Юнит 17'!AL78+'Юнит 18'!AL78</f>
        <v>42.509130636415875</v>
      </c>
      <c r="AM78" s="89">
        <f>'Юнит 14'!AM78+'Юнит 15'!AM78+'Юнит 16'!AM78+'Юнит 17'!AM78+'Юнит 18'!AM78</f>
        <v>0</v>
      </c>
      <c r="AN78" s="94">
        <f t="shared" si="63"/>
        <v>220.6344</v>
      </c>
      <c r="AO78" s="95">
        <f t="shared" si="64"/>
        <v>-3351.0835306364152</v>
      </c>
      <c r="AP78" s="96"/>
      <c r="AQ78" s="97">
        <f t="shared" si="5"/>
        <v>993.16666666666663</v>
      </c>
      <c r="AR78" s="98">
        <f t="shared" si="34"/>
        <v>123.09</v>
      </c>
      <c r="AS78" s="98">
        <f t="shared" si="7"/>
        <v>376.80500000000001</v>
      </c>
      <c r="AT78" s="98">
        <f t="shared" si="8"/>
        <v>343.93857142857138</v>
      </c>
      <c r="AU78" s="98">
        <f t="shared" si="66"/>
        <v>520</v>
      </c>
      <c r="AV78" s="98">
        <f t="array" ref="AV78">_xlfn.IFS(U78=0,AO78,U78&lt;0,AO78/-U78,U78&gt;0,AO78/U78)</f>
        <v>-558.5139217727359</v>
      </c>
      <c r="AW78" s="234">
        <f t="shared" si="46"/>
        <v>-0.56235669250485243</v>
      </c>
      <c r="AX78" s="234">
        <f t="shared" si="47"/>
        <v>-4.5374435110304319</v>
      </c>
      <c r="AY78" s="99"/>
      <c r="AZ78" s="94">
        <f t="shared" si="11"/>
        <v>-8936.2227483637744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0"/>
        <v>32</v>
      </c>
      <c r="F79" s="93">
        <f>'Юнит 18'!F79</f>
        <v>21</v>
      </c>
      <c r="G79" s="93">
        <f>'Юнит 18'!G79</f>
        <v>5</v>
      </c>
      <c r="H79" s="93">
        <f>'Юнит 18'!H79</f>
        <v>5</v>
      </c>
      <c r="I79" s="93">
        <f>'Юнит 18'!I79</f>
        <v>0</v>
      </c>
      <c r="J79" s="93">
        <f>'Юнит 18'!J79</f>
        <v>1</v>
      </c>
      <c r="K79" s="93">
        <v>164.04</v>
      </c>
      <c r="L79" s="92">
        <f t="shared" si="45"/>
        <v>5249.28</v>
      </c>
      <c r="M79" s="89">
        <f>'Юнит 18'!M79</f>
        <v>26</v>
      </c>
      <c r="N79" s="89">
        <f>'Юнит 14'!N79+'Юнит 15'!N79+'Юнит 16'!N79+'Юнит 17'!N79+'Юнит 18'!N79</f>
        <v>72</v>
      </c>
      <c r="O79" s="89">
        <v>1300</v>
      </c>
      <c r="P79" s="89">
        <v>26</v>
      </c>
      <c r="Q79" s="406">
        <f t="shared" si="65"/>
        <v>0.20833333333333334</v>
      </c>
      <c r="R79" s="92">
        <f t="shared" si="55"/>
        <v>2.1428571428571428</v>
      </c>
      <c r="S79" s="89">
        <f>'Юнит 14'!S79+'Юнит 15'!S79+'Юнит 16'!S79+'Юнит 17'!S79+'Юнит 18'!S79</f>
        <v>15</v>
      </c>
      <c r="T79" s="89">
        <f>'Юнит 14'!T79+'Юнит 15'!T79+'Юнит 16'!T79+'Юнит 17'!T79+'Юнит 18'!T79</f>
        <v>0</v>
      </c>
      <c r="U79" s="92">
        <f t="shared" si="56"/>
        <v>15</v>
      </c>
      <c r="V79" s="89">
        <f>'Юнит 14'!V79+'Юнит 15'!V79+'Юнит 16'!V79+'Юнит 17'!V79+'Юнит 18'!V79</f>
        <v>13638.92</v>
      </c>
      <c r="W79" s="89">
        <f>'Юнит 14'!W79+'Юнит 15'!W79+'Юнит 16'!W79+'Юнит 17'!W79+'Юнит 18'!W79</f>
        <v>0</v>
      </c>
      <c r="X79" s="92">
        <f t="shared" si="57"/>
        <v>13638.92</v>
      </c>
      <c r="Y79" s="89">
        <f>'Юнит 14'!Y79+'Юнит 15'!Y79+'Юнит 16'!Y79+'Юнит 17'!Y79+'Юнит 18'!Y79</f>
        <v>19804.48</v>
      </c>
      <c r="Z79" s="89">
        <f>'Юнит 14'!Z79+'Юнит 15'!Z79+'Юнит 16'!Z79+'Юнит 17'!Z79+'Юнит 18'!Z79</f>
        <v>0</v>
      </c>
      <c r="AA79" s="232">
        <f t="shared" si="58"/>
        <v>19804.48</v>
      </c>
      <c r="AB79" s="92">
        <f t="shared" si="59"/>
        <v>24336</v>
      </c>
      <c r="AC79" s="234">
        <f t="shared" si="60"/>
        <v>1.3119181692605273E-3</v>
      </c>
      <c r="AD79" s="92">
        <f t="shared" si="61"/>
        <v>2460.6</v>
      </c>
      <c r="AE79" s="89">
        <f>'Юнит 14'!AE79+'Юнит 15'!AE79+'Юнит 16'!AE79+'Юнит 17'!AE79+'Юнит 18'!AE79</f>
        <v>7409.9</v>
      </c>
      <c r="AF79" s="234">
        <f t="shared" si="62"/>
        <v>0.37415271696101082</v>
      </c>
      <c r="AG79" s="89">
        <f>'Юнит 14'!AG79+'Юнит 15'!AG79+'Юнит 16'!AG79+'Юнит 17'!AG79+'Юнит 18'!AG79</f>
        <v>4786.42</v>
      </c>
      <c r="AH79" s="89">
        <f>'Юнит 14'!AH79+'Юнит 15'!AH79+'Юнит 16'!AH79+'Юнит 17'!AH79+'Юнит 18'!AH79</f>
        <v>0</v>
      </c>
      <c r="AI79" s="89">
        <f>'Юнит 14'!AI79+'Юнит 15'!AI79+'Юнит 16'!AI79+'Юнит 17'!AI79+'Юнит 18'!AI79</f>
        <v>4660</v>
      </c>
      <c r="AJ79" s="89">
        <f>'Юнит 14'!AJ79+'Юнит 15'!AJ79+'Юнит 16'!AJ79+'Юнит 17'!AJ79+'Юнит 18'!AJ79</f>
        <v>1105</v>
      </c>
      <c r="AK79" s="89">
        <f>'Юнит 14'!AK79+'Юнит 15'!AK79+'Юнит 16'!AK79+'Юнит 17'!AK79+'Юнит 18'!AK79</f>
        <v>0</v>
      </c>
      <c r="AL79" s="89">
        <f>'Юнит 14'!AL79+'Юнит 15'!AL79+'Юнит 16'!AL79+'Юнит 17'!AL79+'Юнит 18'!AL79</f>
        <v>100.77293605044385</v>
      </c>
      <c r="AM79" s="89">
        <f>'Юнит 14'!AM79+'Юнит 15'!AM79+'Юнит 16'!AM79+'Юнит 17'!AM79+'Юнит 18'!AM79</f>
        <v>0</v>
      </c>
      <c r="AN79" s="94">
        <f t="shared" si="63"/>
        <v>778.782332</v>
      </c>
      <c r="AO79" s="95">
        <f t="shared" si="64"/>
        <v>-1496.9952680504425</v>
      </c>
      <c r="AP79" s="96"/>
      <c r="AQ79" s="97">
        <f t="shared" si="5"/>
        <v>1320.2986666666666</v>
      </c>
      <c r="AR79" s="98">
        <f t="shared" si="34"/>
        <v>164.04</v>
      </c>
      <c r="AS79" s="98">
        <f t="shared" si="7"/>
        <v>493.99333333333328</v>
      </c>
      <c r="AT79" s="98">
        <f t="shared" si="8"/>
        <v>319.09466666666668</v>
      </c>
      <c r="AU79" s="98">
        <f t="shared" si="66"/>
        <v>384.33333333333331</v>
      </c>
      <c r="AV79" s="98">
        <f t="array" ref="AV79">_xlfn.IFS(U79=0,AO79,U79&lt;0,AO79/-U79,U79&gt;0,AO79/U79)</f>
        <v>-99.799684536696162</v>
      </c>
      <c r="AW79" s="234">
        <f t="shared" si="46"/>
        <v>-7.5588718716696549E-2</v>
      </c>
      <c r="AX79" s="234">
        <f t="shared" si="47"/>
        <v>-0.60838627491280273</v>
      </c>
      <c r="AY79" s="99"/>
      <c r="AZ79" s="94">
        <f t="shared" si="11"/>
        <v>-3193.5899051742772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0"/>
        <v>23</v>
      </c>
      <c r="F80" s="93">
        <f>'Юнит 18'!F80</f>
        <v>2</v>
      </c>
      <c r="G80" s="93">
        <f>'Юнит 18'!G80</f>
        <v>3</v>
      </c>
      <c r="H80" s="93">
        <f>'Юнит 18'!H80</f>
        <v>17</v>
      </c>
      <c r="I80" s="93">
        <f>'Юнит 18'!I80</f>
        <v>0</v>
      </c>
      <c r="J80" s="93">
        <f>'Юнит 18'!J80</f>
        <v>1</v>
      </c>
      <c r="K80" s="93">
        <v>164.04</v>
      </c>
      <c r="L80" s="92">
        <f t="shared" si="45"/>
        <v>3772.9199999999996</v>
      </c>
      <c r="M80" s="89">
        <f>'Юнит 18'!M80</f>
        <v>88</v>
      </c>
      <c r="N80" s="89">
        <f>'Юнит 14'!N80+'Юнит 15'!N80+'Юнит 16'!N80+'Юнит 17'!N80+'Юнит 18'!N80</f>
        <v>35</v>
      </c>
      <c r="O80" s="89">
        <v>987</v>
      </c>
      <c r="P80" s="89">
        <v>24</v>
      </c>
      <c r="Q80" s="406">
        <f t="shared" si="65"/>
        <v>0.2857142857142857</v>
      </c>
      <c r="R80" s="92">
        <f t="shared" si="55"/>
        <v>1.4285714285714286</v>
      </c>
      <c r="S80" s="89">
        <f>'Юнит 14'!S80+'Юнит 15'!S80+'Юнит 16'!S80+'Юнит 17'!S80+'Юнит 18'!S80</f>
        <v>11</v>
      </c>
      <c r="T80" s="89">
        <f>'Юнит 14'!T80+'Юнит 15'!T80+'Юнит 16'!T80+'Юнит 17'!T80+'Юнит 18'!T80</f>
        <v>-1</v>
      </c>
      <c r="U80" s="92">
        <f t="shared" si="56"/>
        <v>10</v>
      </c>
      <c r="V80" s="89">
        <f>'Юнит 14'!V80+'Юнит 15'!V80+'Юнит 16'!V80+'Юнит 17'!V80+'Юнит 18'!V80</f>
        <v>7453</v>
      </c>
      <c r="W80" s="89">
        <f>'Юнит 14'!W80+'Юнит 15'!W80+'Юнит 16'!W80+'Юнит 17'!W80+'Юнит 18'!W80</f>
        <v>-635</v>
      </c>
      <c r="X80" s="92">
        <f t="shared" si="57"/>
        <v>6818</v>
      </c>
      <c r="Y80" s="89">
        <f>'Юнит 14'!Y80+'Юнит 15'!Y80+'Юнит 16'!Y80+'Юнит 17'!Y80+'Юнит 18'!Y80</f>
        <v>10836</v>
      </c>
      <c r="Z80" s="89">
        <f>'Юнит 14'!Z80+'Юнит 15'!Z80+'Юнит 16'!Z80+'Юнит 17'!Z80+'Юнит 18'!Z80</f>
        <v>-966</v>
      </c>
      <c r="AA80" s="232">
        <f t="shared" si="58"/>
        <v>9870</v>
      </c>
      <c r="AB80" s="92">
        <f t="shared" si="59"/>
        <v>8290.7999999999993</v>
      </c>
      <c r="AC80" s="234">
        <f t="shared" si="60"/>
        <v>6.5382339403010855E-4</v>
      </c>
      <c r="AD80" s="92">
        <f t="shared" si="61"/>
        <v>1640.3999999999999</v>
      </c>
      <c r="AE80" s="89">
        <f>'Юнит 14'!AE80+'Юнит 15'!AE80+'Юнит 16'!AE80+'Юнит 17'!AE80+'Юнит 18'!AE80</f>
        <v>3757.83</v>
      </c>
      <c r="AF80" s="234">
        <f t="shared" si="62"/>
        <v>0.38073252279635256</v>
      </c>
      <c r="AG80" s="89">
        <f>'Юнит 14'!AG80+'Юнит 15'!AG80+'Юнит 16'!AG80+'Юнит 17'!AG80+'Юнит 18'!AG80</f>
        <v>2823.9699999999993</v>
      </c>
      <c r="AH80" s="89">
        <f>'Юнит 14'!AH80+'Юнит 15'!AH80+'Юнит 16'!AH80+'Юнит 17'!AH80+'Юнит 18'!AH80</f>
        <v>879</v>
      </c>
      <c r="AI80" s="89">
        <f>'Юнит 14'!AI80+'Юнит 15'!AI80+'Юнит 16'!AI80+'Юнит 17'!AI80+'Юнит 18'!AI80</f>
        <v>396</v>
      </c>
      <c r="AJ80" s="89">
        <f>'Юнит 14'!AJ80+'Юнит 15'!AJ80+'Юнит 16'!AJ80+'Юнит 17'!AJ80+'Юнит 18'!AJ80</f>
        <v>0</v>
      </c>
      <c r="AK80" s="89">
        <f>'Юнит 14'!AK80+'Юнит 15'!AK80+'Юнит 16'!AK80+'Юнит 17'!AK80+'Юнит 18'!AK80</f>
        <v>0</v>
      </c>
      <c r="AL80" s="89">
        <f>'Юнит 14'!AL80+'Юнит 15'!AL80+'Юнит 16'!AL80+'Юнит 17'!AL80+'Юнит 18'!AL80</f>
        <v>83.834542339871177</v>
      </c>
      <c r="AM80" s="89">
        <f>'Юнит 14'!AM80+'Юнит 15'!AM80+'Юнит 16'!AM80+'Юнит 17'!AM80+'Юнит 18'!AM80</f>
        <v>0</v>
      </c>
      <c r="AN80" s="94">
        <f t="shared" si="63"/>
        <v>389.30779999999999</v>
      </c>
      <c r="AO80" s="95">
        <f t="shared" si="64"/>
        <v>-100.34234233987007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375.78300000000002</v>
      </c>
      <c r="AT80" s="98">
        <f t="shared" si="8"/>
        <v>256.72454545454542</v>
      </c>
      <c r="AU80" s="98">
        <f t="shared" si="66"/>
        <v>115.90909090909091</v>
      </c>
      <c r="AV80" s="98">
        <f t="array" ref="AV80">_xlfn.IFS(U80=0,AO80,U80&lt;0,AO80/-U80,U80&gt;0,AO80/U80)</f>
        <v>-10.034234233987007</v>
      </c>
      <c r="AW80" s="234">
        <f t="shared" si="46"/>
        <v>-1.0166397400189471E-2</v>
      </c>
      <c r="AX80" s="234">
        <f t="shared" si="47"/>
        <v>-6.1169435710723044E-2</v>
      </c>
      <c r="AY80" s="99"/>
      <c r="AZ80" s="94">
        <f t="shared" si="11"/>
        <v>-230.78738738170117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0"/>
        <v>14</v>
      </c>
      <c r="F81" s="93" t="str">
        <f>'Юнит 18'!F81</f>
        <v/>
      </c>
      <c r="G81" s="93" t="str">
        <f>'Юнит 18'!G81</f>
        <v/>
      </c>
      <c r="H81" s="93">
        <f>'Юнит 18'!H81</f>
        <v>13</v>
      </c>
      <c r="I81" s="93">
        <f>'Юнит 18'!I81</f>
        <v>0</v>
      </c>
      <c r="J81" s="93">
        <f>'Юнит 18'!J81</f>
        <v>1</v>
      </c>
      <c r="K81" s="93">
        <v>128.94</v>
      </c>
      <c r="L81" s="92">
        <f t="shared" si="45"/>
        <v>1805.1599999999999</v>
      </c>
      <c r="M81" s="89">
        <f>'Юнит 18'!M81</f>
        <v>999</v>
      </c>
      <c r="N81" s="89">
        <f>'Юнит 14'!N81+'Юнит 15'!N81+'Юнит 16'!N81+'Юнит 17'!N81+'Юнит 18'!N81</f>
        <v>3</v>
      </c>
      <c r="O81" s="89">
        <v>1167</v>
      </c>
      <c r="P81" s="89">
        <v>50</v>
      </c>
      <c r="Q81" s="406">
        <f t="shared" si="65"/>
        <v>0.66666666666666663</v>
      </c>
      <c r="R81" s="92">
        <f t="shared" si="55"/>
        <v>0.2857142857142857</v>
      </c>
      <c r="S81" s="89">
        <f>'Юнит 14'!S81+'Юнит 15'!S81+'Юнит 16'!S81+'Юнит 17'!S81+'Юнит 18'!S81</f>
        <v>3</v>
      </c>
      <c r="T81" s="89">
        <f>'Юнит 14'!T81+'Юнит 15'!T81+'Юнит 16'!T81+'Юнит 17'!T81+'Юнит 18'!T81</f>
        <v>-1</v>
      </c>
      <c r="U81" s="92">
        <f t="shared" si="56"/>
        <v>2</v>
      </c>
      <c r="V81" s="89">
        <f>'Юнит 14'!V81+'Юнит 15'!V81+'Юнит 16'!V81+'Юнит 17'!V81+'Юнит 18'!V81</f>
        <v>2313</v>
      </c>
      <c r="W81" s="89">
        <f>'Юнит 14'!W81+'Юнит 15'!W81+'Юнит 16'!W81+'Юнит 17'!W81+'Юнит 18'!W81</f>
        <v>-735</v>
      </c>
      <c r="X81" s="92">
        <f t="shared" si="57"/>
        <v>1578</v>
      </c>
      <c r="Y81" s="89">
        <f>'Юнит 14'!Y81+'Юнит 15'!Y81+'Юнит 16'!Y81+'Юнит 17'!Y81+'Юнит 18'!Y81</f>
        <v>3476</v>
      </c>
      <c r="Z81" s="89">
        <f>'Юнит 14'!Z81+'Юнит 15'!Z81+'Юнит 16'!Z81+'Юнит 17'!Z81+'Юнит 18'!Z81</f>
        <v>-1142</v>
      </c>
      <c r="AA81" s="232">
        <f t="shared" si="58"/>
        <v>2334</v>
      </c>
      <c r="AB81" s="92">
        <f t="shared" si="59"/>
        <v>1750.5</v>
      </c>
      <c r="AC81" s="234">
        <f t="shared" si="60"/>
        <v>1.5461234059435395E-4</v>
      </c>
      <c r="AD81" s="92">
        <f t="shared" si="61"/>
        <v>257.88</v>
      </c>
      <c r="AE81" s="89">
        <f>'Юнит 14'!AE81+'Юнит 15'!AE81+'Юнит 16'!AE81+'Юнит 17'!AE81+'Юнит 18'!AE81</f>
        <v>892.79</v>
      </c>
      <c r="AF81" s="234">
        <f t="shared" si="62"/>
        <v>0.38251499571550984</v>
      </c>
      <c r="AG81" s="89">
        <f>'Юнит 14'!AG81+'Юнит 15'!AG81+'Юнит 16'!AG81+'Юнит 17'!AG81+'Юнит 18'!AG81</f>
        <v>655.95</v>
      </c>
      <c r="AH81" s="89">
        <f>'Юнит 14'!AH81+'Юнит 15'!AH81+'Юнит 16'!AH81+'Юнит 17'!AH81+'Юнит 18'!AH81</f>
        <v>0</v>
      </c>
      <c r="AI81" s="89">
        <f>'Юнит 14'!AI81+'Юнит 15'!AI81+'Юнит 16'!AI81+'Юнит 17'!AI81+'Юнит 18'!AI81</f>
        <v>0</v>
      </c>
      <c r="AJ81" s="89">
        <f>'Юнит 14'!AJ81+'Юнит 15'!AJ81+'Юнит 16'!AJ81+'Юнит 17'!AJ81+'Юнит 18'!AJ81</f>
        <v>0</v>
      </c>
      <c r="AK81" s="89">
        <f>'Юнит 14'!AK81+'Юнит 15'!AK81+'Юнит 16'!AK81+'Юнит 17'!AK81+'Юнит 18'!AK81</f>
        <v>0</v>
      </c>
      <c r="AL81" s="89">
        <f>'Юнит 14'!AL81+'Юнит 15'!AL81+'Юнит 16'!AL81+'Юнит 17'!AL81+'Юнит 18'!AL81</f>
        <v>58.072039521033062</v>
      </c>
      <c r="AM81" s="89">
        <f>'Юнит 14'!AM81+'Юнит 15'!AM81+'Юнит 16'!AM81+'Юнит 17'!AM81+'Юнит 18'!AM81</f>
        <v>0</v>
      </c>
      <c r="AN81" s="94">
        <f t="shared" si="63"/>
        <v>90.103799999999993</v>
      </c>
      <c r="AO81" s="95">
        <f t="shared" si="64"/>
        <v>379.20416047896686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446.39499999999998</v>
      </c>
      <c r="AT81" s="98">
        <f t="shared" si="8"/>
        <v>218.65</v>
      </c>
      <c r="AU81" s="98">
        <f t="shared" si="66"/>
        <v>0</v>
      </c>
      <c r="AV81" s="98">
        <f t="array" ref="AV81">_xlfn.IFS(U81=0,AO81,U81&lt;0,AO81/-U81,U81&gt;0,AO81/U81)</f>
        <v>189.60208023948343</v>
      </c>
      <c r="AW81" s="234">
        <f t="shared" si="46"/>
        <v>0.16246964887702092</v>
      </c>
      <c r="AX81" s="234">
        <f t="shared" si="47"/>
        <v>1.4704675061228745</v>
      </c>
      <c r="AY81" s="99"/>
      <c r="AZ81" s="94">
        <f t="shared" si="11"/>
        <v>2654.4291233527679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0"/>
        <v>42</v>
      </c>
      <c r="F82" s="93" t="str">
        <f>'Юнит 18'!F82</f>
        <v/>
      </c>
      <c r="G82" s="93" t="str">
        <f>'Юнит 18'!G82</f>
        <v/>
      </c>
      <c r="H82" s="93">
        <f>'Юнит 18'!H82</f>
        <v>41</v>
      </c>
      <c r="I82" s="93">
        <f>'Юнит 18'!I82</f>
        <v>0</v>
      </c>
      <c r="J82" s="93">
        <f>'Юнит 18'!J82</f>
        <v>1</v>
      </c>
      <c r="K82" s="93">
        <v>128.94</v>
      </c>
      <c r="L82" s="92">
        <f t="shared" si="45"/>
        <v>5415.48</v>
      </c>
      <c r="M82" s="89">
        <f>'Юнит 18'!M82</f>
        <v>409</v>
      </c>
      <c r="N82" s="89">
        <f>'Юнит 14'!N82+'Юнит 15'!N82+'Юнит 16'!N82+'Юнит 17'!N82+'Юнит 18'!N82</f>
        <v>9</v>
      </c>
      <c r="O82" s="89">
        <v>1174</v>
      </c>
      <c r="P82" s="89">
        <v>29</v>
      </c>
      <c r="Q82" s="406">
        <f t="shared" si="65"/>
        <v>0.44444444444444442</v>
      </c>
      <c r="R82" s="92">
        <f t="shared" si="55"/>
        <v>0.5714285714285714</v>
      </c>
      <c r="S82" s="89">
        <f>'Юнит 14'!S82+'Юнит 15'!S82+'Юнит 16'!S82+'Юнит 17'!S82+'Юнит 18'!S82</f>
        <v>4</v>
      </c>
      <c r="T82" s="89">
        <f>'Юнит 14'!T82+'Юнит 15'!T82+'Юнит 16'!T82+'Юнит 17'!T82+'Юнит 18'!T82</f>
        <v>0</v>
      </c>
      <c r="U82" s="92">
        <f t="shared" si="56"/>
        <v>4</v>
      </c>
      <c r="V82" s="89">
        <f>'Юнит 14'!V82+'Юнит 15'!V82+'Юнит 16'!V82+'Юнит 17'!V82+'Юнит 18'!V82</f>
        <v>3347.0299999999997</v>
      </c>
      <c r="W82" s="89">
        <f>'Юнит 14'!W82+'Юнит 15'!W82+'Юнит 16'!W82+'Юнит 17'!W82+'Юнит 18'!W82</f>
        <v>0</v>
      </c>
      <c r="X82" s="92">
        <f t="shared" si="57"/>
        <v>3347.0299999999997</v>
      </c>
      <c r="Y82" s="89">
        <f>'Юнит 14'!Y82+'Юнит 15'!Y82+'Юнит 16'!Y82+'Юнит 17'!Y82+'Юнит 18'!Y82</f>
        <v>4660.46</v>
      </c>
      <c r="Z82" s="89">
        <f>'Юнит 14'!Z82+'Юнит 15'!Z82+'Юнит 16'!Z82+'Юнит 17'!Z82+'Юнит 18'!Z82</f>
        <v>0</v>
      </c>
      <c r="AA82" s="232">
        <f t="shared" si="58"/>
        <v>4660.46</v>
      </c>
      <c r="AB82" s="92">
        <f t="shared" si="59"/>
        <v>3064.14</v>
      </c>
      <c r="AC82" s="234">
        <f t="shared" si="60"/>
        <v>3.0872520516125228E-4</v>
      </c>
      <c r="AD82" s="92">
        <f t="shared" si="61"/>
        <v>515.76</v>
      </c>
      <c r="AE82" s="89">
        <f>'Юнит 14'!AE82+'Юнит 15'!AE82+'Юнит 16'!AE82+'Юнит 17'!AE82+'Юнит 18'!AE82</f>
        <v>1784.4099999999999</v>
      </c>
      <c r="AF82" s="234">
        <f t="shared" si="62"/>
        <v>0.38288280555996612</v>
      </c>
      <c r="AG82" s="89">
        <f>'Юнит 14'!AG82+'Юнит 15'!AG82+'Юнит 16'!AG82+'Юнит 17'!AG82+'Юнит 18'!AG82</f>
        <v>765.24</v>
      </c>
      <c r="AH82" s="89">
        <f>'Юнит 14'!AH82+'Юнит 15'!AH82+'Юнит 16'!AH82+'Юнит 17'!AH82+'Юнит 18'!AH82</f>
        <v>0</v>
      </c>
      <c r="AI82" s="89">
        <f>'Юнит 14'!AI82+'Юнит 15'!AI82+'Юнит 16'!AI82+'Юнит 17'!AI82+'Юнит 18'!AI82</f>
        <v>516</v>
      </c>
      <c r="AJ82" s="89">
        <f>'Юнит 14'!AJ82+'Юнит 15'!AJ82+'Юнит 16'!AJ82+'Юнит 17'!AJ82+'Юнит 18'!AJ82</f>
        <v>2970</v>
      </c>
      <c r="AK82" s="89">
        <f>'Юнит 14'!AK82+'Юнит 15'!AK82+'Юнит 16'!AK82+'Юнит 17'!AK82+'Юнит 18'!AK82</f>
        <v>0</v>
      </c>
      <c r="AL82" s="89">
        <f>'Юнит 14'!AL82+'Юнит 15'!AL82+'Юнит 16'!AL82+'Юнит 17'!AL82+'Юнит 18'!AL82</f>
        <v>198.18494784748572</v>
      </c>
      <c r="AM82" s="89">
        <f>'Юнит 14'!AM82+'Юнит 15'!AM82+'Юнит 16'!AM82+'Юнит 17'!AM82+'Юнит 18'!AM82</f>
        <v>0</v>
      </c>
      <c r="AN82" s="94">
        <f t="shared" si="63"/>
        <v>191.11541299999999</v>
      </c>
      <c r="AO82" s="95">
        <f t="shared" si="64"/>
        <v>-2280.2503608474858</v>
      </c>
      <c r="AP82" s="96"/>
      <c r="AQ82" s="97">
        <f t="shared" si="5"/>
        <v>1165.115</v>
      </c>
      <c r="AR82" s="98">
        <f t="shared" si="34"/>
        <v>128.94</v>
      </c>
      <c r="AS82" s="98">
        <f t="shared" si="7"/>
        <v>446.10249999999996</v>
      </c>
      <c r="AT82" s="98">
        <f t="shared" si="8"/>
        <v>191.31</v>
      </c>
      <c r="AU82" s="98">
        <f t="shared" si="66"/>
        <v>871.5</v>
      </c>
      <c r="AV82" s="98">
        <f t="array" ref="AV82">_xlfn.IFS(U82=0,AO82,U82&lt;0,AO82/-U82,U82&gt;0,AO82/U82)</f>
        <v>-570.06259021187145</v>
      </c>
      <c r="AW82" s="234">
        <f t="shared" si="46"/>
        <v>-0.48927581415729043</v>
      </c>
      <c r="AX82" s="234">
        <f t="shared" si="47"/>
        <v>-4.4211461936704781</v>
      </c>
      <c r="AY82" s="99"/>
      <c r="AZ82" s="94">
        <f t="shared" si="11"/>
        <v>-23942.628788898601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0"/>
        <v>43</v>
      </c>
      <c r="F83" s="93" t="str">
        <f>'Юнит 18'!F83</f>
        <v/>
      </c>
      <c r="G83" s="93">
        <f>'Юнит 18'!G83</f>
        <v>1</v>
      </c>
      <c r="H83" s="93">
        <f>'Юнит 18'!H83</f>
        <v>41</v>
      </c>
      <c r="I83" s="93">
        <f>'Юнит 18'!I83</f>
        <v>0</v>
      </c>
      <c r="J83" s="93">
        <f>'Юнит 18'!J83</f>
        <v>1</v>
      </c>
      <c r="K83" s="93">
        <v>123.09</v>
      </c>
      <c r="L83" s="92">
        <f t="shared" si="45"/>
        <v>5292.87</v>
      </c>
      <c r="M83" s="89">
        <f>'Юнит 18'!M83</f>
        <v>999</v>
      </c>
      <c r="N83" s="89">
        <f>'Юнит 14'!N83+'Юнит 15'!N83+'Юнит 16'!N83+'Юнит 17'!N83+'Юнит 18'!N83</f>
        <v>9</v>
      </c>
      <c r="O83" s="89">
        <v>1375</v>
      </c>
      <c r="P83" s="89">
        <v>14</v>
      </c>
      <c r="Q83" s="406">
        <f t="shared" si="65"/>
        <v>0.22222222222222221</v>
      </c>
      <c r="R83" s="92">
        <f t="shared" si="55"/>
        <v>0.2857142857142857</v>
      </c>
      <c r="S83" s="89">
        <f>'Юнит 14'!S83+'Юнит 15'!S83+'Юнит 16'!S83+'Юнит 17'!S83+'Юнит 18'!S83</f>
        <v>2</v>
      </c>
      <c r="T83" s="89">
        <f>'Юнит 14'!T83+'Юнит 15'!T83+'Юнит 16'!T83+'Юнит 17'!T83+'Юнит 18'!T83</f>
        <v>0</v>
      </c>
      <c r="U83" s="92">
        <f t="shared" si="56"/>
        <v>2</v>
      </c>
      <c r="V83" s="89">
        <f>'Юнит 14'!V83+'Юнит 15'!V83+'Юнит 16'!V83+'Юнит 17'!V83+'Юнит 18'!V83</f>
        <v>1859</v>
      </c>
      <c r="W83" s="89">
        <f>'Юнит 14'!W83+'Юнит 15'!W83+'Юнит 16'!W83+'Юнит 17'!W83+'Юнит 18'!W83</f>
        <v>0</v>
      </c>
      <c r="X83" s="92">
        <f t="shared" si="57"/>
        <v>1859</v>
      </c>
      <c r="Y83" s="89">
        <f>'Юнит 14'!Y83+'Юнит 15'!Y83+'Юнит 16'!Y83+'Юнит 17'!Y83+'Юнит 18'!Y83</f>
        <v>2750</v>
      </c>
      <c r="Z83" s="89">
        <f>'Юнит 14'!Z83+'Юнит 15'!Z83+'Юнит 16'!Z83+'Юнит 17'!Z83+'Юнит 18'!Z83</f>
        <v>0</v>
      </c>
      <c r="AA83" s="232">
        <f t="shared" si="58"/>
        <v>2750</v>
      </c>
      <c r="AB83" s="92">
        <f t="shared" si="59"/>
        <v>1732.5</v>
      </c>
      <c r="AC83" s="234">
        <f t="shared" si="60"/>
        <v>1.8216963866087119E-4</v>
      </c>
      <c r="AD83" s="92">
        <f t="shared" si="61"/>
        <v>246.18</v>
      </c>
      <c r="AE83" s="89">
        <f>'Юнит 14'!AE83+'Юнит 15'!AE83+'Юнит 16'!AE83+'Юнит 17'!AE83+'Юнит 18'!AE83</f>
        <v>1051.9000000000001</v>
      </c>
      <c r="AF83" s="234">
        <f t="shared" si="62"/>
        <v>0.38250909090909097</v>
      </c>
      <c r="AG83" s="89">
        <f>'Юнит 14'!AG83+'Юнит 15'!AG83+'Юнит 16'!AG83+'Юнит 17'!AG83+'Юнит 18'!AG83</f>
        <v>1011.5299999999999</v>
      </c>
      <c r="AH83" s="89">
        <f>'Юнит 14'!AH83+'Юнит 15'!AH83+'Юнит 16'!AH83+'Юнит 17'!AH83+'Юнит 18'!AH83</f>
        <v>0</v>
      </c>
      <c r="AI83" s="89">
        <f>'Юнит 14'!AI83+'Юнит 15'!AI83+'Юнит 16'!AI83+'Юнит 17'!AI83+'Юнит 18'!AI83</f>
        <v>0</v>
      </c>
      <c r="AJ83" s="89">
        <f>'Юнит 14'!AJ83+'Юнит 15'!AJ83+'Юнит 16'!AJ83+'Юнит 17'!AJ83+'Юнит 18'!AJ83</f>
        <v>0</v>
      </c>
      <c r="AK83" s="89">
        <f>'Юнит 14'!AK83+'Юнит 15'!AK83+'Юнит 16'!AK83+'Юнит 17'!AK83+'Юнит 18'!AK83</f>
        <v>0</v>
      </c>
      <c r="AL83" s="89">
        <f>'Юнит 14'!AL83+'Юнит 15'!AL83+'Юнит 16'!AL83+'Юнит 17'!AL83+'Юнит 18'!AL83</f>
        <v>196.65973872519535</v>
      </c>
      <c r="AM83" s="89">
        <f>'Юнит 14'!AM83+'Юнит 15'!AM83+'Юнит 16'!AM83+'Юнит 17'!AM83+'Юнит 18'!AM83</f>
        <v>0</v>
      </c>
      <c r="AN83" s="94">
        <f t="shared" si="63"/>
        <v>106.1489</v>
      </c>
      <c r="AO83" s="95">
        <f t="shared" si="64"/>
        <v>137.58136127480486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525.95000000000005</v>
      </c>
      <c r="AT83" s="98">
        <f t="shared" si="8"/>
        <v>505.76499999999993</v>
      </c>
      <c r="AU83" s="98">
        <f t="shared" si="66"/>
        <v>0</v>
      </c>
      <c r="AV83" s="98">
        <f t="array" ref="AV83">_xlfn.IFS(U83=0,AO83,U83&lt;0,AO83/-U83,U83&gt;0,AO83/U83)</f>
        <v>68.790680637402431</v>
      </c>
      <c r="AW83" s="234">
        <f t="shared" si="46"/>
        <v>5.002958591811086E-2</v>
      </c>
      <c r="AX83" s="234">
        <f t="shared" si="47"/>
        <v>0.55886490078318651</v>
      </c>
      <c r="AY83" s="99"/>
      <c r="AZ83" s="94">
        <f t="shared" si="11"/>
        <v>2957.9992674083046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0"/>
        <v>41</v>
      </c>
      <c r="F84" s="93">
        <f>'Юнит 18'!F84</f>
        <v>1</v>
      </c>
      <c r="G84" s="93">
        <f>'Юнит 18'!G84</f>
        <v>1</v>
      </c>
      <c r="H84" s="93">
        <f>'Юнит 18'!H84</f>
        <v>38</v>
      </c>
      <c r="I84" s="93">
        <f>'Юнит 18'!I84</f>
        <v>0</v>
      </c>
      <c r="J84" s="93">
        <f>'Юнит 18'!J84</f>
        <v>1</v>
      </c>
      <c r="K84" s="93">
        <v>146.49</v>
      </c>
      <c r="L84" s="92">
        <f t="shared" si="45"/>
        <v>6006.09</v>
      </c>
      <c r="M84" s="89">
        <f>'Юнит 18'!M84</f>
        <v>999</v>
      </c>
      <c r="N84" s="89">
        <f>'Юнит 14'!N84+'Юнит 15'!N84+'Юнит 16'!N84+'Юнит 17'!N84+'Юнит 18'!N84</f>
        <v>36</v>
      </c>
      <c r="O84" s="89">
        <v>1419</v>
      </c>
      <c r="P84" s="89">
        <v>17</v>
      </c>
      <c r="Q84" s="406">
        <f t="shared" si="65"/>
        <v>0.19444444444444445</v>
      </c>
      <c r="R84" s="92">
        <f t="shared" si="55"/>
        <v>1</v>
      </c>
      <c r="S84" s="89">
        <f>'Юнит 14'!S84+'Юнит 15'!S84+'Юнит 16'!S84+'Юнит 17'!S84+'Юнит 18'!S84</f>
        <v>8</v>
      </c>
      <c r="T84" s="89">
        <f>'Юнит 14'!T84+'Юнит 15'!T84+'Юнит 16'!T84+'Юнит 17'!T84+'Юнит 18'!T84</f>
        <v>-1</v>
      </c>
      <c r="U84" s="92">
        <f t="shared" si="56"/>
        <v>7</v>
      </c>
      <c r="V84" s="89">
        <f>'Юнит 14'!V84+'Юнит 15'!V84+'Юнит 16'!V84+'Юнит 17'!V84+'Юнит 18'!V84</f>
        <v>7618.45</v>
      </c>
      <c r="W84" s="89">
        <f>'Юнит 14'!W84+'Юнит 15'!W84+'Юнит 16'!W84+'Юнит 17'!W84+'Юнит 18'!W84</f>
        <v>-840</v>
      </c>
      <c r="X84" s="92">
        <f t="shared" si="57"/>
        <v>6778.45</v>
      </c>
      <c r="Y84" s="89">
        <f>'Юнит 14'!Y84+'Юнит 15'!Y84+'Юнит 16'!Y84+'Юнит 17'!Y84+'Юнит 18'!Y84</f>
        <v>11416.43</v>
      </c>
      <c r="Z84" s="89">
        <f>'Юнит 14'!Z84+'Юнит 15'!Z84+'Юнит 16'!Z84+'Юнит 17'!Z84+'Юнит 18'!Z84</f>
        <v>-1410</v>
      </c>
      <c r="AA84" s="232">
        <f t="shared" si="58"/>
        <v>10006.43</v>
      </c>
      <c r="AB84" s="92">
        <f t="shared" si="59"/>
        <v>8684.2800000000007</v>
      </c>
      <c r="AC84" s="234">
        <f t="shared" si="60"/>
        <v>6.6286099541283683E-4</v>
      </c>
      <c r="AD84" s="92">
        <f t="shared" si="61"/>
        <v>1025.43</v>
      </c>
      <c r="AE84" s="89">
        <f>'Юнит 14'!AE84+'Юнит 15'!AE84+'Юнит 16'!AE84+'Юнит 17'!AE84+'Юнит 18'!AE84</f>
        <v>3814.24</v>
      </c>
      <c r="AF84" s="234">
        <f t="shared" si="62"/>
        <v>0.38117890196603582</v>
      </c>
      <c r="AG84" s="89">
        <f>'Юнит 14'!AG84+'Юнит 15'!AG84+'Юнит 16'!AG84+'Юнит 17'!AG84+'Юнит 18'!AG84</f>
        <v>3798.2699999999995</v>
      </c>
      <c r="AH84" s="89">
        <f>'Юнит 14'!AH84+'Юнит 15'!AH84+'Юнит 16'!AH84+'Юнит 17'!AH84+'Юнит 18'!AH84</f>
        <v>0</v>
      </c>
      <c r="AI84" s="89">
        <f>'Юнит 14'!AI84+'Юнит 15'!AI84+'Юнит 16'!AI84+'Юнит 17'!AI84+'Юнит 18'!AI84</f>
        <v>4000</v>
      </c>
      <c r="AJ84" s="89">
        <f>'Юнит 14'!AJ84+'Юнит 15'!AJ84+'Юнит 16'!AJ84+'Юнит 17'!AJ84+'Юнит 18'!AJ84</f>
        <v>0</v>
      </c>
      <c r="AK84" s="89">
        <f>'Юнит 14'!AK84+'Юнит 15'!AK84+'Юнит 16'!AK84+'Юнит 17'!AK84+'Юнит 18'!AK84</f>
        <v>0</v>
      </c>
      <c r="AL84" s="89">
        <f>'Юнит 14'!AL84+'Юнит 15'!AL84+'Юнит 16'!AL84+'Юнит 17'!AL84+'Юнит 18'!AL84</f>
        <v>167.72808142581152</v>
      </c>
      <c r="AM84" s="89">
        <f>'Юнит 14'!AM84+'Юнит 15'!AM84+'Юнит 16'!AM84+'Юнит 17'!AM84+'Юнит 18'!AM84</f>
        <v>0</v>
      </c>
      <c r="AN84" s="94">
        <f t="shared" si="63"/>
        <v>387.04949499999998</v>
      </c>
      <c r="AO84" s="95">
        <f t="shared" si="64"/>
        <v>-3186.2875764258106</v>
      </c>
      <c r="AP84" s="96"/>
      <c r="AQ84" s="97">
        <f t="shared" si="5"/>
        <v>1429.49</v>
      </c>
      <c r="AR84" s="98">
        <f t="shared" si="34"/>
        <v>146.49</v>
      </c>
      <c r="AS84" s="98">
        <f t="shared" si="7"/>
        <v>544.89142857142849</v>
      </c>
      <c r="AT84" s="98">
        <f t="shared" si="8"/>
        <v>474.78374999999994</v>
      </c>
      <c r="AU84" s="98">
        <f t="shared" si="66"/>
        <v>500</v>
      </c>
      <c r="AV84" s="98">
        <f t="array" ref="AV84">_xlfn.IFS(U84=0,AO84,U84&lt;0,AO84/-U84,U84&gt;0,AO84/U84)</f>
        <v>-455.1839394894015</v>
      </c>
      <c r="AW84" s="234">
        <f t="shared" si="46"/>
        <v>-0.31842401100350581</v>
      </c>
      <c r="AX84" s="234">
        <f t="shared" si="47"/>
        <v>-3.1072697077575362</v>
      </c>
      <c r="AY84" s="99"/>
      <c r="AZ84" s="94">
        <f t="shared" si="11"/>
        <v>-18662.54151906546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0"/>
        <v>34</v>
      </c>
      <c r="F85" s="93">
        <f>'Юнит 18'!F85</f>
        <v>1</v>
      </c>
      <c r="G85" s="93">
        <f>'Юнит 18'!G85</f>
        <v>1</v>
      </c>
      <c r="H85" s="93">
        <f>'Юнит 18'!H85</f>
        <v>31</v>
      </c>
      <c r="I85" s="93">
        <f>'Юнит 18'!I85</f>
        <v>0</v>
      </c>
      <c r="J85" s="93">
        <f>'Юнит 18'!J85</f>
        <v>1</v>
      </c>
      <c r="K85" s="93">
        <v>103.2</v>
      </c>
      <c r="L85" s="92">
        <f t="shared" si="45"/>
        <v>3508.8</v>
      </c>
      <c r="M85" s="89">
        <f>'Юнит 18'!M85</f>
        <v>999</v>
      </c>
      <c r="N85" s="89">
        <f>'Юнит 14'!N85+'Юнит 15'!N85+'Юнит 16'!N85+'Юнит 17'!N85+'Юнит 18'!N85</f>
        <v>12</v>
      </c>
      <c r="O85" s="89">
        <v>927</v>
      </c>
      <c r="P85" s="89">
        <v>17</v>
      </c>
      <c r="Q85" s="406">
        <f t="shared" si="65"/>
        <v>8.3333333333333329E-2</v>
      </c>
      <c r="R85" s="92">
        <f t="shared" si="55"/>
        <v>0.14285714285714285</v>
      </c>
      <c r="S85" s="89">
        <f>'Юнит 14'!S85+'Юнит 15'!S85+'Юнит 16'!S85+'Юнит 17'!S85+'Юнит 18'!S85</f>
        <v>1</v>
      </c>
      <c r="T85" s="89">
        <f>'Юнит 14'!T85+'Юнит 15'!T85+'Юнит 16'!T85+'Юнит 17'!T85+'Юнит 18'!T85</f>
        <v>0</v>
      </c>
      <c r="U85" s="92">
        <f t="shared" si="56"/>
        <v>1</v>
      </c>
      <c r="V85" s="89">
        <f>'Юнит 14'!V85+'Юнит 15'!V85+'Юнит 16'!V85+'Юнит 17'!V85+'Юнит 18'!V85</f>
        <v>661</v>
      </c>
      <c r="W85" s="89">
        <f>'Юнит 14'!W85+'Юнит 15'!W85+'Юнит 16'!W85+'Юнит 17'!W85+'Юнит 18'!W85</f>
        <v>0</v>
      </c>
      <c r="X85" s="92">
        <f t="shared" si="57"/>
        <v>661</v>
      </c>
      <c r="Y85" s="89">
        <f>'Юнит 14'!Y85+'Юнит 15'!Y85+'Юнит 16'!Y85+'Юнит 17'!Y85+'Юнит 18'!Y85</f>
        <v>900</v>
      </c>
      <c r="Z85" s="89">
        <f>'Юнит 14'!Z85+'Юнит 15'!Z85+'Юнит 16'!Z85+'Юнит 17'!Z85+'Юнит 18'!Z85</f>
        <v>0</v>
      </c>
      <c r="AA85" s="232">
        <f t="shared" si="58"/>
        <v>900</v>
      </c>
      <c r="AB85" s="92">
        <f t="shared" si="59"/>
        <v>1891.08</v>
      </c>
      <c r="AC85" s="234">
        <f t="shared" si="60"/>
        <v>5.9619154470830569E-5</v>
      </c>
      <c r="AD85" s="92">
        <f t="shared" si="61"/>
        <v>103.2</v>
      </c>
      <c r="AE85" s="89">
        <f>'Юнит 14'!AE85+'Юнит 15'!AE85+'Юнит 16'!AE85+'Юнит 17'!AE85+'Юнит 18'!AE85</f>
        <v>343.69000000000005</v>
      </c>
      <c r="AF85" s="234">
        <f t="shared" si="62"/>
        <v>0.38187777777777782</v>
      </c>
      <c r="AG85" s="89">
        <f>'Юнит 14'!AG85+'Юнит 15'!AG85+'Юнит 16'!AG85+'Юнит 17'!AG85+'Юнит 18'!AG85</f>
        <v>1401.84</v>
      </c>
      <c r="AH85" s="89">
        <f>'Юнит 14'!AH85+'Юнит 15'!AH85+'Юнит 16'!AH85+'Юнит 17'!AH85+'Юнит 18'!AH85</f>
        <v>480</v>
      </c>
      <c r="AI85" s="89">
        <f>'Юнит 14'!AI85+'Юнит 15'!AI85+'Юнит 16'!AI85+'Юнит 17'!AI85+'Юнит 18'!AI85</f>
        <v>2706</v>
      </c>
      <c r="AJ85" s="89">
        <f>'Юнит 14'!AJ85+'Юнит 15'!AJ85+'Юнит 16'!AJ85+'Юнит 17'!AJ85+'Юнит 18'!AJ85</f>
        <v>410</v>
      </c>
      <c r="AK85" s="89">
        <f>'Юнит 14'!AK85+'Юнит 15'!AK85+'Юнит 16'!AK85+'Юнит 17'!AK85+'Юнит 18'!AK85</f>
        <v>0</v>
      </c>
      <c r="AL85" s="89">
        <f>'Юнит 14'!AL85+'Юнит 15'!AL85+'Юнит 16'!AL85+'Юнит 17'!AL85+'Юнит 18'!AL85</f>
        <v>153.96347843860011</v>
      </c>
      <c r="AM85" s="89">
        <f>'Юнит 14'!AM85+'Юнит 15'!AM85+'Юнит 16'!AM85+'Юнит 17'!AM85+'Юнит 18'!AM85</f>
        <v>50</v>
      </c>
      <c r="AN85" s="94">
        <f t="shared" si="63"/>
        <v>37.743099999999998</v>
      </c>
      <c r="AO85" s="95">
        <f t="shared" si="64"/>
        <v>-4786.4365784385991</v>
      </c>
      <c r="AP85" s="96"/>
      <c r="AQ85" s="97">
        <f t="shared" si="5"/>
        <v>900</v>
      </c>
      <c r="AR85" s="98">
        <f t="shared" si="34"/>
        <v>103.2</v>
      </c>
      <c r="AS85" s="98">
        <f t="shared" si="7"/>
        <v>343.69000000000005</v>
      </c>
      <c r="AT85" s="98">
        <f t="shared" si="8"/>
        <v>1401.84</v>
      </c>
      <c r="AU85" s="98">
        <f t="shared" si="66"/>
        <v>3596</v>
      </c>
      <c r="AV85" s="98">
        <f t="array" ref="AV85">_xlfn.IFS(U85=0,AO85,U85&lt;0,AO85/-U85,U85&gt;0,AO85/U85)</f>
        <v>-4786.4365784385991</v>
      </c>
      <c r="AW85" s="234">
        <f t="shared" si="46"/>
        <v>-5.3182628649317767</v>
      </c>
      <c r="AX85" s="234">
        <f t="shared" si="47"/>
        <v>-46.380199403474798</v>
      </c>
      <c r="AY85" s="99"/>
      <c r="AZ85" s="94">
        <f t="shared" si="11"/>
        <v>-162738.84366691238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0"/>
        <v>36</v>
      </c>
      <c r="F86" s="93">
        <f>'Юнит 18'!F86</f>
        <v>8</v>
      </c>
      <c r="G86" s="93">
        <f>'Юнит 18'!G86</f>
        <v>1</v>
      </c>
      <c r="H86" s="93">
        <f>'Юнит 18'!H86</f>
        <v>26</v>
      </c>
      <c r="I86" s="93">
        <f>'Юнит 18'!I86</f>
        <v>0</v>
      </c>
      <c r="J86" s="93">
        <f>'Юнит 18'!J86</f>
        <v>1</v>
      </c>
      <c r="K86" s="93">
        <v>150</v>
      </c>
      <c r="L86" s="92">
        <f t="shared" si="45"/>
        <v>5400</v>
      </c>
      <c r="M86" s="89">
        <f>'Юнит 18'!M86</f>
        <v>107</v>
      </c>
      <c r="N86" s="89">
        <f>'Юнит 14'!N86+'Юнит 15'!N86+'Юнит 16'!N86+'Юнит 17'!N86+'Юнит 18'!N86</f>
        <v>30</v>
      </c>
      <c r="O86" s="89">
        <v>1101</v>
      </c>
      <c r="P86" s="89">
        <v>35</v>
      </c>
      <c r="Q86" s="406">
        <f t="shared" si="65"/>
        <v>0.26666666666666666</v>
      </c>
      <c r="R86" s="92">
        <f t="shared" si="55"/>
        <v>1.1428571428571428</v>
      </c>
      <c r="S86" s="89">
        <f>'Юнит 14'!S86+'Юнит 15'!S86+'Юнит 16'!S86+'Юнит 17'!S86+'Юнит 18'!S86</f>
        <v>8</v>
      </c>
      <c r="T86" s="89">
        <f>'Юнит 14'!T86+'Юнит 15'!T86+'Юнит 16'!T86+'Юнит 17'!T86+'Юнит 18'!T86</f>
        <v>0</v>
      </c>
      <c r="U86" s="92">
        <f t="shared" si="56"/>
        <v>8</v>
      </c>
      <c r="V86" s="89">
        <f>'Юнит 14'!V86+'Юнит 15'!V86+'Юнит 16'!V86+'Юнит 17'!V86+'Юнит 18'!V86</f>
        <v>6278</v>
      </c>
      <c r="W86" s="89">
        <f>'Юнит 14'!W86+'Юнит 15'!W86+'Юнит 16'!W86+'Юнит 17'!W86+'Юнит 18'!W86</f>
        <v>0</v>
      </c>
      <c r="X86" s="92">
        <f t="shared" si="57"/>
        <v>6278</v>
      </c>
      <c r="Y86" s="89">
        <f>'Юнит 14'!Y86+'Юнит 15'!Y86+'Юнит 16'!Y86+'Юнит 17'!Y86+'Юнит 18'!Y86</f>
        <v>8840</v>
      </c>
      <c r="Z86" s="89">
        <f>'Юнит 14'!Z86+'Юнит 15'!Z86+'Юнит 16'!Z86+'Юнит 17'!Z86+'Юнит 18'!Z86</f>
        <v>0</v>
      </c>
      <c r="AA86" s="232">
        <f t="shared" si="58"/>
        <v>8840</v>
      </c>
      <c r="AB86" s="92">
        <f t="shared" si="59"/>
        <v>11560.5</v>
      </c>
      <c r="AC86" s="234">
        <f t="shared" si="60"/>
        <v>5.8559258391349136E-4</v>
      </c>
      <c r="AD86" s="92">
        <f t="shared" si="61"/>
        <v>1200</v>
      </c>
      <c r="AE86" s="89">
        <f>'Юнит 14'!AE86+'Юнит 15'!AE86+'Юнит 16'!AE86+'Юнит 17'!AE86+'Юнит 18'!AE86</f>
        <v>3387.42</v>
      </c>
      <c r="AF86" s="234">
        <f t="shared" si="62"/>
        <v>0.38319230769230772</v>
      </c>
      <c r="AG86" s="89">
        <f>'Юнит 14'!AG86+'Юнит 15'!AG86+'Юнит 16'!AG86+'Юнит 17'!AG86+'Юнит 18'!AG86</f>
        <v>2376.7799999999997</v>
      </c>
      <c r="AH86" s="89">
        <f>'Юнит 14'!AH86+'Юнит 15'!AH86+'Юнит 16'!AH86+'Юнит 17'!AH86+'Юнит 18'!AH86</f>
        <v>0</v>
      </c>
      <c r="AI86" s="89">
        <f>'Юнит 14'!AI86+'Юнит 15'!AI86+'Юнит 16'!AI86+'Юнит 17'!AI86+'Юнит 18'!AI86</f>
        <v>2325</v>
      </c>
      <c r="AJ86" s="89">
        <f>'Юнит 14'!AJ86+'Юнит 15'!AJ86+'Юнит 16'!AJ86+'Юнит 17'!AJ86+'Юнит 18'!AJ86</f>
        <v>931</v>
      </c>
      <c r="AK86" s="89">
        <f>'Юнит 14'!AK86+'Юнит 15'!AK86+'Юнит 16'!AK86+'Юнит 17'!AK86+'Юнит 18'!AK86</f>
        <v>0</v>
      </c>
      <c r="AL86" s="89">
        <f>'Юнит 14'!AL86+'Юнит 15'!AL86+'Юнит 16'!AL86+'Юнит 17'!AL86+'Юнит 18'!AL86</f>
        <v>162.69780689525618</v>
      </c>
      <c r="AM86" s="89">
        <f>'Юнит 14'!AM86+'Юнит 15'!AM86+'Юнит 16'!AM86+'Юнит 17'!AM86+'Юнит 18'!AM86</f>
        <v>0</v>
      </c>
      <c r="AN86" s="94">
        <f t="shared" si="63"/>
        <v>358.47379999999998</v>
      </c>
      <c r="AO86" s="95">
        <f t="shared" si="64"/>
        <v>-1901.371606895256</v>
      </c>
      <c r="AP86" s="96"/>
      <c r="AQ86" s="97">
        <f t="shared" si="5"/>
        <v>1105</v>
      </c>
      <c r="AR86" s="98">
        <f t="shared" si="34"/>
        <v>150</v>
      </c>
      <c r="AS86" s="98">
        <f t="shared" si="7"/>
        <v>423.42750000000001</v>
      </c>
      <c r="AT86" s="98">
        <f t="shared" si="8"/>
        <v>297.09749999999997</v>
      </c>
      <c r="AU86" s="98">
        <f t="shared" si="66"/>
        <v>407</v>
      </c>
      <c r="AV86" s="98">
        <f t="array" ref="AV86">_xlfn.IFS(U86=0,AO86,U86&lt;0,AO86/-U86,U86&gt;0,AO86/U86)</f>
        <v>-237.671450861907</v>
      </c>
      <c r="AW86" s="234">
        <f t="shared" si="46"/>
        <v>-0.21508728584787964</v>
      </c>
      <c r="AX86" s="234">
        <f t="shared" si="47"/>
        <v>-1.5844763390793801</v>
      </c>
      <c r="AY86" s="99"/>
      <c r="AZ86" s="94">
        <f t="shared" si="11"/>
        <v>-8556.1722310286514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0"/>
        <v>5</v>
      </c>
      <c r="F87" s="93">
        <f>'Юнит 18'!F87</f>
        <v>1</v>
      </c>
      <c r="G87" s="93">
        <f>'Юнит 18'!G87</f>
        <v>2</v>
      </c>
      <c r="H87" s="93">
        <f>'Юнит 18'!H87</f>
        <v>1</v>
      </c>
      <c r="I87" s="93">
        <f>'Юнит 18'!I87</f>
        <v>0</v>
      </c>
      <c r="J87" s="93">
        <f>'Юнит 18'!J87</f>
        <v>1</v>
      </c>
      <c r="K87" s="93">
        <v>150</v>
      </c>
      <c r="L87" s="92">
        <f t="shared" si="45"/>
        <v>750</v>
      </c>
      <c r="M87" s="89">
        <f>'Юнит 18'!M87</f>
        <v>999</v>
      </c>
      <c r="N87" s="89">
        <f>'Юнит 14'!N87+'Юнит 15'!N87+'Юнит 16'!N87+'Юнит 17'!N87+'Юнит 18'!N87</f>
        <v>35</v>
      </c>
      <c r="O87" s="89">
        <v>1056</v>
      </c>
      <c r="P87" s="89">
        <v>36</v>
      </c>
      <c r="Q87" s="406">
        <f t="shared" si="65"/>
        <v>0.31428571428571428</v>
      </c>
      <c r="R87" s="92">
        <f t="shared" si="55"/>
        <v>1.5714285714285714</v>
      </c>
      <c r="S87" s="89">
        <f>'Юнит 14'!S87+'Юнит 15'!S87+'Юнит 16'!S87+'Юнит 17'!S87+'Юнит 18'!S87</f>
        <v>13</v>
      </c>
      <c r="T87" s="89">
        <f>'Юнит 14'!T87+'Юнит 15'!T87+'Юнит 16'!T87+'Юнит 17'!T87+'Юнит 18'!T87</f>
        <v>-2</v>
      </c>
      <c r="U87" s="92">
        <f t="shared" si="56"/>
        <v>11</v>
      </c>
      <c r="V87" s="89">
        <f>'Юнит 14'!V87+'Юнит 15'!V87+'Юнит 16'!V87+'Юнит 17'!V87+'Юнит 18'!V87</f>
        <v>9413.91</v>
      </c>
      <c r="W87" s="89">
        <f>'Юнит 14'!W87+'Юнит 15'!W87+'Юнит 16'!W87+'Юнит 17'!W87+'Юнит 18'!W87</f>
        <v>-1465</v>
      </c>
      <c r="X87" s="92">
        <f t="shared" si="57"/>
        <v>7948.91</v>
      </c>
      <c r="Y87" s="89">
        <f>'Юнит 14'!Y87+'Юнит 15'!Y87+'Юнит 16'!Y87+'Юнит 17'!Y87+'Юнит 18'!Y87</f>
        <v>13705.779999999999</v>
      </c>
      <c r="Z87" s="89">
        <f>'Юнит 14'!Z87+'Юнит 15'!Z87+'Юнит 16'!Z87+'Юнит 17'!Z87+'Юнит 18'!Z87</f>
        <v>-2112</v>
      </c>
      <c r="AA87" s="232">
        <f t="shared" si="58"/>
        <v>11593.779999999999</v>
      </c>
      <c r="AB87" s="92">
        <f t="shared" si="59"/>
        <v>13305.6</v>
      </c>
      <c r="AC87" s="234">
        <f t="shared" si="60"/>
        <v>7.6801262302314001E-4</v>
      </c>
      <c r="AD87" s="92">
        <f t="shared" si="61"/>
        <v>1650</v>
      </c>
      <c r="AE87" s="89">
        <f>'Юнит 14'!AE87+'Юнит 15'!AE87+'Юнит 16'!AE87+'Юнит 17'!AE87+'Юнит 18'!AE87</f>
        <v>4392.3499999999995</v>
      </c>
      <c r="AF87" s="234">
        <f t="shared" si="62"/>
        <v>0.37885400619987614</v>
      </c>
      <c r="AG87" s="89">
        <f>'Юнит 14'!AG87+'Юнит 15'!AG87+'Юнит 16'!AG87+'Юнит 17'!AG87+'Юнит 18'!AG87</f>
        <v>3088.88</v>
      </c>
      <c r="AH87" s="89">
        <f>'Юнит 14'!AH87+'Юнит 15'!AH87+'Юнит 16'!AH87+'Юнит 17'!AH87+'Юнит 18'!AH87</f>
        <v>0</v>
      </c>
      <c r="AI87" s="89">
        <f>'Юнит 14'!AI87+'Юнит 15'!AI87+'Юнит 16'!AI87+'Юнит 17'!AI87+'Юнит 18'!AI87</f>
        <v>0</v>
      </c>
      <c r="AJ87" s="89">
        <f>'Юнит 14'!AJ87+'Юнит 15'!AJ87+'Юнит 16'!AJ87+'Юнит 17'!AJ87+'Юнит 18'!AJ87</f>
        <v>0</v>
      </c>
      <c r="AK87" s="89">
        <f>'Юнит 14'!AK87+'Юнит 15'!AK87+'Юнит 16'!AK87+'Юнит 17'!AK87+'Юнит 18'!AK87</f>
        <v>0</v>
      </c>
      <c r="AL87" s="89">
        <f>'Юнит 14'!AL87+'Юнит 15'!AL87+'Юнит 16'!AL87+'Юнит 17'!AL87+'Юнит 18'!AL87</f>
        <v>12.74822570106492</v>
      </c>
      <c r="AM87" s="89">
        <f>'Юнит 14'!AM87+'Юнит 15'!AM87+'Юнит 16'!AM87+'Юнит 17'!AM87+'Юнит 18'!AM87</f>
        <v>0</v>
      </c>
      <c r="AN87" s="94">
        <f t="shared" si="63"/>
        <v>453.88276099999996</v>
      </c>
      <c r="AO87" s="95">
        <f t="shared" si="64"/>
        <v>1995.9190132989347</v>
      </c>
      <c r="AP87" s="96"/>
      <c r="AQ87" s="97">
        <f t="shared" si="5"/>
        <v>1053.9799999999998</v>
      </c>
      <c r="AR87" s="98">
        <f t="shared" si="34"/>
        <v>150</v>
      </c>
      <c r="AS87" s="98">
        <f t="shared" si="7"/>
        <v>399.3045454545454</v>
      </c>
      <c r="AT87" s="98">
        <f t="shared" si="8"/>
        <v>237.60615384615386</v>
      </c>
      <c r="AU87" s="98">
        <f t="shared" si="66"/>
        <v>0</v>
      </c>
      <c r="AV87" s="98">
        <f t="array" ref="AV87">_xlfn.IFS(U87=0,AO87,U87&lt;0,AO87/-U87,U87&gt;0,AO87/U87)</f>
        <v>181.4471830271759</v>
      </c>
      <c r="AW87" s="234">
        <f t="shared" si="46"/>
        <v>0.17215429422491502</v>
      </c>
      <c r="AX87" s="234">
        <f t="shared" si="47"/>
        <v>1.2096478868478393</v>
      </c>
      <c r="AY87" s="99"/>
      <c r="AZ87" s="94">
        <f t="shared" si="11"/>
        <v>907.23591513587951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0"/>
        <v>3</v>
      </c>
      <c r="F88" s="93">
        <f>'Юнит 18'!F88</f>
        <v>2</v>
      </c>
      <c r="G88" s="93" t="str">
        <f>'Юнит 18'!G88</f>
        <v/>
      </c>
      <c r="H88" s="93" t="str">
        <f>'Юнит 18'!H88</f>
        <v/>
      </c>
      <c r="I88" s="93">
        <f>'Юнит 18'!I88</f>
        <v>0</v>
      </c>
      <c r="J88" s="93">
        <f>'Юнит 18'!J88</f>
        <v>1</v>
      </c>
      <c r="K88" s="93">
        <v>150</v>
      </c>
      <c r="L88" s="92">
        <f t="shared" si="45"/>
        <v>450</v>
      </c>
      <c r="M88" s="89">
        <f>'Юнит 18'!M88</f>
        <v>999</v>
      </c>
      <c r="N88" s="89">
        <f>'Юнит 14'!N88+'Юнит 15'!N88+'Юнит 16'!N88+'Юнит 17'!N88+'Юнит 18'!N88</f>
        <v>6</v>
      </c>
      <c r="O88" s="89">
        <v>1257</v>
      </c>
      <c r="P88" s="89">
        <v>0</v>
      </c>
      <c r="Q88" s="406">
        <f t="shared" si="65"/>
        <v>0.16666666666666666</v>
      </c>
      <c r="R88" s="92">
        <f t="shared" si="55"/>
        <v>0.14285714285714285</v>
      </c>
      <c r="S88" s="89">
        <f>'Юнит 14'!S88+'Юнит 15'!S88+'Юнит 16'!S88+'Юнит 17'!S88+'Юнит 18'!S88</f>
        <v>1</v>
      </c>
      <c r="T88" s="89">
        <f>'Юнит 14'!T88+'Юнит 15'!T88+'Юнит 16'!T88+'Юнит 17'!T88+'Юнит 18'!T88</f>
        <v>0</v>
      </c>
      <c r="U88" s="92">
        <f t="shared" si="56"/>
        <v>1</v>
      </c>
      <c r="V88" s="89">
        <f>'Юнит 14'!V88+'Юнит 15'!V88+'Юнит 16'!V88+'Юнит 17'!V88+'Юнит 18'!V88</f>
        <v>807</v>
      </c>
      <c r="W88" s="89">
        <f>'Юнит 14'!W88+'Юнит 15'!W88+'Юнит 16'!W88+'Юнит 17'!W88+'Юнит 18'!W88</f>
        <v>0</v>
      </c>
      <c r="X88" s="92">
        <f t="shared" si="57"/>
        <v>807</v>
      </c>
      <c r="Y88" s="89">
        <f>'Юнит 14'!Y88+'Юнит 15'!Y88+'Юнит 16'!Y88+'Юнит 17'!Y88+'Юнит 18'!Y88</f>
        <v>1257</v>
      </c>
      <c r="Z88" s="89">
        <f>'Юнит 14'!Z88+'Юнит 15'!Z88+'Юнит 16'!Z88+'Юнит 17'!Z88+'Юнит 18'!Z88</f>
        <v>0</v>
      </c>
      <c r="AA88" s="232">
        <f t="shared" si="58"/>
        <v>1257</v>
      </c>
      <c r="AB88" s="92">
        <f t="shared" si="59"/>
        <v>0</v>
      </c>
      <c r="AC88" s="234">
        <f t="shared" si="60"/>
        <v>8.326808574426003E-5</v>
      </c>
      <c r="AD88" s="92">
        <f t="shared" si="61"/>
        <v>150</v>
      </c>
      <c r="AE88" s="89">
        <f>'Юнит 14'!AE88+'Юнит 15'!AE88+'Юнит 16'!AE88+'Юнит 17'!AE88+'Юнит 18'!AE88</f>
        <v>475.37</v>
      </c>
      <c r="AF88" s="234">
        <f t="shared" si="62"/>
        <v>0.37817820206841685</v>
      </c>
      <c r="AG88" s="89">
        <f>'Юнит 14'!AG88+'Юнит 15'!AG88+'Юнит 16'!AG88+'Юнит 17'!AG88+'Юнит 18'!AG88</f>
        <v>486.77</v>
      </c>
      <c r="AH88" s="89">
        <f>'Юнит 14'!AH88+'Юнит 15'!AH88+'Юнит 16'!AH88+'Юнит 17'!AH88+'Юнит 18'!AH88</f>
        <v>0</v>
      </c>
      <c r="AI88" s="89">
        <f>'Юнит 14'!AI88+'Юнит 15'!AI88+'Юнит 16'!AI88+'Юнит 17'!AI88+'Юнит 18'!AI88</f>
        <v>0</v>
      </c>
      <c r="AJ88" s="89">
        <f>'Юнит 14'!AJ88+'Юнит 15'!AJ88+'Юнит 16'!AJ88+'Юнит 17'!AJ88+'Юнит 18'!AJ88</f>
        <v>0</v>
      </c>
      <c r="AK88" s="89">
        <f>'Юнит 14'!AK88+'Юнит 15'!AK88+'Юнит 16'!AK88+'Юнит 17'!AK88+'Юнит 18'!AK88</f>
        <v>0</v>
      </c>
      <c r="AL88" s="89">
        <f>'Юнит 14'!AL88+'Юнит 15'!AL88+'Юнит 16'!AL88+'Юнит 17'!AL88+'Юнит 18'!AL88</f>
        <v>1.8065893028005666</v>
      </c>
      <c r="AM88" s="89">
        <f>'Юнит 14'!AM88+'Юнит 15'!AM88+'Юнит 16'!AM88+'Юнит 17'!AM88+'Юнит 18'!AM88</f>
        <v>0</v>
      </c>
      <c r="AN88" s="94">
        <f t="shared" si="63"/>
        <v>46.079699999999995</v>
      </c>
      <c r="AO88" s="95">
        <f t="shared" si="64"/>
        <v>96.973710697199436</v>
      </c>
      <c r="AP88" s="96"/>
      <c r="AQ88" s="97">
        <f t="shared" si="5"/>
        <v>1257</v>
      </c>
      <c r="AR88" s="98">
        <f t="shared" si="34"/>
        <v>150</v>
      </c>
      <c r="AS88" s="98">
        <f t="shared" si="7"/>
        <v>475.37</v>
      </c>
      <c r="AT88" s="98">
        <f t="shared" si="8"/>
        <v>486.77</v>
      </c>
      <c r="AU88" s="98">
        <f t="shared" si="66"/>
        <v>0</v>
      </c>
      <c r="AV88" s="98">
        <f t="array" ref="AV88">_xlfn.IFS(U88=0,AO88,U88&lt;0,AO88/-U88,U88&gt;0,AO88/U88)</f>
        <v>96.973710697199436</v>
      </c>
      <c r="AW88" s="234">
        <f t="shared" si="46"/>
        <v>7.714694566205206E-2</v>
      </c>
      <c r="AX88" s="234">
        <f t="shared" si="47"/>
        <v>0.64649140464799626</v>
      </c>
      <c r="AY88" s="99"/>
      <c r="AZ88" s="94">
        <f t="shared" si="11"/>
        <v>290.92113209159834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0"/>
        <v>7</v>
      </c>
      <c r="F89" s="93">
        <f>'Юнит 18'!F89</f>
        <v>2</v>
      </c>
      <c r="G89" s="93">
        <f>'Юнит 18'!G89</f>
        <v>2</v>
      </c>
      <c r="H89" s="93">
        <f>'Юнит 18'!H89</f>
        <v>2</v>
      </c>
      <c r="I89" s="93">
        <f>'Юнит 18'!I89</f>
        <v>0</v>
      </c>
      <c r="J89" s="93">
        <f>'Юнит 18'!J89</f>
        <v>1</v>
      </c>
      <c r="K89" s="93">
        <v>169.89</v>
      </c>
      <c r="L89" s="92">
        <f t="shared" si="45"/>
        <v>1189.23</v>
      </c>
      <c r="M89" s="89">
        <f>'Юнит 18'!M89</f>
        <v>29</v>
      </c>
      <c r="N89" s="89">
        <f>'Юнит 14'!N89+'Юнит 15'!N89+'Юнит 16'!N89+'Юнит 17'!N89+'Юнит 18'!N89</f>
        <v>29</v>
      </c>
      <c r="O89" s="89">
        <v>1504</v>
      </c>
      <c r="P89" s="89">
        <v>40</v>
      </c>
      <c r="Q89" s="406">
        <f t="shared" si="65"/>
        <v>0.51724137931034486</v>
      </c>
      <c r="R89" s="92">
        <f t="shared" si="55"/>
        <v>2.1428571428571428</v>
      </c>
      <c r="S89" s="89">
        <f>'Юнит 14'!S89+'Юнит 15'!S89+'Юнит 16'!S89+'Юнит 17'!S89+'Юнит 18'!S89</f>
        <v>15</v>
      </c>
      <c r="T89" s="89">
        <f>'Юнит 14'!T89+'Юнит 15'!T89+'Юнит 16'!T89+'Юнит 17'!T89+'Юнит 18'!T89</f>
        <v>0</v>
      </c>
      <c r="U89" s="92">
        <f t="shared" si="56"/>
        <v>15</v>
      </c>
      <c r="V89" s="89">
        <f>'Юнит 14'!V89+'Юнит 15'!V89+'Юнит 16'!V89+'Юнит 17'!V89+'Юнит 18'!V89</f>
        <v>14794</v>
      </c>
      <c r="W89" s="89">
        <f>'Юнит 14'!W89+'Юнит 15'!W89+'Юнит 16'!W89+'Юнит 17'!W89+'Юнит 18'!W89</f>
        <v>0</v>
      </c>
      <c r="X89" s="92">
        <f t="shared" si="57"/>
        <v>14794</v>
      </c>
      <c r="Y89" s="89">
        <f>'Юнит 14'!Y89+'Юнит 15'!Y89+'Юнит 16'!Y89+'Юнит 17'!Y89+'Юнит 18'!Y89</f>
        <v>22433</v>
      </c>
      <c r="Z89" s="89">
        <f>'Юнит 14'!Z89+'Юнит 15'!Z89+'Юнит 16'!Z89+'Юнит 17'!Z89+'Юнит 18'!Z89</f>
        <v>0</v>
      </c>
      <c r="AA89" s="232">
        <f t="shared" si="58"/>
        <v>22433</v>
      </c>
      <c r="AB89" s="92">
        <f t="shared" si="59"/>
        <v>17446.400000000001</v>
      </c>
      <c r="AC89" s="234">
        <f t="shared" si="60"/>
        <v>1.4860405469379358E-3</v>
      </c>
      <c r="AD89" s="92">
        <f t="shared" si="61"/>
        <v>2548.35</v>
      </c>
      <c r="AE89" s="89">
        <f>'Юнит 14'!AE89+'Юнит 15'!AE89+'Юнит 16'!AE89+'Юнит 17'!AE89+'Юнит 18'!AE89</f>
        <v>8517.3999999999978</v>
      </c>
      <c r="AF89" s="234">
        <f t="shared" si="62"/>
        <v>0.37968171889626878</v>
      </c>
      <c r="AG89" s="89">
        <f>'Юнит 14'!AG89+'Юнит 15'!AG89+'Юнит 16'!AG89+'Юнит 17'!AG89+'Юнит 18'!AG89</f>
        <v>2752.5299999999997</v>
      </c>
      <c r="AH89" s="89">
        <f>'Юнит 14'!AH89+'Юнит 15'!AH89+'Юнит 16'!AH89+'Юнит 17'!AH89+'Юнит 18'!AH89</f>
        <v>0</v>
      </c>
      <c r="AI89" s="89">
        <f>'Юнит 14'!AI89+'Юнит 15'!AI89+'Юнит 16'!AI89+'Юнит 17'!AI89+'Юнит 18'!AI89</f>
        <v>0</v>
      </c>
      <c r="AJ89" s="89">
        <f>'Юнит 14'!AJ89+'Юнит 15'!AJ89+'Юнит 16'!AJ89+'Юнит 17'!AJ89+'Юнит 18'!AJ89</f>
        <v>0</v>
      </c>
      <c r="AK89" s="89">
        <f>'Юнит 14'!AK89+'Юнит 15'!AK89+'Юнит 16'!AK89+'Юнит 17'!AK89+'Юнит 18'!AK89</f>
        <v>0</v>
      </c>
      <c r="AL89" s="89">
        <f>'Юнит 14'!AL89+'Юнит 15'!AL89+'Юнит 16'!AL89+'Юнит 17'!AL89+'Юнит 18'!AL89</f>
        <v>18.818299938873185</v>
      </c>
      <c r="AM89" s="89">
        <f>'Юнит 14'!AM89+'Юнит 15'!AM89+'Юнит 16'!AM89+'Юнит 17'!AM89+'Юнит 18'!AM89</f>
        <v>0</v>
      </c>
      <c r="AN89" s="94">
        <f t="shared" si="63"/>
        <v>844.73739999999998</v>
      </c>
      <c r="AO89" s="95">
        <f t="shared" si="64"/>
        <v>7751.1643000611311</v>
      </c>
      <c r="AP89" s="96"/>
      <c r="AQ89" s="97">
        <f t="shared" si="5"/>
        <v>1495.5333333333333</v>
      </c>
      <c r="AR89" s="98">
        <f t="shared" si="34"/>
        <v>169.89</v>
      </c>
      <c r="AS89" s="98">
        <f t="shared" si="7"/>
        <v>567.82666666666648</v>
      </c>
      <c r="AT89" s="98">
        <f t="shared" si="8"/>
        <v>183.50199999999998</v>
      </c>
      <c r="AU89" s="98">
        <f t="shared" si="66"/>
        <v>0</v>
      </c>
      <c r="AV89" s="98">
        <f t="array" ref="AV89">_xlfn.IFS(U89=0,AO89,U89&lt;0,AO89/-U89,U89&gt;0,AO89/U89)</f>
        <v>516.7442866707421</v>
      </c>
      <c r="AW89" s="234">
        <f t="shared" si="46"/>
        <v>0.34552508804266624</v>
      </c>
      <c r="AX89" s="234">
        <f t="shared" si="47"/>
        <v>3.041640394789229</v>
      </c>
      <c r="AY89" s="99"/>
      <c r="AZ89" s="94">
        <f t="shared" si="11"/>
        <v>3617.2100066951948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0"/>
        <v>49</v>
      </c>
      <c r="F90" s="93" t="str">
        <f>'Юнит 18'!F90</f>
        <v/>
      </c>
      <c r="G90" s="93" t="str">
        <f>'Юнит 18'!G90</f>
        <v/>
      </c>
      <c r="H90" s="93">
        <f>'Юнит 18'!H90</f>
        <v>48</v>
      </c>
      <c r="I90" s="93">
        <f>'Юнит 18'!I90</f>
        <v>0</v>
      </c>
      <c r="J90" s="93">
        <f>'Юнит 18'!J90</f>
        <v>1</v>
      </c>
      <c r="K90" s="93">
        <v>107.88</v>
      </c>
      <c r="L90" s="92">
        <f t="shared" si="45"/>
        <v>5286.12</v>
      </c>
      <c r="M90" s="89">
        <f>'Юнит 18'!M90</f>
        <v>999</v>
      </c>
      <c r="N90" s="89">
        <f>'Юнит 14'!N90+'Юнит 15'!N90+'Юнит 16'!N90+'Юнит 17'!N90+'Юнит 18'!N90</f>
        <v>1</v>
      </c>
      <c r="O90" s="89">
        <v>1077</v>
      </c>
      <c r="P90" s="89">
        <v>100</v>
      </c>
      <c r="Q90" s="406">
        <f t="shared" si="65"/>
        <v>2</v>
      </c>
      <c r="R90" s="92">
        <f t="shared" si="55"/>
        <v>0.2857142857142857</v>
      </c>
      <c r="S90" s="89">
        <f>'Юнит 14'!S90+'Юнит 15'!S90+'Юнит 16'!S90+'Юнит 17'!S90+'Юнит 18'!S90</f>
        <v>2</v>
      </c>
      <c r="T90" s="89">
        <f>'Юнит 14'!T90+'Юнит 15'!T90+'Юнит 16'!T90+'Юнит 17'!T90+'Юнит 18'!T90</f>
        <v>0</v>
      </c>
      <c r="U90" s="92">
        <f t="shared" si="56"/>
        <v>2</v>
      </c>
      <c r="V90" s="89">
        <f>'Юнит 14'!V90+'Юнит 15'!V90+'Юнит 16'!V90+'Юнит 17'!V90+'Юнит 18'!V90</f>
        <v>1387</v>
      </c>
      <c r="W90" s="89">
        <f>'Юнит 14'!W90+'Юнит 15'!W90+'Юнит 16'!W90+'Юнит 17'!W90+'Юнит 18'!W90</f>
        <v>0</v>
      </c>
      <c r="X90" s="92">
        <f t="shared" si="57"/>
        <v>1387</v>
      </c>
      <c r="Y90" s="89">
        <f>'Юнит 14'!Y90+'Юнит 15'!Y90+'Юнит 16'!Y90+'Юнит 17'!Y90+'Юнит 18'!Y90</f>
        <v>2154</v>
      </c>
      <c r="Z90" s="89">
        <f>'Юнит 14'!Z90+'Юнит 15'!Z90+'Юнит 16'!Z90+'Юнит 17'!Z90+'Юнит 18'!Z90</f>
        <v>0</v>
      </c>
      <c r="AA90" s="232">
        <f t="shared" si="58"/>
        <v>2154</v>
      </c>
      <c r="AB90" s="92">
        <f t="shared" si="59"/>
        <v>1077</v>
      </c>
      <c r="AC90" s="234">
        <f t="shared" si="60"/>
        <v>1.4268850970018785E-4</v>
      </c>
      <c r="AD90" s="92">
        <f t="shared" si="61"/>
        <v>215.76</v>
      </c>
      <c r="AE90" s="89">
        <f>'Юнит 14'!AE90+'Юнит 15'!AE90+'Юнит 16'!AE90+'Юнит 17'!AE90+'Юнит 18'!AE90</f>
        <v>814.76</v>
      </c>
      <c r="AF90" s="234">
        <f t="shared" si="62"/>
        <v>0.37825441039925717</v>
      </c>
      <c r="AG90" s="89">
        <f>'Юнит 14'!AG90+'Юнит 15'!AG90+'Юнит 16'!AG90+'Юнит 17'!AG90+'Юнит 18'!AG90</f>
        <v>120.06</v>
      </c>
      <c r="AH90" s="89">
        <f>'Юнит 14'!AH90+'Юнит 15'!AH90+'Юнит 16'!AH90+'Юнит 17'!AH90+'Юнит 18'!AH90</f>
        <v>0</v>
      </c>
      <c r="AI90" s="89">
        <f>'Юнит 14'!AI90+'Юнит 15'!AI90+'Юнит 16'!AI90+'Юнит 17'!AI90+'Юнит 18'!AI90</f>
        <v>0</v>
      </c>
      <c r="AJ90" s="89">
        <f>'Юнит 14'!AJ90+'Юнит 15'!AJ90+'Юнит 16'!AJ90+'Юнит 17'!AJ90+'Юнит 18'!AJ90</f>
        <v>0</v>
      </c>
      <c r="AK90" s="89">
        <f>'Юнит 14'!AK90+'Юнит 15'!AK90+'Юнит 16'!AK90+'Юнит 17'!AK90+'Юнит 18'!AK90</f>
        <v>0</v>
      </c>
      <c r="AL90" s="89">
        <f>'Юнит 14'!AL90+'Юнит 15'!AL90+'Юнит 16'!AL90+'Юнит 17'!AL90+'Юнит 18'!AL90</f>
        <v>231.32819731960325</v>
      </c>
      <c r="AM90" s="89">
        <f>'Юнит 14'!AM90+'Юнит 15'!AM90+'Юнит 16'!AM90+'Юнит 17'!AM90+'Юнит 18'!AM90</f>
        <v>0</v>
      </c>
      <c r="AN90" s="94">
        <f t="shared" si="63"/>
        <v>79.197699999999998</v>
      </c>
      <c r="AO90" s="95">
        <f t="shared" si="64"/>
        <v>692.89410268039683</v>
      </c>
      <c r="AP90" s="96"/>
      <c r="AQ90" s="97">
        <f t="shared" si="5"/>
        <v>1077</v>
      </c>
      <c r="AR90" s="98">
        <f t="shared" si="34"/>
        <v>107.88</v>
      </c>
      <c r="AS90" s="98">
        <f t="shared" si="7"/>
        <v>407.38</v>
      </c>
      <c r="AT90" s="98">
        <f t="shared" si="8"/>
        <v>60.03</v>
      </c>
      <c r="AU90" s="98">
        <f t="shared" si="66"/>
        <v>0</v>
      </c>
      <c r="AV90" s="98">
        <f t="array" ref="AV90">_xlfn.IFS(U90=0,AO90,U90&lt;0,AO90/-U90,U90&gt;0,AO90/U90)</f>
        <v>346.44705134019841</v>
      </c>
      <c r="AW90" s="234">
        <f t="shared" si="46"/>
        <v>0.32167785639758439</v>
      </c>
      <c r="AX90" s="234">
        <f t="shared" si="47"/>
        <v>3.2114113027456286</v>
      </c>
      <c r="AY90" s="99"/>
      <c r="AZ90" s="94">
        <f t="shared" si="11"/>
        <v>16975.905515669721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0"/>
        <v>32</v>
      </c>
      <c r="F91" s="93">
        <f>'Юнит 18'!F91</f>
        <v>3</v>
      </c>
      <c r="G91" s="93">
        <f>'Юнит 18'!G91</f>
        <v>1</v>
      </c>
      <c r="H91" s="93">
        <f>'Юнит 18'!H91</f>
        <v>22</v>
      </c>
      <c r="I91" s="93">
        <f>'Юнит 18'!I91</f>
        <v>0</v>
      </c>
      <c r="J91" s="93">
        <f>'Юнит 18'!J91</f>
        <v>6</v>
      </c>
      <c r="K91" s="93">
        <v>93.84</v>
      </c>
      <c r="L91" s="92">
        <f t="shared" si="45"/>
        <v>3002.88</v>
      </c>
      <c r="M91" s="89">
        <f>'Юнит 18'!M91</f>
        <v>999</v>
      </c>
      <c r="N91" s="89">
        <f>'Юнит 14'!N91+'Юнит 15'!N91+'Юнит 16'!N91+'Юнит 17'!N91+'Юнит 18'!N91</f>
        <v>30</v>
      </c>
      <c r="O91" s="89">
        <v>1075</v>
      </c>
      <c r="P91" s="89">
        <v>9</v>
      </c>
      <c r="Q91" s="406">
        <f t="shared" si="65"/>
        <v>6.6666666666666666E-2</v>
      </c>
      <c r="R91" s="92">
        <f t="shared" si="55"/>
        <v>0.2857142857142857</v>
      </c>
      <c r="S91" s="89">
        <f>'Юнит 14'!S91+'Юнит 15'!S91+'Юнит 16'!S91+'Юнит 17'!S91+'Юнит 18'!S91</f>
        <v>4</v>
      </c>
      <c r="T91" s="89">
        <f>'Юнит 14'!T91+'Юнит 15'!T91+'Юнит 16'!T91+'Юнит 17'!T91+'Юнит 18'!T91</f>
        <v>-2</v>
      </c>
      <c r="U91" s="92">
        <f t="shared" si="56"/>
        <v>2</v>
      </c>
      <c r="V91" s="89">
        <f>'Юнит 14'!V91+'Юнит 15'!V91+'Юнит 16'!V91+'Юнит 17'!V91+'Юнит 18'!V91</f>
        <v>2848</v>
      </c>
      <c r="W91" s="89">
        <f>'Юнит 14'!W91+'Юнит 15'!W91+'Юнит 16'!W91+'Юнит 17'!W91+'Юнит 18'!W91</f>
        <v>-1386</v>
      </c>
      <c r="X91" s="92">
        <f t="shared" si="57"/>
        <v>1462</v>
      </c>
      <c r="Y91" s="89">
        <f>'Юнит 14'!Y91+'Юнит 15'!Y91+'Юнит 16'!Y91+'Юнит 17'!Y91+'Юнит 18'!Y91</f>
        <v>4279</v>
      </c>
      <c r="Z91" s="89">
        <f>'Юнит 14'!Z91+'Юнит 15'!Z91+'Юнит 16'!Z91+'Юнит 17'!Z91+'Юнит 18'!Z91</f>
        <v>-2150</v>
      </c>
      <c r="AA91" s="232">
        <f t="shared" si="58"/>
        <v>2129</v>
      </c>
      <c r="AB91" s="92">
        <f t="shared" si="59"/>
        <v>2902.5</v>
      </c>
      <c r="AC91" s="234">
        <f t="shared" si="60"/>
        <v>1.410324220759981E-4</v>
      </c>
      <c r="AD91" s="92">
        <f t="shared" si="61"/>
        <v>187.68</v>
      </c>
      <c r="AE91" s="89">
        <f>'Юнит 14'!AE91+'Юнит 15'!AE91+'Юнит 16'!AE91+'Юнит 17'!AE91+'Юнит 18'!AE91</f>
        <v>782.5999999999998</v>
      </c>
      <c r="AF91" s="234">
        <f t="shared" si="62"/>
        <v>0.36759041803663683</v>
      </c>
      <c r="AG91" s="89">
        <f>'Юнит 14'!AG91+'Юнит 15'!AG91+'Юнит 16'!AG91+'Юнит 17'!AG91+'Юнит 18'!AG91</f>
        <v>3046.6400000000003</v>
      </c>
      <c r="AH91" s="89">
        <f>'Юнит 14'!AH91+'Юнит 15'!AH91+'Юнит 16'!AH91+'Юнит 17'!AH91+'Юнит 18'!AH91</f>
        <v>0</v>
      </c>
      <c r="AI91" s="89">
        <f>'Юнит 14'!AI91+'Юнит 15'!AI91+'Юнит 16'!AI91+'Юнит 17'!AI91+'Юнит 18'!AI91</f>
        <v>1697</v>
      </c>
      <c r="AJ91" s="89">
        <f>'Юнит 14'!AJ91+'Юнит 15'!AJ91+'Юнит 16'!AJ91+'Юнит 17'!AJ91+'Юнит 18'!AJ91</f>
        <v>0</v>
      </c>
      <c r="AK91" s="89">
        <f>'Юнит 14'!AK91+'Юнит 15'!AK91+'Юнит 16'!AK91+'Юнит 17'!AK91+'Юнит 18'!AK91</f>
        <v>0</v>
      </c>
      <c r="AL91" s="89">
        <f>'Юнит 14'!AL91+'Юнит 15'!AL91+'Юнит 16'!AL91+'Юнит 17'!AL91+'Юнит 18'!AL91</f>
        <v>101.419545012787</v>
      </c>
      <c r="AM91" s="89">
        <f>'Юнит 14'!AM91+'Юнит 15'!AM91+'Юнит 16'!AM91+'Юнит 17'!AM91+'Юнит 18'!AM91</f>
        <v>0</v>
      </c>
      <c r="AN91" s="94">
        <f t="shared" si="63"/>
        <v>83.480199999999996</v>
      </c>
      <c r="AO91" s="95">
        <f t="shared" si="64"/>
        <v>-3769.8197450127868</v>
      </c>
      <c r="AP91" s="96"/>
      <c r="AQ91" s="97">
        <f t="shared" si="5"/>
        <v>1064.5</v>
      </c>
      <c r="AR91" s="98">
        <f t="shared" si="34"/>
        <v>93.84</v>
      </c>
      <c r="AS91" s="98">
        <f t="shared" si="7"/>
        <v>391.2999999999999</v>
      </c>
      <c r="AT91" s="98">
        <f t="shared" si="8"/>
        <v>761.66000000000008</v>
      </c>
      <c r="AU91" s="98">
        <f t="shared" si="66"/>
        <v>424.25</v>
      </c>
      <c r="AV91" s="98">
        <f t="array" ref="AV91">_xlfn.IFS(U91=0,AO91,U91&lt;0,AO91/-U91,U91&gt;0,AO91/U91)</f>
        <v>-1884.9098725063934</v>
      </c>
      <c r="AW91" s="234">
        <f t="shared" si="46"/>
        <v>-1.7706997393202382</v>
      </c>
      <c r="AX91" s="234">
        <f t="shared" si="47"/>
        <v>-20.086422341287225</v>
      </c>
      <c r="AY91" s="99"/>
      <c r="AZ91" s="94">
        <f t="shared" si="11"/>
        <v>-60317.115920204589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0"/>
        <v>46</v>
      </c>
      <c r="F92" s="93">
        <f>'Юнит 18'!F92</f>
        <v>2</v>
      </c>
      <c r="G92" s="93">
        <f>'Юнит 18'!G92</f>
        <v>1</v>
      </c>
      <c r="H92" s="93">
        <f>'Юнит 18'!H92</f>
        <v>42</v>
      </c>
      <c r="I92" s="93">
        <f>'Юнит 18'!I92</f>
        <v>0</v>
      </c>
      <c r="J92" s="93">
        <f>'Юнит 18'!J92</f>
        <v>1</v>
      </c>
      <c r="K92" s="93">
        <v>139.47</v>
      </c>
      <c r="L92" s="92">
        <f t="shared" si="45"/>
        <v>6415.62</v>
      </c>
      <c r="M92" s="89">
        <f>'Юнит 18'!M92</f>
        <v>999</v>
      </c>
      <c r="N92" s="89">
        <f>'Юнит 14'!N92+'Юнит 15'!N92+'Юнит 16'!N92+'Юнит 17'!N92+'Юнит 18'!N92</f>
        <v>28</v>
      </c>
      <c r="O92" s="89">
        <v>1250</v>
      </c>
      <c r="P92" s="89">
        <v>12</v>
      </c>
      <c r="Q92" s="406">
        <f t="shared" si="65"/>
        <v>0.14285714285714285</v>
      </c>
      <c r="R92" s="92">
        <f t="shared" si="55"/>
        <v>0.5714285714285714</v>
      </c>
      <c r="S92" s="89">
        <f>'Юнит 14'!S92+'Юнит 15'!S92+'Юнит 16'!S92+'Юнит 17'!S92+'Юнит 18'!S92</f>
        <v>5</v>
      </c>
      <c r="T92" s="89">
        <f>'Юнит 14'!T92+'Юнит 15'!T92+'Юнит 16'!T92+'Юнит 17'!T92+'Юнит 18'!T92</f>
        <v>-1</v>
      </c>
      <c r="U92" s="92">
        <f t="shared" si="56"/>
        <v>4</v>
      </c>
      <c r="V92" s="89">
        <f>'Юнит 14'!V92+'Юнит 15'!V92+'Юнит 16'!V92+'Юнит 17'!V92+'Юнит 18'!V92</f>
        <v>4222</v>
      </c>
      <c r="W92" s="89">
        <f>'Юнит 14'!W92+'Юнит 15'!W92+'Юнит 16'!W92+'Юнит 17'!W92+'Юнит 18'!W92</f>
        <v>-832</v>
      </c>
      <c r="X92" s="92">
        <f t="shared" si="57"/>
        <v>3390</v>
      </c>
      <c r="Y92" s="89">
        <f>'Юнит 14'!Y92+'Юнит 15'!Y92+'Юнит 16'!Y92+'Юнит 17'!Y92+'Юнит 18'!Y92</f>
        <v>6312.5</v>
      </c>
      <c r="Z92" s="89">
        <f>'Юнит 14'!Z92+'Юнит 15'!Z92+'Юнит 16'!Z92+'Юнит 17'!Z92+'Юнит 18'!Z92</f>
        <v>-1250</v>
      </c>
      <c r="AA92" s="232">
        <f t="shared" si="58"/>
        <v>5062.5</v>
      </c>
      <c r="AB92" s="92">
        <f t="shared" si="59"/>
        <v>4200</v>
      </c>
      <c r="AC92" s="234">
        <f t="shared" si="60"/>
        <v>3.3535774389842197E-4</v>
      </c>
      <c r="AD92" s="92">
        <f t="shared" si="61"/>
        <v>557.88</v>
      </c>
      <c r="AE92" s="89">
        <f>'Юнит 14'!AE92+'Юнит 15'!AE92+'Юнит 16'!AE92+'Юнит 17'!AE92+'Юнит 18'!AE92</f>
        <v>1927.5299999999997</v>
      </c>
      <c r="AF92" s="234">
        <f t="shared" si="62"/>
        <v>0.38074666666666662</v>
      </c>
      <c r="AG92" s="89">
        <f>'Юнит 14'!AG92+'Юнит 15'!AG92+'Юнит 16'!AG92+'Юнит 17'!AG92+'Юнит 18'!AG92</f>
        <v>2305.52</v>
      </c>
      <c r="AH92" s="89">
        <f>'Юнит 14'!AH92+'Юнит 15'!AH92+'Юнит 16'!AH92+'Юнит 17'!AH92+'Юнит 18'!AH92</f>
        <v>0</v>
      </c>
      <c r="AI92" s="89">
        <f>'Юнит 14'!AI92+'Юнит 15'!AI92+'Юнит 16'!AI92+'Юнит 17'!AI92+'Юнит 18'!AI92</f>
        <v>4088</v>
      </c>
      <c r="AJ92" s="89">
        <f>'Юнит 14'!AJ92+'Юнит 15'!AJ92+'Юнит 16'!AJ92+'Юнит 17'!AJ92+'Юнит 18'!AJ92</f>
        <v>359</v>
      </c>
      <c r="AK92" s="89">
        <f>'Юнит 14'!AK92+'Юнит 15'!AK92+'Юнит 16'!AK92+'Юнит 17'!AK92+'Юнит 18'!AK92</f>
        <v>0</v>
      </c>
      <c r="AL92" s="89">
        <f>'Юнит 14'!AL92+'Юнит 15'!AL92+'Юнит 16'!AL92+'Юнит 17'!AL92+'Юнит 18'!AL92</f>
        <v>202.45084577794637</v>
      </c>
      <c r="AM92" s="89">
        <f>'Юнит 14'!AM92+'Юнит 15'!AM92+'Юнит 16'!AM92+'Юнит 17'!AM92+'Юнит 18'!AM92</f>
        <v>0</v>
      </c>
      <c r="AN92" s="94">
        <f t="shared" si="63"/>
        <v>193.56899999999999</v>
      </c>
      <c r="AO92" s="95">
        <f t="shared" si="64"/>
        <v>-4571.4498457779473</v>
      </c>
      <c r="AP92" s="96"/>
      <c r="AQ92" s="97">
        <f t="shared" si="5"/>
        <v>1265.625</v>
      </c>
      <c r="AR92" s="98">
        <f t="shared" si="34"/>
        <v>139.47</v>
      </c>
      <c r="AS92" s="98">
        <f t="shared" si="7"/>
        <v>481.88249999999994</v>
      </c>
      <c r="AT92" s="98">
        <f t="shared" si="8"/>
        <v>461.10399999999998</v>
      </c>
      <c r="AU92" s="98">
        <f t="shared" si="66"/>
        <v>889.4</v>
      </c>
      <c r="AV92" s="98">
        <f t="array" ref="AV92">_xlfn.IFS(U92=0,AO92,U92&lt;0,AO92/-U92,U92&gt;0,AO92/U92)</f>
        <v>-1142.8624614444868</v>
      </c>
      <c r="AW92" s="234">
        <f t="shared" si="46"/>
        <v>-0.9030024386721871</v>
      </c>
      <c r="AX92" s="234">
        <f t="shared" si="47"/>
        <v>-8.1943246679894379</v>
      </c>
      <c r="AY92" s="99"/>
      <c r="AZ92" s="94">
        <f t="shared" si="11"/>
        <v>-52571.673226446394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0"/>
        <v>40</v>
      </c>
      <c r="F93" s="93">
        <f>'Юнит 18'!F93</f>
        <v>1</v>
      </c>
      <c r="G93" s="93" t="str">
        <f>'Юнит 18'!G93</f>
        <v/>
      </c>
      <c r="H93" s="93">
        <f>'Юнит 18'!H93</f>
        <v>38</v>
      </c>
      <c r="I93" s="93">
        <f>'Юнит 18'!I93</f>
        <v>0</v>
      </c>
      <c r="J93" s="93">
        <f>'Юнит 18'!J93</f>
        <v>1</v>
      </c>
      <c r="K93" s="93">
        <v>139.47</v>
      </c>
      <c r="L93" s="92">
        <f t="shared" si="45"/>
        <v>5578.8</v>
      </c>
      <c r="M93" s="89">
        <f>'Юнит 18'!M93</f>
        <v>999</v>
      </c>
      <c r="N93" s="89">
        <f>'Юнит 14'!N93+'Юнит 15'!N93+'Юнит 16'!N93+'Юнит 17'!N93+'Юнит 18'!N93</f>
        <v>5</v>
      </c>
      <c r="O93" s="89">
        <v>1296</v>
      </c>
      <c r="P93" s="89">
        <v>25</v>
      </c>
      <c r="Q93" s="406">
        <f t="shared" si="65"/>
        <v>0.6</v>
      </c>
      <c r="R93" s="92">
        <f t="shared" si="55"/>
        <v>0.42857142857142855</v>
      </c>
      <c r="S93" s="89">
        <f>'Юнит 14'!S93+'Юнит 15'!S93+'Юнит 16'!S93+'Юнит 17'!S93+'Юнит 18'!S93</f>
        <v>3</v>
      </c>
      <c r="T93" s="89">
        <f>'Юнит 14'!T93+'Юнит 15'!T93+'Юнит 16'!T93+'Юнит 17'!T93+'Юнит 18'!T93</f>
        <v>0</v>
      </c>
      <c r="U93" s="92">
        <f t="shared" si="56"/>
        <v>3</v>
      </c>
      <c r="V93" s="89">
        <f>'Юнит 14'!V93+'Юнит 15'!V93+'Юнит 16'!V93+'Юнит 17'!V93+'Юнит 18'!V93</f>
        <v>2494</v>
      </c>
      <c r="W93" s="89">
        <f>'Юнит 14'!W93+'Юнит 15'!W93+'Юнит 16'!W93+'Юнит 17'!W93+'Юнит 18'!W93</f>
        <v>0</v>
      </c>
      <c r="X93" s="92">
        <f t="shared" si="57"/>
        <v>2494</v>
      </c>
      <c r="Y93" s="89">
        <f>'Юнит 14'!Y93+'Юнит 15'!Y93+'Юнит 16'!Y93+'Юнит 17'!Y93+'Юнит 18'!Y93</f>
        <v>3862</v>
      </c>
      <c r="Z93" s="89">
        <f>'Юнит 14'!Z93+'Юнит 15'!Z93+'Юнит 16'!Z93+'Юнит 17'!Z93+'Юнит 18'!Z93</f>
        <v>0</v>
      </c>
      <c r="AA93" s="232">
        <f t="shared" si="58"/>
        <v>3862</v>
      </c>
      <c r="AB93" s="92">
        <f t="shared" si="59"/>
        <v>1620</v>
      </c>
      <c r="AC93" s="234">
        <f t="shared" si="60"/>
        <v>2.5583241618483074E-4</v>
      </c>
      <c r="AD93" s="92">
        <f t="shared" si="61"/>
        <v>418.40999999999997</v>
      </c>
      <c r="AE93" s="89">
        <f>'Юнит 14'!AE93+'Юнит 15'!AE93+'Юнит 16'!AE93+'Юнит 17'!AE93+'Юнит 18'!AE93</f>
        <v>1461.12</v>
      </c>
      <c r="AF93" s="234">
        <f t="shared" si="62"/>
        <v>0.37833247022268252</v>
      </c>
      <c r="AG93" s="89">
        <f>'Юнит 14'!AG93+'Юнит 15'!AG93+'Юнит 16'!AG93+'Юнит 17'!AG93+'Юнит 18'!AG93</f>
        <v>518.69000000000005</v>
      </c>
      <c r="AH93" s="89">
        <f>'Юнит 14'!AH93+'Юнит 15'!AH93+'Юнит 16'!AH93+'Юнит 17'!AH93+'Юнит 18'!AH93</f>
        <v>0</v>
      </c>
      <c r="AI93" s="89">
        <f>'Юнит 14'!AI93+'Юнит 15'!AI93+'Юнит 16'!AI93+'Юнит 17'!AI93+'Юнит 18'!AI93</f>
        <v>0</v>
      </c>
      <c r="AJ93" s="89">
        <f>'Юнит 14'!AJ93+'Юнит 15'!AJ93+'Юнит 16'!AJ93+'Юнит 17'!AJ93+'Юнит 18'!AJ93</f>
        <v>0</v>
      </c>
      <c r="AK93" s="89">
        <f>'Юнит 14'!AK93+'Юнит 15'!AK93+'Юнит 16'!AK93+'Юнит 17'!AK93+'Юнит 18'!AK93</f>
        <v>0</v>
      </c>
      <c r="AL93" s="89">
        <f>'Юнит 14'!AL93+'Юнит 15'!AL93+'Юнит 16'!AL93+'Юнит 17'!AL93+'Юнит 18'!AL93</f>
        <v>185.94625395153832</v>
      </c>
      <c r="AM93" s="89">
        <f>'Юнит 14'!AM93+'Юнит 15'!AM93+'Юнит 16'!AM93+'Юнит 17'!AM93+'Юнит 18'!AM93</f>
        <v>0</v>
      </c>
      <c r="AN93" s="94">
        <f t="shared" si="63"/>
        <v>142.4074</v>
      </c>
      <c r="AO93" s="95">
        <f t="shared" si="64"/>
        <v>1135.4263460484617</v>
      </c>
      <c r="AP93" s="96"/>
      <c r="AQ93" s="97">
        <f t="shared" si="5"/>
        <v>1287.3333333333333</v>
      </c>
      <c r="AR93" s="98">
        <f t="shared" si="34"/>
        <v>139.47</v>
      </c>
      <c r="AS93" s="98">
        <f t="shared" si="7"/>
        <v>487.03999999999996</v>
      </c>
      <c r="AT93" s="98">
        <f t="shared" si="8"/>
        <v>172.89666666666668</v>
      </c>
      <c r="AU93" s="98">
        <f t="shared" si="66"/>
        <v>0</v>
      </c>
      <c r="AV93" s="98">
        <f t="array" ref="AV93">_xlfn.IFS(U93=0,AO93,U93&lt;0,AO93/-U93,U93&gt;0,AO93/U93)</f>
        <v>378.47544868282057</v>
      </c>
      <c r="AW93" s="234">
        <f t="shared" si="46"/>
        <v>0.29399957173704344</v>
      </c>
      <c r="AX93" s="234">
        <f t="shared" si="47"/>
        <v>2.7136692384227472</v>
      </c>
      <c r="AY93" s="99"/>
      <c r="AZ93" s="94">
        <f t="shared" si="11"/>
        <v>15139.017947312823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0"/>
        <v>0</v>
      </c>
      <c r="F94" s="93">
        <f>'Юнит 18'!F94</f>
        <v>0</v>
      </c>
      <c r="G94" s="93">
        <f>'Юнит 18'!G94</f>
        <v>0</v>
      </c>
      <c r="H94" s="93">
        <f>'Юнит 18'!H94</f>
        <v>0</v>
      </c>
      <c r="I94" s="93">
        <f>'Юнит 18'!I94</f>
        <v>0</v>
      </c>
      <c r="J94" s="93">
        <f>'Юнит 18'!J94</f>
        <v>0</v>
      </c>
      <c r="K94" s="93">
        <v>400.08</v>
      </c>
      <c r="L94" s="92">
        <f t="shared" si="45"/>
        <v>0</v>
      </c>
      <c r="M94" s="89">
        <f>'Юнит 18'!M94</f>
        <v>1</v>
      </c>
      <c r="N94" s="89">
        <f>'Юнит 14'!N94+'Юнит 15'!N94+'Юнит 16'!N94+'Юнит 17'!N94+'Юнит 18'!N94</f>
        <v>0</v>
      </c>
      <c r="O94" s="89">
        <v>0</v>
      </c>
      <c r="P94" s="89">
        <v>0</v>
      </c>
      <c r="Q94" s="406"/>
      <c r="R94" s="92">
        <f t="shared" si="55"/>
        <v>0</v>
      </c>
      <c r="S94" s="89">
        <f>'Юнит 14'!S94+'Юнит 15'!S94+'Юнит 16'!S94+'Юнит 17'!S94+'Юнит 18'!S94</f>
        <v>0</v>
      </c>
      <c r="T94" s="89">
        <f>'Юнит 14'!T94+'Юнит 15'!T94+'Юнит 16'!T94+'Юнит 17'!T94+'Юнит 18'!T94</f>
        <v>0</v>
      </c>
      <c r="U94" s="92">
        <f t="shared" si="56"/>
        <v>0</v>
      </c>
      <c r="V94" s="89">
        <f>'Юнит 14'!V94+'Юнит 15'!V94+'Юнит 16'!V94+'Юнит 17'!V94+'Юнит 18'!V94</f>
        <v>0</v>
      </c>
      <c r="W94" s="89">
        <f>'Юнит 14'!W94+'Юнит 15'!W94+'Юнит 16'!W94+'Юнит 17'!W94+'Юнит 18'!W94</f>
        <v>0</v>
      </c>
      <c r="X94" s="92">
        <f t="shared" si="57"/>
        <v>0</v>
      </c>
      <c r="Y94" s="89">
        <f>'Юнит 14'!Y94+'Юнит 15'!Y94+'Юнит 16'!Y94+'Юнит 17'!Y94+'Юнит 18'!Y94</f>
        <v>0</v>
      </c>
      <c r="Z94" s="89">
        <f>'Юнит 14'!Z94+'Юнит 15'!Z94+'Юнит 16'!Z94+'Юнит 17'!Z94+'Юнит 18'!Z94</f>
        <v>0</v>
      </c>
      <c r="AA94" s="232">
        <f t="shared" si="58"/>
        <v>0</v>
      </c>
      <c r="AB94" s="92">
        <f t="shared" si="59"/>
        <v>0</v>
      </c>
      <c r="AC94" s="234">
        <f t="shared" si="60"/>
        <v>0</v>
      </c>
      <c r="AD94" s="92">
        <f t="shared" si="61"/>
        <v>0</v>
      </c>
      <c r="AE94" s="89">
        <f>'Юнит 14'!AE94+'Юнит 15'!AE94+'Юнит 16'!AE94+'Юнит 17'!AE94+'Юнит 18'!AE94</f>
        <v>0</v>
      </c>
      <c r="AF94" s="234">
        <f t="shared" si="62"/>
        <v>0</v>
      </c>
      <c r="AG94" s="89">
        <f>'Юнит 14'!AG94+'Юнит 15'!AG94+'Юнит 16'!AG94+'Юнит 17'!AG94+'Юнит 18'!AG94</f>
        <v>0</v>
      </c>
      <c r="AH94" s="89">
        <f>'Юнит 14'!AH94+'Юнит 15'!AH94+'Юнит 16'!AH94+'Юнит 17'!AH94+'Юнит 18'!AH94</f>
        <v>0</v>
      </c>
      <c r="AI94" s="89">
        <f>'Юнит 14'!AI94+'Юнит 15'!AI94+'Юнит 16'!AI94+'Юнит 17'!AI94+'Юнит 18'!AI94</f>
        <v>0</v>
      </c>
      <c r="AJ94" s="89">
        <f>'Юнит 14'!AJ94+'Юнит 15'!AJ94+'Юнит 16'!AJ94+'Юнит 17'!AJ94+'Юнит 18'!AJ94</f>
        <v>0</v>
      </c>
      <c r="AK94" s="89">
        <f>'Юнит 14'!AK94+'Юнит 15'!AK94+'Юнит 16'!AK94+'Юнит 17'!AK94+'Юнит 18'!AK94</f>
        <v>0</v>
      </c>
      <c r="AL94" s="89">
        <f>'Юнит 14'!AL94+'Юнит 15'!AL94+'Юнит 16'!AL94+'Юнит 17'!AL94+'Юнит 18'!AL94</f>
        <v>0</v>
      </c>
      <c r="AM94" s="89">
        <f>'Юнит 14'!AM94+'Юнит 15'!AM94+'Юнит 16'!AM94+'Юнит 17'!AM94+'Юнит 18'!AM94</f>
        <v>0</v>
      </c>
      <c r="AN94" s="94">
        <f t="shared" si="63"/>
        <v>0</v>
      </c>
      <c r="AO94" s="95">
        <f t="shared" si="64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66"/>
        <v>0</v>
      </c>
      <c r="AV94" s="98">
        <f t="array" ref="AV94">_xlfn.IFS(U94=0,AO94,U94&lt;0,AO94/-U94,U94&gt;0,AO94/U94)</f>
        <v>0</v>
      </c>
      <c r="AW94" s="234">
        <f t="shared" si="46"/>
        <v>0</v>
      </c>
      <c r="AX94" s="234">
        <f t="shared" si="47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0"/>
        <v>0</v>
      </c>
      <c r="F95" s="93">
        <f>'Юнит 18'!F95</f>
        <v>0</v>
      </c>
      <c r="G95" s="93">
        <f>'Юнит 18'!G95</f>
        <v>0</v>
      </c>
      <c r="H95" s="93">
        <f>'Юнит 18'!H95</f>
        <v>0</v>
      </c>
      <c r="I95" s="93">
        <f>'Юнит 18'!I95</f>
        <v>0</v>
      </c>
      <c r="J95" s="93">
        <f>'Юнит 18'!J95</f>
        <v>0</v>
      </c>
      <c r="K95" s="93">
        <v>400.08</v>
      </c>
      <c r="L95" s="92">
        <f t="shared" si="45"/>
        <v>0</v>
      </c>
      <c r="M95" s="89">
        <f>'Юнит 18'!M95</f>
        <v>1</v>
      </c>
      <c r="N95" s="89">
        <f>'Юнит 14'!N95+'Юнит 15'!N95+'Юнит 16'!N95+'Юнит 17'!N95+'Юнит 18'!N95</f>
        <v>0</v>
      </c>
      <c r="O95" s="89">
        <v>0</v>
      </c>
      <c r="P95" s="89">
        <v>0</v>
      </c>
      <c r="Q95" s="406"/>
      <c r="R95" s="92">
        <f t="shared" si="55"/>
        <v>0</v>
      </c>
      <c r="S95" s="89">
        <f>'Юнит 14'!S95+'Юнит 15'!S95+'Юнит 16'!S95+'Юнит 17'!S95+'Юнит 18'!S95</f>
        <v>0</v>
      </c>
      <c r="T95" s="89">
        <f>'Юнит 14'!T95+'Юнит 15'!T95+'Юнит 16'!T95+'Юнит 17'!T95+'Юнит 18'!T95</f>
        <v>0</v>
      </c>
      <c r="U95" s="92">
        <f t="shared" si="56"/>
        <v>0</v>
      </c>
      <c r="V95" s="89">
        <f>'Юнит 14'!V95+'Юнит 15'!V95+'Юнит 16'!V95+'Юнит 17'!V95+'Юнит 18'!V95</f>
        <v>0</v>
      </c>
      <c r="W95" s="89">
        <f>'Юнит 14'!W95+'Юнит 15'!W95+'Юнит 16'!W95+'Юнит 17'!W95+'Юнит 18'!W95</f>
        <v>0</v>
      </c>
      <c r="X95" s="92">
        <f t="shared" si="57"/>
        <v>0</v>
      </c>
      <c r="Y95" s="89">
        <f>'Юнит 14'!Y95+'Юнит 15'!Y95+'Юнит 16'!Y95+'Юнит 17'!Y95+'Юнит 18'!Y95</f>
        <v>0</v>
      </c>
      <c r="Z95" s="89">
        <f>'Юнит 14'!Z95+'Юнит 15'!Z95+'Юнит 16'!Z95+'Юнит 17'!Z95+'Юнит 18'!Z95</f>
        <v>0</v>
      </c>
      <c r="AA95" s="232">
        <f t="shared" si="58"/>
        <v>0</v>
      </c>
      <c r="AB95" s="92">
        <f t="shared" si="59"/>
        <v>0</v>
      </c>
      <c r="AC95" s="234">
        <f t="shared" si="60"/>
        <v>0</v>
      </c>
      <c r="AD95" s="92">
        <f t="shared" si="61"/>
        <v>0</v>
      </c>
      <c r="AE95" s="89">
        <f>'Юнит 14'!AE95+'Юнит 15'!AE95+'Юнит 16'!AE95+'Юнит 17'!AE95+'Юнит 18'!AE95</f>
        <v>0</v>
      </c>
      <c r="AF95" s="234">
        <f t="shared" si="62"/>
        <v>0</v>
      </c>
      <c r="AG95" s="89">
        <f>'Юнит 14'!AG95+'Юнит 15'!AG95+'Юнит 16'!AG95+'Юнит 17'!AG95+'Юнит 18'!AG95</f>
        <v>0</v>
      </c>
      <c r="AH95" s="89">
        <f>'Юнит 14'!AH95+'Юнит 15'!AH95+'Юнит 16'!AH95+'Юнит 17'!AH95+'Юнит 18'!AH95</f>
        <v>0</v>
      </c>
      <c r="AI95" s="89">
        <f>'Юнит 14'!AI95+'Юнит 15'!AI95+'Юнит 16'!AI95+'Юнит 17'!AI95+'Юнит 18'!AI95</f>
        <v>0</v>
      </c>
      <c r="AJ95" s="89">
        <f>'Юнит 14'!AJ95+'Юнит 15'!AJ95+'Юнит 16'!AJ95+'Юнит 17'!AJ95+'Юнит 18'!AJ95</f>
        <v>0</v>
      </c>
      <c r="AK95" s="89">
        <f>'Юнит 14'!AK95+'Юнит 15'!AK95+'Юнит 16'!AK95+'Юнит 17'!AK95+'Юнит 18'!AK95</f>
        <v>0</v>
      </c>
      <c r="AL95" s="89">
        <f>'Юнит 14'!AL95+'Юнит 15'!AL95+'Юнит 16'!AL95+'Юнит 17'!AL95+'Юнит 18'!AL95</f>
        <v>0</v>
      </c>
      <c r="AM95" s="89">
        <f>'Юнит 14'!AM95+'Юнит 15'!AM95+'Юнит 16'!AM95+'Юнит 17'!AM95+'Юнит 18'!AM95</f>
        <v>0</v>
      </c>
      <c r="AN95" s="94">
        <f t="shared" si="63"/>
        <v>0</v>
      </c>
      <c r="AO95" s="95">
        <f t="shared" si="64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66"/>
        <v>0</v>
      </c>
      <c r="AV95" s="98">
        <f t="array" ref="AV95">_xlfn.IFS(U95=0,AO95,U95&lt;0,AO95/-U95,U95&gt;0,AO95/U95)</f>
        <v>0</v>
      </c>
      <c r="AW95" s="234">
        <f t="shared" si="46"/>
        <v>0</v>
      </c>
      <c r="AX95" s="234">
        <f t="shared" si="47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0"/>
        <v>0</v>
      </c>
      <c r="F96" s="93">
        <f>'Юнит 18'!F96</f>
        <v>0</v>
      </c>
      <c r="G96" s="93">
        <f>'Юнит 18'!G96</f>
        <v>0</v>
      </c>
      <c r="H96" s="93">
        <f>'Юнит 18'!H96</f>
        <v>0</v>
      </c>
      <c r="I96" s="93">
        <f>'Юнит 18'!I96</f>
        <v>0</v>
      </c>
      <c r="J96" s="93">
        <f>'Юнит 18'!J96</f>
        <v>0</v>
      </c>
      <c r="K96" s="93">
        <v>300.08</v>
      </c>
      <c r="L96" s="92">
        <f t="shared" si="45"/>
        <v>0</v>
      </c>
      <c r="M96" s="89">
        <f>'Юнит 18'!M96</f>
        <v>1</v>
      </c>
      <c r="N96" s="89">
        <f>'Юнит 14'!N96+'Юнит 15'!N96+'Юнит 16'!N96+'Юнит 17'!N96+'Юнит 18'!N96</f>
        <v>0</v>
      </c>
      <c r="O96" s="89">
        <v>0</v>
      </c>
      <c r="P96" s="89">
        <v>0</v>
      </c>
      <c r="Q96" s="406"/>
      <c r="R96" s="92">
        <f t="shared" si="55"/>
        <v>0</v>
      </c>
      <c r="S96" s="89">
        <f>'Юнит 14'!S96+'Юнит 15'!S96+'Юнит 16'!S96+'Юнит 17'!S96+'Юнит 18'!S96</f>
        <v>0</v>
      </c>
      <c r="T96" s="89">
        <f>'Юнит 14'!T96+'Юнит 15'!T96+'Юнит 16'!T96+'Юнит 17'!T96+'Юнит 18'!T96</f>
        <v>0</v>
      </c>
      <c r="U96" s="92">
        <f t="shared" si="56"/>
        <v>0</v>
      </c>
      <c r="V96" s="89">
        <f>'Юнит 14'!V96+'Юнит 15'!V96+'Юнит 16'!V96+'Юнит 17'!V96+'Юнит 18'!V96</f>
        <v>0</v>
      </c>
      <c r="W96" s="89">
        <f>'Юнит 14'!W96+'Юнит 15'!W96+'Юнит 16'!W96+'Юнит 17'!W96+'Юнит 18'!W96</f>
        <v>0</v>
      </c>
      <c r="X96" s="92">
        <f t="shared" si="57"/>
        <v>0</v>
      </c>
      <c r="Y96" s="89">
        <f>'Юнит 14'!Y96+'Юнит 15'!Y96+'Юнит 16'!Y96+'Юнит 17'!Y96+'Юнит 18'!Y96</f>
        <v>0</v>
      </c>
      <c r="Z96" s="89">
        <f>'Юнит 14'!Z96+'Юнит 15'!Z96+'Юнит 16'!Z96+'Юнит 17'!Z96+'Юнит 18'!Z96</f>
        <v>0</v>
      </c>
      <c r="AA96" s="232">
        <f t="shared" si="58"/>
        <v>0</v>
      </c>
      <c r="AB96" s="92">
        <f t="shared" si="59"/>
        <v>0</v>
      </c>
      <c r="AC96" s="234">
        <f t="shared" si="60"/>
        <v>0</v>
      </c>
      <c r="AD96" s="92">
        <f t="shared" si="61"/>
        <v>0</v>
      </c>
      <c r="AE96" s="89">
        <f>'Юнит 14'!AE96+'Юнит 15'!AE96+'Юнит 16'!AE96+'Юнит 17'!AE96+'Юнит 18'!AE96</f>
        <v>0</v>
      </c>
      <c r="AF96" s="234">
        <f t="shared" si="62"/>
        <v>0</v>
      </c>
      <c r="AG96" s="89">
        <f>'Юнит 14'!AG96+'Юнит 15'!AG96+'Юнит 16'!AG96+'Юнит 17'!AG96+'Юнит 18'!AG96</f>
        <v>0</v>
      </c>
      <c r="AH96" s="89">
        <f>'Юнит 14'!AH96+'Юнит 15'!AH96+'Юнит 16'!AH96+'Юнит 17'!AH96+'Юнит 18'!AH96</f>
        <v>0</v>
      </c>
      <c r="AI96" s="89">
        <f>'Юнит 14'!AI96+'Юнит 15'!AI96+'Юнит 16'!AI96+'Юнит 17'!AI96+'Юнит 18'!AI96</f>
        <v>0</v>
      </c>
      <c r="AJ96" s="89">
        <f>'Юнит 14'!AJ96+'Юнит 15'!AJ96+'Юнит 16'!AJ96+'Юнит 17'!AJ96+'Юнит 18'!AJ96</f>
        <v>0</v>
      </c>
      <c r="AK96" s="89">
        <f>'Юнит 14'!AK96+'Юнит 15'!AK96+'Юнит 16'!AK96+'Юнит 17'!AK96+'Юнит 18'!AK96</f>
        <v>0</v>
      </c>
      <c r="AL96" s="89">
        <f>'Юнит 14'!AL96+'Юнит 15'!AL96+'Юнит 16'!AL96+'Юнит 17'!AL96+'Юнит 18'!AL96</f>
        <v>0</v>
      </c>
      <c r="AM96" s="89">
        <f>'Юнит 14'!AM96+'Юнит 15'!AM96+'Юнит 16'!AM96+'Юнит 17'!AM96+'Юнит 18'!AM96</f>
        <v>0</v>
      </c>
      <c r="AN96" s="94">
        <f t="shared" si="63"/>
        <v>0</v>
      </c>
      <c r="AO96" s="95">
        <f t="shared" si="64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66"/>
        <v>0</v>
      </c>
      <c r="AV96" s="98">
        <f t="array" ref="AV96">_xlfn.IFS(U96=0,AO96,U96&lt;0,AO96/-U96,U96&gt;0,AO96/U96)</f>
        <v>0</v>
      </c>
      <c r="AW96" s="234">
        <f t="shared" si="46"/>
        <v>0</v>
      </c>
      <c r="AX96" s="234">
        <f t="shared" si="47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0"/>
        <v>2</v>
      </c>
      <c r="F97" s="93">
        <f>'Юнит 18'!F97</f>
        <v>1</v>
      </c>
      <c r="G97" s="93">
        <f>'Юнит 18'!G97</f>
        <v>1</v>
      </c>
      <c r="H97" s="93" t="str">
        <f>'Юнит 18'!H97</f>
        <v/>
      </c>
      <c r="I97" s="93">
        <f>'Юнит 18'!I97</f>
        <v>0</v>
      </c>
      <c r="J97" s="93">
        <f>'Юнит 18'!J97</f>
        <v>0</v>
      </c>
      <c r="K97" s="93">
        <v>400.08</v>
      </c>
      <c r="L97" s="92">
        <f t="shared" si="45"/>
        <v>800.16</v>
      </c>
      <c r="M97" s="89">
        <f>'Юнит 18'!M97</f>
        <v>999</v>
      </c>
      <c r="N97" s="89">
        <f>'Юнит 14'!N97+'Юнит 15'!N97+'Юнит 16'!N97+'Юнит 17'!N97+'Юнит 18'!N97</f>
        <v>5</v>
      </c>
      <c r="O97" s="89">
        <v>1509</v>
      </c>
      <c r="P97" s="89">
        <v>0</v>
      </c>
      <c r="Q97" s="406">
        <f t="shared" ref="Q97:Q98" si="67">U97/N97</f>
        <v>0</v>
      </c>
      <c r="R97" s="92">
        <f t="shared" si="55"/>
        <v>0</v>
      </c>
      <c r="S97" s="89">
        <f>'Юнит 14'!S97+'Юнит 15'!S97+'Юнит 16'!S97+'Юнит 17'!S97+'Юнит 18'!S97</f>
        <v>0</v>
      </c>
      <c r="T97" s="89">
        <f>'Юнит 14'!T97+'Юнит 15'!T97+'Юнит 16'!T97+'Юнит 17'!T97+'Юнит 18'!T97</f>
        <v>0</v>
      </c>
      <c r="U97" s="92">
        <f t="shared" si="56"/>
        <v>0</v>
      </c>
      <c r="V97" s="89">
        <f>'Юнит 14'!V97+'Юнит 15'!V97+'Юнит 16'!V97+'Юнит 17'!V97+'Юнит 18'!V97</f>
        <v>0</v>
      </c>
      <c r="W97" s="89">
        <f>'Юнит 14'!W97+'Юнит 15'!W97+'Юнит 16'!W97+'Юнит 17'!W97+'Юнит 18'!W97</f>
        <v>0</v>
      </c>
      <c r="X97" s="92">
        <f t="shared" si="57"/>
        <v>0</v>
      </c>
      <c r="Y97" s="89">
        <f>'Юнит 14'!Y97+'Юнит 15'!Y97+'Юнит 16'!Y97+'Юнит 17'!Y97+'Юнит 18'!Y97</f>
        <v>0</v>
      </c>
      <c r="Z97" s="89">
        <f>'Юнит 14'!Z97+'Юнит 15'!Z97+'Юнит 16'!Z97+'Юнит 17'!Z97+'Юнит 18'!Z97</f>
        <v>0</v>
      </c>
      <c r="AA97" s="232">
        <f t="shared" si="58"/>
        <v>0</v>
      </c>
      <c r="AB97" s="92">
        <f t="shared" si="59"/>
        <v>0</v>
      </c>
      <c r="AC97" s="234">
        <f t="shared" si="60"/>
        <v>0</v>
      </c>
      <c r="AD97" s="92">
        <f t="shared" si="61"/>
        <v>0</v>
      </c>
      <c r="AE97" s="89">
        <f>'Юнит 14'!AE97+'Юнит 15'!AE97+'Юнит 16'!AE97+'Юнит 17'!AE97+'Юнит 18'!AE97</f>
        <v>0</v>
      </c>
      <c r="AF97" s="234">
        <f t="shared" si="62"/>
        <v>0</v>
      </c>
      <c r="AG97" s="89">
        <f>'Юнит 14'!AG97+'Юнит 15'!AG97+'Юнит 16'!AG97+'Юнит 17'!AG97+'Юнит 18'!AG97</f>
        <v>468.33000000000004</v>
      </c>
      <c r="AH97" s="89">
        <f>'Юнит 14'!AH97+'Юнит 15'!AH97+'Юнит 16'!AH97+'Юнит 17'!AH97+'Юнит 18'!AH97</f>
        <v>0</v>
      </c>
      <c r="AI97" s="89">
        <f>'Юнит 14'!AI97+'Юнит 15'!AI97+'Юнит 16'!AI97+'Юнит 17'!AI97+'Юнит 18'!AI97</f>
        <v>0</v>
      </c>
      <c r="AJ97" s="89">
        <f>'Юнит 14'!AJ97+'Юнит 15'!AJ97+'Юнит 16'!AJ97+'Юнит 17'!AJ97+'Юнит 18'!AJ97</f>
        <v>0</v>
      </c>
      <c r="AK97" s="89">
        <f>'Юнит 14'!AK97+'Юнит 15'!AK97+'Юнит 16'!AK97+'Юнит 17'!AK97+'Юнит 18'!AK97</f>
        <v>0</v>
      </c>
      <c r="AL97" s="89">
        <f>'Юнит 14'!AL97+'Юнит 15'!AL97+'Юнит 16'!AL97+'Юнит 17'!AL97+'Юнит 18'!AL97</f>
        <v>4.8155136537885772</v>
      </c>
      <c r="AM97" s="89">
        <f>'Юнит 14'!AM97+'Юнит 15'!AM97+'Юнит 16'!AM97+'Юнит 17'!AM97+'Юнит 18'!AM97</f>
        <v>0</v>
      </c>
      <c r="AN97" s="94">
        <f t="shared" si="63"/>
        <v>0</v>
      </c>
      <c r="AO97" s="95">
        <f t="shared" si="64"/>
        <v>-473.14551365378861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468.33000000000004</v>
      </c>
      <c r="AU97" s="98">
        <f t="shared" si="66"/>
        <v>0</v>
      </c>
      <c r="AV97" s="98">
        <f t="array" ref="AV97">_xlfn.IFS(U97=0,AO97,U97&lt;0,AO97/-U97,U97&gt;0,AO97/U97)</f>
        <v>-473.14551365378861</v>
      </c>
      <c r="AW97" s="234">
        <f t="shared" si="46"/>
        <v>0</v>
      </c>
      <c r="AX97" s="234">
        <f t="shared" si="47"/>
        <v>-1.1826272586827351</v>
      </c>
      <c r="AY97" s="99"/>
      <c r="AZ97" s="94">
        <f t="shared" si="11"/>
        <v>-946.29102730757722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0"/>
        <v>6</v>
      </c>
      <c r="F98" s="93" t="str">
        <f>'Юнит 18'!F98</f>
        <v/>
      </c>
      <c r="G98" s="93" t="str">
        <f>'Юнит 18'!G98</f>
        <v/>
      </c>
      <c r="H98" s="93">
        <f>'Юнит 18'!H98</f>
        <v>6</v>
      </c>
      <c r="I98" s="93">
        <f>'Юнит 18'!I98</f>
        <v>0</v>
      </c>
      <c r="J98" s="93">
        <f>'Юнит 18'!J98</f>
        <v>0</v>
      </c>
      <c r="K98" s="93">
        <v>300.08</v>
      </c>
      <c r="L98" s="92">
        <f t="shared" si="45"/>
        <v>1800.48</v>
      </c>
      <c r="M98" s="89">
        <f>'Юнит 18'!M98</f>
        <v>54</v>
      </c>
      <c r="N98" s="89">
        <f>'Юнит 14'!N98+'Юнит 15'!N98+'Юнит 16'!N98+'Юнит 17'!N98+'Юнит 18'!N98</f>
        <v>8</v>
      </c>
      <c r="O98" s="89">
        <v>878</v>
      </c>
      <c r="P98" s="89">
        <v>71</v>
      </c>
      <c r="Q98" s="406">
        <f t="shared" si="67"/>
        <v>0.75</v>
      </c>
      <c r="R98" s="92">
        <f t="shared" si="55"/>
        <v>0.8571428571428571</v>
      </c>
      <c r="S98" s="89">
        <f>'Юнит 14'!S98+'Юнит 15'!S98+'Юнит 16'!S98+'Юнит 17'!S98+'Юнит 18'!S98</f>
        <v>6</v>
      </c>
      <c r="T98" s="89">
        <f>'Юнит 14'!T98+'Юнит 15'!T98+'Юнит 16'!T98+'Юнит 17'!T98+'Юнит 18'!T98</f>
        <v>0</v>
      </c>
      <c r="U98" s="92">
        <f t="shared" si="56"/>
        <v>6</v>
      </c>
      <c r="V98" s="89">
        <f>'Юнит 14'!V98+'Юнит 15'!V98+'Юнит 16'!V98+'Юнит 17'!V98+'Юнит 18'!V98</f>
        <v>3820.43</v>
      </c>
      <c r="W98" s="89">
        <f>'Юнит 14'!W98+'Юнит 15'!W98+'Юнит 16'!W98+'Юнит 17'!W98+'Юнит 18'!W98</f>
        <v>0</v>
      </c>
      <c r="X98" s="92">
        <f t="shared" si="57"/>
        <v>3820.43</v>
      </c>
      <c r="Y98" s="89">
        <f>'Юнит 14'!Y98+'Юнит 15'!Y98+'Юнит 16'!Y98+'Юнит 17'!Y98+'Юнит 18'!Y98</f>
        <v>5267.57</v>
      </c>
      <c r="Z98" s="89">
        <f>'Юнит 14'!Z98+'Юнит 15'!Z98+'Юнит 16'!Z98+'Юнит 17'!Z98+'Юнит 18'!Z98</f>
        <v>0</v>
      </c>
      <c r="AA98" s="232">
        <f t="shared" si="58"/>
        <v>5267.57</v>
      </c>
      <c r="AB98" s="92">
        <f t="shared" si="59"/>
        <v>4987.04</v>
      </c>
      <c r="AC98" s="234">
        <f t="shared" si="60"/>
        <v>3.4894229946212554E-4</v>
      </c>
      <c r="AD98" s="92">
        <f t="shared" si="61"/>
        <v>1800.48</v>
      </c>
      <c r="AE98" s="89">
        <f>'Юнит 14'!AE98+'Юнит 15'!AE98+'Юнит 16'!AE98+'Юнит 17'!AE98+'Юнит 18'!AE98</f>
        <v>2009.37</v>
      </c>
      <c r="AF98" s="234">
        <f t="shared" si="62"/>
        <v>0.38146052164470523</v>
      </c>
      <c r="AG98" s="89">
        <f>'Юнит 14'!AG98+'Юнит 15'!AG98+'Юнит 16'!AG98+'Юнит 17'!AG98+'Юнит 18'!AG98</f>
        <v>521.34</v>
      </c>
      <c r="AH98" s="89">
        <f>'Юнит 14'!AH98+'Юнит 15'!AH98+'Юнит 16'!AH98+'Юнит 17'!AH98+'Юнит 18'!AH98</f>
        <v>0</v>
      </c>
      <c r="AI98" s="89">
        <f>'Юнит 14'!AI98+'Юнит 15'!AI98+'Юнит 16'!AI98+'Юнит 17'!AI98+'Юнит 18'!AI98</f>
        <v>0</v>
      </c>
      <c r="AJ98" s="89">
        <f>'Юнит 14'!AJ98+'Юнит 15'!AJ98+'Юнит 16'!AJ98+'Юнит 17'!AJ98+'Юнит 18'!AJ98</f>
        <v>0</v>
      </c>
      <c r="AK98" s="89">
        <f>'Юнит 14'!AK98+'Юнит 15'!AK98+'Юнит 16'!AK98+'Юнит 17'!AK98+'Юнит 18'!AK98</f>
        <v>0</v>
      </c>
      <c r="AL98" s="89">
        <f>'Юнит 14'!AL98+'Юнит 15'!AL98+'Юнит 16'!AL98+'Юнит 17'!AL98+'Юнит 18'!AL98</f>
        <v>34.230975125806737</v>
      </c>
      <c r="AM98" s="89">
        <f>'Юнит 14'!AM98+'Юнит 15'!AM98+'Юнит 16'!AM98+'Юнит 17'!AM98+'Юнит 18'!AM98</f>
        <v>0</v>
      </c>
      <c r="AN98" s="94">
        <f t="shared" si="63"/>
        <v>218.14655299999998</v>
      </c>
      <c r="AO98" s="95">
        <f t="shared" si="64"/>
        <v>684.00247187419313</v>
      </c>
      <c r="AP98" s="96"/>
      <c r="AQ98" s="97">
        <f t="shared" ref="AQ98:AQ103" si="68">IF(U98=0,0,AA98/U98)</f>
        <v>877.92833333333328</v>
      </c>
      <c r="AR98" s="98">
        <f t="shared" si="34"/>
        <v>300.08</v>
      </c>
      <c r="AS98" s="98">
        <f t="shared" ref="AS98:AS103" si="69">IF(U98=0,0,AE98/U98)</f>
        <v>334.89499999999998</v>
      </c>
      <c r="AT98" s="98">
        <f t="shared" ref="AT98:AT103" si="70">IF(S98=0,AG98/1,AG98/S98)</f>
        <v>86.89</v>
      </c>
      <c r="AU98" s="98">
        <f t="shared" si="66"/>
        <v>0</v>
      </c>
      <c r="AV98" s="98">
        <f t="array" ref="AV98">_xlfn.IFS(U98=0,AO98,U98&lt;0,AO98/-U98,U98&gt;0,AO98/U98)</f>
        <v>114.00041197903219</v>
      </c>
      <c r="AW98" s="234">
        <f t="shared" si="46"/>
        <v>0.12985161504720263</v>
      </c>
      <c r="AX98" s="234">
        <f t="shared" si="47"/>
        <v>0.37990006657901959</v>
      </c>
      <c r="AY98" s="99"/>
      <c r="AZ98" s="94">
        <f t="shared" ref="AZ98:AZ103" si="71">AV98*E98</f>
        <v>684.00247187419313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0"/>
        <v>0</v>
      </c>
      <c r="F99" s="93">
        <f>'Юнит 18'!F99</f>
        <v>0</v>
      </c>
      <c r="G99" s="93">
        <f>'Юнит 18'!G99</f>
        <v>0</v>
      </c>
      <c r="H99" s="93">
        <f>'Юнит 18'!H99</f>
        <v>0</v>
      </c>
      <c r="I99" s="93">
        <f>'Юнит 18'!I99</f>
        <v>0</v>
      </c>
      <c r="J99" s="93">
        <f>'Юнит 18'!J99</f>
        <v>0</v>
      </c>
      <c r="K99" s="93">
        <v>142.97999999999999</v>
      </c>
      <c r="L99" s="92">
        <f t="shared" ref="L99:L103" si="72">E99*K99</f>
        <v>0</v>
      </c>
      <c r="M99" s="89">
        <f>'Юнит 18'!M99</f>
        <v>0</v>
      </c>
      <c r="N99" s="89">
        <f>'Юнит 14'!N99+'Юнит 15'!N99+'Юнит 16'!N99+'Юнит 17'!N99+'Юнит 18'!N99</f>
        <v>0</v>
      </c>
      <c r="O99" s="89">
        <v>0</v>
      </c>
      <c r="P99" s="89">
        <v>0</v>
      </c>
      <c r="Q99" s="406"/>
      <c r="R99" s="92">
        <f t="shared" si="55"/>
        <v>0</v>
      </c>
      <c r="S99" s="89">
        <f>'Юнит 14'!S99+'Юнит 15'!S99+'Юнит 16'!S99+'Юнит 17'!S99+'Юнит 18'!S99</f>
        <v>0</v>
      </c>
      <c r="T99" s="89">
        <f>'Юнит 14'!T99+'Юнит 15'!T99+'Юнит 16'!T99+'Юнит 17'!T99+'Юнит 18'!T99</f>
        <v>0</v>
      </c>
      <c r="U99" s="92">
        <f t="shared" si="56"/>
        <v>0</v>
      </c>
      <c r="V99" s="89">
        <f>'Юнит 14'!V99+'Юнит 15'!V99+'Юнит 16'!V99+'Юнит 17'!V99+'Юнит 18'!V99</f>
        <v>0</v>
      </c>
      <c r="W99" s="89">
        <f>'Юнит 14'!W99+'Юнит 15'!W99+'Юнит 16'!W99+'Юнит 17'!W99+'Юнит 18'!W99</f>
        <v>0</v>
      </c>
      <c r="X99" s="92">
        <f t="shared" si="57"/>
        <v>0</v>
      </c>
      <c r="Y99" s="89">
        <f>'Юнит 14'!Y99+'Юнит 15'!Y99+'Юнит 16'!Y99+'Юнит 17'!Y99+'Юнит 18'!Y99</f>
        <v>0</v>
      </c>
      <c r="Z99" s="89">
        <f>'Юнит 14'!Z99+'Юнит 15'!Z99+'Юнит 16'!Z99+'Юнит 17'!Z99+'Юнит 18'!Z99</f>
        <v>0</v>
      </c>
      <c r="AA99" s="232">
        <f t="shared" si="58"/>
        <v>0</v>
      </c>
      <c r="AB99" s="92">
        <f t="shared" si="59"/>
        <v>0</v>
      </c>
      <c r="AC99" s="234">
        <f t="shared" si="60"/>
        <v>0</v>
      </c>
      <c r="AD99" s="92">
        <f t="shared" si="61"/>
        <v>0</v>
      </c>
      <c r="AE99" s="89">
        <f>'Юнит 14'!AE99+'Юнит 15'!AE99+'Юнит 16'!AE99+'Юнит 17'!AE99+'Юнит 18'!AE99</f>
        <v>0</v>
      </c>
      <c r="AF99" s="234">
        <f t="shared" si="62"/>
        <v>0</v>
      </c>
      <c r="AG99" s="89">
        <f>'Юнит 14'!AG99+'Юнит 15'!AG99+'Юнит 16'!AG99+'Юнит 17'!AG99+'Юнит 18'!AG99</f>
        <v>0</v>
      </c>
      <c r="AH99" s="89">
        <f>'Юнит 14'!AH99+'Юнит 15'!AH99+'Юнит 16'!AH99+'Юнит 17'!AH99+'Юнит 18'!AH99</f>
        <v>0</v>
      </c>
      <c r="AI99" s="89">
        <f>'Юнит 14'!AI99+'Юнит 15'!AI99+'Юнит 16'!AI99+'Юнит 17'!AI99+'Юнит 18'!AI99</f>
        <v>0</v>
      </c>
      <c r="AJ99" s="89">
        <f>'Юнит 14'!AJ99+'Юнит 15'!AJ99+'Юнит 16'!AJ99+'Юнит 17'!AJ99+'Юнит 18'!AJ99</f>
        <v>0</v>
      </c>
      <c r="AK99" s="89">
        <f>'Юнит 14'!AK99+'Юнит 15'!AK99+'Юнит 16'!AK99+'Юнит 17'!AK99+'Юнит 18'!AK99</f>
        <v>0</v>
      </c>
      <c r="AL99" s="89">
        <f>'Юнит 14'!AL99+'Юнит 15'!AL99+'Юнит 16'!AL99+'Юнит 17'!AL99+'Юнит 18'!AL99</f>
        <v>0</v>
      </c>
      <c r="AM99" s="89">
        <f>'Юнит 14'!AM99+'Юнит 15'!AM99+'Юнит 16'!AM99+'Юнит 17'!AM99+'Юнит 18'!AM99</f>
        <v>0</v>
      </c>
      <c r="AN99" s="94">
        <f t="shared" si="63"/>
        <v>0</v>
      </c>
      <c r="AO99" s="95">
        <f t="shared" si="64"/>
        <v>0</v>
      </c>
      <c r="AP99" s="96"/>
      <c r="AQ99" s="97">
        <f t="shared" si="68"/>
        <v>0</v>
      </c>
      <c r="AR99" s="98">
        <f t="shared" ref="AR99:AR103" si="73">K99</f>
        <v>142.97999999999999</v>
      </c>
      <c r="AS99" s="98">
        <f t="shared" si="69"/>
        <v>0</v>
      </c>
      <c r="AT99" s="98">
        <f t="shared" si="70"/>
        <v>0</v>
      </c>
      <c r="AU99" s="98">
        <f t="shared" si="66"/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si="7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0"/>
        <v>32</v>
      </c>
      <c r="F100" s="93">
        <f>'Юнит 18'!F100</f>
        <v>2</v>
      </c>
      <c r="G100" s="93">
        <f>'Юнит 18'!G100</f>
        <v>1</v>
      </c>
      <c r="H100" s="93">
        <f>'Юнит 18'!H100</f>
        <v>29</v>
      </c>
      <c r="I100" s="93">
        <f>'Юнит 18'!I100</f>
        <v>0</v>
      </c>
      <c r="J100" s="93">
        <f>'Юнит 18'!J100</f>
        <v>0</v>
      </c>
      <c r="K100" s="93">
        <v>142.97999999999999</v>
      </c>
      <c r="L100" s="92">
        <f t="shared" si="72"/>
        <v>4575.3599999999997</v>
      </c>
      <c r="M100" s="89">
        <f>'Юнит 18'!M100</f>
        <v>190</v>
      </c>
      <c r="N100" s="89">
        <f>'Юнит 14'!N100+'Юнит 15'!N100+'Юнит 16'!N100+'Юнит 17'!N100+'Юнит 18'!N100</f>
        <v>20</v>
      </c>
      <c r="O100" s="89">
        <v>1300</v>
      </c>
      <c r="P100" s="89">
        <v>40</v>
      </c>
      <c r="Q100" s="406">
        <f t="shared" ref="Q100" si="76">U100/N100</f>
        <v>0.45</v>
      </c>
      <c r="R100" s="92">
        <f t="shared" si="55"/>
        <v>1.2857142857142858</v>
      </c>
      <c r="S100" s="89">
        <f>'Юнит 14'!S100+'Юнит 15'!S100+'Юнит 16'!S100+'Юнит 17'!S100+'Юнит 18'!S100</f>
        <v>10</v>
      </c>
      <c r="T100" s="89">
        <f>'Юнит 14'!T100+'Юнит 15'!T100+'Юнит 16'!T100+'Юнит 17'!T100+'Юнит 18'!T100</f>
        <v>-1</v>
      </c>
      <c r="U100" s="92">
        <f t="shared" si="56"/>
        <v>9</v>
      </c>
      <c r="V100" s="89">
        <f>'Юнит 14'!V100+'Юнит 15'!V100+'Юнит 16'!V100+'Юнит 17'!V100+'Юнит 18'!V100</f>
        <v>8676</v>
      </c>
      <c r="W100" s="89">
        <f>'Юнит 14'!W100+'Юнит 15'!W100+'Юнит 16'!W100+'Юнит 17'!W100+'Юнит 18'!W100</f>
        <v>-834</v>
      </c>
      <c r="X100" s="92">
        <f t="shared" si="57"/>
        <v>7842</v>
      </c>
      <c r="Y100" s="89">
        <f>'Юнит 14'!Y100+'Юнит 15'!Y100+'Юнит 16'!Y100+'Юнит 17'!Y100+'Юнит 18'!Y100</f>
        <v>13000</v>
      </c>
      <c r="Z100" s="89">
        <f>'Юнит 14'!Z100+'Юнит 15'!Z100+'Юнит 16'!Z100+'Юнит 17'!Z100+'Юнит 18'!Z100</f>
        <v>-1300</v>
      </c>
      <c r="AA100" s="232">
        <f t="shared" si="58"/>
        <v>11700</v>
      </c>
      <c r="AB100" s="92">
        <f t="shared" si="59"/>
        <v>10400</v>
      </c>
      <c r="AC100" s="234">
        <f t="shared" si="60"/>
        <v>7.7504900812079742E-4</v>
      </c>
      <c r="AD100" s="92">
        <f t="shared" si="61"/>
        <v>1286.82</v>
      </c>
      <c r="AE100" s="89">
        <f>'Юнит 14'!AE100+'Юнит 15'!AE100+'Юнит 16'!AE100+'Юнит 17'!AE100+'Юнит 18'!AE100</f>
        <v>4441.3</v>
      </c>
      <c r="AF100" s="234">
        <f t="shared" si="62"/>
        <v>0.37959829059829059</v>
      </c>
      <c r="AG100" s="89">
        <f>'Юнит 14'!AG100+'Юнит 15'!AG100+'Юнит 16'!AG100+'Юнит 17'!AG100+'Юнит 18'!AG100</f>
        <v>1474.9499999999998</v>
      </c>
      <c r="AH100" s="89">
        <f>'Юнит 14'!AH100+'Юнит 15'!AH100+'Юнит 16'!AH100+'Юнит 17'!AH100+'Юнит 18'!AH100</f>
        <v>0</v>
      </c>
      <c r="AI100" s="89">
        <f>'Юнит 14'!AI100+'Юнит 15'!AI100+'Юнит 16'!AI100+'Юнит 17'!AI100+'Юнит 18'!AI100</f>
        <v>0</v>
      </c>
      <c r="AJ100" s="89">
        <f>'Юнит 14'!AJ100+'Юнит 15'!AJ100+'Юнит 16'!AJ100+'Юнит 17'!AJ100+'Юнит 18'!AJ100</f>
        <v>0</v>
      </c>
      <c r="AK100" s="89">
        <f>'Юнит 14'!AK100+'Юнит 15'!AK100+'Юнит 16'!AK100+'Юнит 17'!AK100+'Юнит 18'!AK100</f>
        <v>0</v>
      </c>
      <c r="AL100" s="89">
        <f>'Юнит 14'!AL100+'Юнит 15'!AL100+'Юнит 16'!AL100+'Юнит 17'!AL100+'Юнит 18'!AL100</f>
        <v>150.63899482069056</v>
      </c>
      <c r="AM100" s="89">
        <f>'Юнит 14'!AM100+'Юнит 15'!AM100+'Юнит 16'!AM100+'Юнит 17'!AM100+'Юнит 18'!AM100</f>
        <v>0</v>
      </c>
      <c r="AN100" s="94">
        <f t="shared" si="63"/>
        <v>447.77819999999997</v>
      </c>
      <c r="AO100" s="95">
        <f t="shared" si="64"/>
        <v>3898.5128051793099</v>
      </c>
      <c r="AP100" s="96"/>
      <c r="AQ100" s="97">
        <f t="shared" si="68"/>
        <v>1300</v>
      </c>
      <c r="AR100" s="98">
        <f t="shared" si="73"/>
        <v>142.97999999999999</v>
      </c>
      <c r="AS100" s="98">
        <f t="shared" si="69"/>
        <v>493.47777777777782</v>
      </c>
      <c r="AT100" s="98">
        <f t="shared" si="70"/>
        <v>147.49499999999998</v>
      </c>
      <c r="AU100" s="98">
        <f t="shared" si="66"/>
        <v>0</v>
      </c>
      <c r="AV100" s="98">
        <f t="array" ref="AV100">_xlfn.IFS(U100=0,AO100,U100&lt;0,AO100/-U100,U100&gt;0,AO100/U100)</f>
        <v>433.16808946436777</v>
      </c>
      <c r="AW100" s="234">
        <f t="shared" si="74"/>
        <v>0.3332062226648983</v>
      </c>
      <c r="AX100" s="234">
        <f t="shared" si="75"/>
        <v>3.029571195022855</v>
      </c>
      <c r="AY100" s="99"/>
      <c r="AZ100" s="94">
        <f t="shared" si="71"/>
        <v>13861.378862859769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0"/>
        <v>0</v>
      </c>
      <c r="F101" s="93">
        <f>'Юнит 18'!F101</f>
        <v>0</v>
      </c>
      <c r="G101" s="93">
        <f>'Юнит 18'!G101</f>
        <v>0</v>
      </c>
      <c r="H101" s="93">
        <f>'Юнит 18'!H101</f>
        <v>0</v>
      </c>
      <c r="I101" s="93">
        <f>'Юнит 18'!I101</f>
        <v>0</v>
      </c>
      <c r="J101" s="93">
        <f>'Юнит 18'!J101</f>
        <v>0</v>
      </c>
      <c r="K101" s="92">
        <v>123.09</v>
      </c>
      <c r="L101" s="92">
        <f t="shared" si="72"/>
        <v>0</v>
      </c>
      <c r="M101" s="89">
        <f>'Юнит 18'!M101</f>
        <v>0</v>
      </c>
      <c r="N101" s="89">
        <f>'Юнит 14'!N101+'Юнит 15'!N101+'Юнит 16'!N101+'Юнит 17'!N101+'Юнит 18'!N101</f>
        <v>0</v>
      </c>
      <c r="O101" s="89">
        <v>0</v>
      </c>
      <c r="P101" s="89">
        <v>0</v>
      </c>
      <c r="Q101" s="406"/>
      <c r="R101" s="92">
        <f t="shared" si="55"/>
        <v>0</v>
      </c>
      <c r="S101" s="89">
        <f>'Юнит 14'!S101+'Юнит 15'!S101+'Юнит 16'!S101+'Юнит 17'!S101+'Юнит 18'!S101</f>
        <v>0</v>
      </c>
      <c r="T101" s="89">
        <f>'Юнит 14'!T101+'Юнит 15'!T101+'Юнит 16'!T101+'Юнит 17'!T101+'Юнит 18'!T101</f>
        <v>0</v>
      </c>
      <c r="U101" s="92">
        <f t="shared" si="56"/>
        <v>0</v>
      </c>
      <c r="V101" s="89">
        <f>'Юнит 14'!V101+'Юнит 15'!V101+'Юнит 16'!V101+'Юнит 17'!V101+'Юнит 18'!V101</f>
        <v>0</v>
      </c>
      <c r="W101" s="89">
        <f>'Юнит 14'!W101+'Юнит 15'!W101+'Юнит 16'!W101+'Юнит 17'!W101+'Юнит 18'!W101</f>
        <v>0</v>
      </c>
      <c r="X101" s="92">
        <f t="shared" si="57"/>
        <v>0</v>
      </c>
      <c r="Y101" s="89">
        <f>'Юнит 14'!Y101+'Юнит 15'!Y101+'Юнит 16'!Y101+'Юнит 17'!Y101+'Юнит 18'!Y101</f>
        <v>0</v>
      </c>
      <c r="Z101" s="89">
        <f>'Юнит 14'!Z101+'Юнит 15'!Z101+'Юнит 16'!Z101+'Юнит 17'!Z101+'Юнит 18'!Z101</f>
        <v>0</v>
      </c>
      <c r="AA101" s="232">
        <f t="shared" si="58"/>
        <v>0</v>
      </c>
      <c r="AB101" s="92">
        <f t="shared" si="59"/>
        <v>0</v>
      </c>
      <c r="AC101" s="234">
        <f t="shared" si="60"/>
        <v>0</v>
      </c>
      <c r="AD101" s="92">
        <f t="shared" si="61"/>
        <v>0</v>
      </c>
      <c r="AE101" s="89">
        <f>'Юнит 14'!AE101+'Юнит 15'!AE101+'Юнит 16'!AE101+'Юнит 17'!AE101+'Юнит 18'!AE101</f>
        <v>0</v>
      </c>
      <c r="AF101" s="234">
        <f t="shared" si="62"/>
        <v>0</v>
      </c>
      <c r="AG101" s="89">
        <f>'Юнит 14'!AG101+'Юнит 15'!AG101+'Юнит 16'!AG101+'Юнит 17'!AG101+'Юнит 18'!AG101</f>
        <v>0</v>
      </c>
      <c r="AH101" s="89">
        <f>'Юнит 14'!AH101+'Юнит 15'!AH101+'Юнит 16'!AH101+'Юнит 17'!AH101+'Юнит 18'!AH101</f>
        <v>0</v>
      </c>
      <c r="AI101" s="89">
        <f>'Юнит 14'!AI101+'Юнит 15'!AI101+'Юнит 16'!AI101+'Юнит 17'!AI101+'Юнит 18'!AI101</f>
        <v>0</v>
      </c>
      <c r="AJ101" s="89">
        <f>'Юнит 14'!AJ101+'Юнит 15'!AJ101+'Юнит 16'!AJ101+'Юнит 17'!AJ101+'Юнит 18'!AJ101</f>
        <v>0</v>
      </c>
      <c r="AK101" s="89">
        <f>'Юнит 14'!AK101+'Юнит 15'!AK101+'Юнит 16'!AK101+'Юнит 17'!AK101+'Юнит 18'!AK101</f>
        <v>0</v>
      </c>
      <c r="AL101" s="89">
        <f>'Юнит 14'!AL101+'Юнит 15'!AL101+'Юнит 16'!AL101+'Юнит 17'!AL101+'Юнит 18'!AL101</f>
        <v>0</v>
      </c>
      <c r="AM101" s="89">
        <f>'Юнит 14'!AM101+'Юнит 15'!AM101+'Юнит 16'!AM101+'Юнит 17'!AM101+'Юнит 18'!AM101</f>
        <v>0</v>
      </c>
      <c r="AN101" s="94">
        <f t="shared" si="63"/>
        <v>0</v>
      </c>
      <c r="AO101" s="95">
        <f t="shared" si="64"/>
        <v>0</v>
      </c>
      <c r="AP101" s="96"/>
      <c r="AQ101" s="97">
        <f t="shared" si="68"/>
        <v>0</v>
      </c>
      <c r="AR101" s="98">
        <f t="shared" si="73"/>
        <v>123.09</v>
      </c>
      <c r="AS101" s="98">
        <f t="shared" si="69"/>
        <v>0</v>
      </c>
      <c r="AT101" s="98">
        <f t="shared" si="70"/>
        <v>0</v>
      </c>
      <c r="AU101" s="98">
        <f t="shared" si="66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0"/>
        <v>122</v>
      </c>
      <c r="F102" s="93">
        <f>'Юнит 18'!F102</f>
        <v>5</v>
      </c>
      <c r="G102" s="93">
        <f>'Юнит 18'!G102</f>
        <v>1</v>
      </c>
      <c r="H102" s="93">
        <f>'Юнит 18'!H102</f>
        <v>116</v>
      </c>
      <c r="I102" s="93">
        <f>'Юнит 18'!I102</f>
        <v>0</v>
      </c>
      <c r="J102" s="93">
        <f>'Юнит 18'!J102</f>
        <v>0</v>
      </c>
      <c r="K102" s="92">
        <v>123.09</v>
      </c>
      <c r="L102" s="92">
        <f t="shared" si="72"/>
        <v>15016.98</v>
      </c>
      <c r="M102" s="89">
        <f>'Юнит 18'!M102</f>
        <v>999</v>
      </c>
      <c r="N102" s="89">
        <f>'Юнит 14'!N102+'Юнит 15'!N102+'Юнит 16'!N102+'Юнит 17'!N102+'Юнит 18'!N102</f>
        <v>108</v>
      </c>
      <c r="O102" s="89">
        <v>1300</v>
      </c>
      <c r="P102" s="89">
        <v>25</v>
      </c>
      <c r="Q102" s="406">
        <f t="shared" ref="Q102" si="77">U102/N102</f>
        <v>0.30555555555555558</v>
      </c>
      <c r="R102" s="92">
        <f t="shared" si="55"/>
        <v>4.7142857142857144</v>
      </c>
      <c r="S102" s="89">
        <f>'Юнит 14'!S102+'Юнит 15'!S102+'Юнит 16'!S102+'Юнит 17'!S102+'Юнит 18'!S102</f>
        <v>37</v>
      </c>
      <c r="T102" s="89">
        <f>'Юнит 14'!T102+'Юнит 15'!T102+'Юнит 16'!T102+'Юнит 17'!T102+'Юнит 18'!T102</f>
        <v>-4</v>
      </c>
      <c r="U102" s="92">
        <f t="shared" si="56"/>
        <v>33</v>
      </c>
      <c r="V102" s="89">
        <f>'Юнит 14'!V102+'Юнит 15'!V102+'Юнит 16'!V102+'Юнит 17'!V102+'Юнит 18'!V102</f>
        <v>31654.48</v>
      </c>
      <c r="W102" s="89">
        <f>'Юнит 14'!W102+'Юнит 15'!W102+'Юнит 16'!W102+'Юнит 17'!W102+'Юнит 18'!W102</f>
        <v>-3291</v>
      </c>
      <c r="X102" s="92">
        <f t="shared" si="57"/>
        <v>28363.48</v>
      </c>
      <c r="Y102" s="89">
        <f>'Юнит 14'!Y102+'Юнит 15'!Y102+'Юнит 16'!Y102+'Юнит 17'!Y102+'Юнит 18'!Y102</f>
        <v>48100.99</v>
      </c>
      <c r="Z102" s="89">
        <f>'Юнит 14'!Z102+'Юнит 15'!Z102+'Юнит 16'!Z102+'Юнит 17'!Z102+'Юнит 18'!Z102</f>
        <v>-5200</v>
      </c>
      <c r="AA102" s="232">
        <f t="shared" si="58"/>
        <v>42900.99</v>
      </c>
      <c r="AB102" s="92">
        <f t="shared" si="59"/>
        <v>35100</v>
      </c>
      <c r="AC102" s="234">
        <f t="shared" si="60"/>
        <v>2.8419119441795084E-3</v>
      </c>
      <c r="AD102" s="92">
        <f t="shared" si="61"/>
        <v>4061.9700000000003</v>
      </c>
      <c r="AE102" s="89">
        <f>'Юнит 14'!AE102+'Юнит 15'!AE102+'Юнит 16'!AE102+'Юнит 17'!AE102+'Юнит 18'!AE102</f>
        <v>16214.050000000001</v>
      </c>
      <c r="AF102" s="234">
        <f t="shared" si="62"/>
        <v>0.37794116173076664</v>
      </c>
      <c r="AG102" s="89">
        <f>'Юнит 14'!AG102+'Юнит 15'!AG102+'Юнит 16'!AG102+'Юнит 17'!AG102+'Юнит 18'!AG102</f>
        <v>10264.519999999997</v>
      </c>
      <c r="AH102" s="89">
        <f>'Юнит 14'!AH102+'Юнит 15'!AH102+'Юнит 16'!AH102+'Юнит 17'!AH102+'Юнит 18'!AH102</f>
        <v>998</v>
      </c>
      <c r="AI102" s="89">
        <f>'Юнит 14'!AI102+'Юнит 15'!AI102+'Юнит 16'!AI102+'Юнит 17'!AI102+'Юнит 18'!AI102</f>
        <v>7500</v>
      </c>
      <c r="AJ102" s="89">
        <f>'Юнит 14'!AJ102+'Юнит 15'!AJ102+'Юнит 16'!AJ102+'Юнит 17'!AJ102+'Юнит 18'!AJ102</f>
        <v>0</v>
      </c>
      <c r="AK102" s="89">
        <f>'Юнит 14'!AK102+'Юнит 15'!AK102+'Юнит 16'!AK102+'Юнит 17'!AK102+'Юнит 18'!AK102</f>
        <v>0</v>
      </c>
      <c r="AL102" s="89">
        <f>'Юнит 14'!AL102+'Юнит 15'!AL102+'Юнит 16'!AL102+'Юнит 17'!AL102+'Юнит 18'!AL102</f>
        <v>528.69488309722374</v>
      </c>
      <c r="AM102" s="89">
        <f>'Юнит 14'!AM102+'Юнит 15'!AM102+'Юнит 16'!AM102+'Юнит 17'!AM102+'Юнит 18'!AM102</f>
        <v>0</v>
      </c>
      <c r="AN102" s="94">
        <f t="shared" si="63"/>
        <v>1619.5547079999999</v>
      </c>
      <c r="AO102" s="95">
        <f t="shared" si="64"/>
        <v>1714.2004089027735</v>
      </c>
      <c r="AP102" s="96"/>
      <c r="AQ102" s="97">
        <f t="shared" si="68"/>
        <v>1300.03</v>
      </c>
      <c r="AR102" s="98">
        <f t="shared" si="73"/>
        <v>123.09</v>
      </c>
      <c r="AS102" s="98">
        <f t="shared" si="69"/>
        <v>491.33484848484852</v>
      </c>
      <c r="AT102" s="98">
        <f t="shared" si="70"/>
        <v>277.41945945945935</v>
      </c>
      <c r="AU102" s="98">
        <f t="shared" si="66"/>
        <v>229.67567567567568</v>
      </c>
      <c r="AV102" s="98">
        <f t="array" ref="AV102">_xlfn.IFS(U102=0,AO102,U102&lt;0,AO102/-U102,U102&gt;0,AO102/U102)</f>
        <v>51.94546693644768</v>
      </c>
      <c r="AW102" s="234">
        <f t="shared" si="74"/>
        <v>3.9957129401973553E-2</v>
      </c>
      <c r="AX102" s="234">
        <f t="shared" si="75"/>
        <v>0.42201208007512941</v>
      </c>
      <c r="AY102" s="99"/>
      <c r="AZ102" s="94">
        <f t="shared" si="71"/>
        <v>6337.3469662466168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0"/>
        <v>0</v>
      </c>
      <c r="F103" s="93">
        <f>'Юнит 18'!F103</f>
        <v>0</v>
      </c>
      <c r="G103" s="93">
        <f>'Юнит 18'!G103</f>
        <v>0</v>
      </c>
      <c r="H103" s="93">
        <f>'Юнит 18'!H103</f>
        <v>0</v>
      </c>
      <c r="I103" s="93">
        <f>'Юнит 18'!I103</f>
        <v>0</v>
      </c>
      <c r="J103" s="93">
        <f>'Юнит 18'!J103</f>
        <v>0</v>
      </c>
      <c r="K103" s="93">
        <v>107.88</v>
      </c>
      <c r="L103" s="92">
        <f t="shared" si="72"/>
        <v>0</v>
      </c>
      <c r="M103" s="89" t="str">
        <f>'Юнит 18'!M103</f>
        <v/>
      </c>
      <c r="N103" s="89">
        <f>'Юнит 14'!N103+'Юнит 15'!N103+'Юнит 16'!N103+'Юнит 17'!N103+'Юнит 18'!N103</f>
        <v>0</v>
      </c>
      <c r="O103" s="89">
        <v>0</v>
      </c>
      <c r="P103" s="89">
        <v>0</v>
      </c>
      <c r="Q103" s="406"/>
      <c r="R103" s="92">
        <f t="shared" si="55"/>
        <v>0</v>
      </c>
      <c r="S103" s="89">
        <f>'Юнит 14'!S103+'Юнит 15'!S103+'Юнит 16'!S103+'Юнит 17'!S103+'Юнит 18'!S103</f>
        <v>0</v>
      </c>
      <c r="T103" s="89">
        <f>'Юнит 14'!T103+'Юнит 15'!T103+'Юнит 16'!T103+'Юнит 17'!T103+'Юнит 18'!T103</f>
        <v>0</v>
      </c>
      <c r="U103" s="92">
        <f t="shared" si="56"/>
        <v>0</v>
      </c>
      <c r="V103" s="89">
        <f>'Юнит 14'!V103+'Юнит 15'!V103+'Юнит 16'!V103+'Юнит 17'!V103+'Юнит 18'!V103</f>
        <v>0</v>
      </c>
      <c r="W103" s="89">
        <f>'Юнит 14'!W103+'Юнит 15'!W103+'Юнит 16'!W103+'Юнит 17'!W103+'Юнит 18'!W103</f>
        <v>0</v>
      </c>
      <c r="X103" s="92">
        <f t="shared" si="57"/>
        <v>0</v>
      </c>
      <c r="Y103" s="89">
        <f>'Юнит 14'!Y103+'Юнит 15'!Y103+'Юнит 16'!Y103+'Юнит 17'!Y103+'Юнит 18'!Y103</f>
        <v>0</v>
      </c>
      <c r="Z103" s="89">
        <f>'Юнит 14'!Z103+'Юнит 15'!Z103+'Юнит 16'!Z103+'Юнит 17'!Z103+'Юнит 18'!Z103</f>
        <v>0</v>
      </c>
      <c r="AA103" s="232">
        <f t="shared" si="58"/>
        <v>0</v>
      </c>
      <c r="AB103" s="92">
        <f t="shared" si="59"/>
        <v>0</v>
      </c>
      <c r="AC103" s="234">
        <f t="shared" si="60"/>
        <v>0</v>
      </c>
      <c r="AD103" s="92">
        <f t="shared" si="61"/>
        <v>0</v>
      </c>
      <c r="AE103" s="89">
        <f>'Юнит 14'!AE103+'Юнит 15'!AE103+'Юнит 16'!AE103+'Юнит 17'!AE103+'Юнит 18'!AE103</f>
        <v>0</v>
      </c>
      <c r="AF103" s="234">
        <f t="shared" si="62"/>
        <v>0</v>
      </c>
      <c r="AG103" s="89">
        <f>'Юнит 14'!AG103+'Юнит 15'!AG103+'Юнит 16'!AG103+'Юнит 17'!AG103+'Юнит 18'!AG103</f>
        <v>0</v>
      </c>
      <c r="AH103" s="89">
        <f>'Юнит 14'!AH103+'Юнит 15'!AH103+'Юнит 16'!AH103+'Юнит 17'!AH103+'Юнит 18'!AH103</f>
        <v>0</v>
      </c>
      <c r="AI103" s="89">
        <f>'Юнит 14'!AI103+'Юнит 15'!AI103+'Юнит 16'!AI103+'Юнит 17'!AI103+'Юнит 18'!AI103</f>
        <v>0</v>
      </c>
      <c r="AJ103" s="89">
        <f>'Юнит 14'!AJ103+'Юнит 15'!AJ103+'Юнит 16'!AJ103+'Юнит 17'!AJ103+'Юнит 18'!AJ103</f>
        <v>0</v>
      </c>
      <c r="AK103" s="89">
        <f>'Юнит 14'!AK103+'Юнит 15'!AK103+'Юнит 16'!AK103+'Юнит 17'!AK103+'Юнит 18'!AK103</f>
        <v>0</v>
      </c>
      <c r="AL103" s="89">
        <f>'Юнит 14'!AL103+'Юнит 15'!AL103+'Юнит 16'!AL103+'Юнит 17'!AL103+'Юнит 18'!AL103</f>
        <v>0</v>
      </c>
      <c r="AM103" s="89">
        <f>'Юнит 14'!AM103+'Юнит 15'!AM103+'Юнит 16'!AM103+'Юнит 17'!AM103+'Юнит 18'!AM103</f>
        <v>0</v>
      </c>
      <c r="AN103" s="94">
        <f t="shared" si="63"/>
        <v>0</v>
      </c>
      <c r="AO103" s="95">
        <f t="shared" si="64"/>
        <v>0</v>
      </c>
      <c r="AP103" s="96"/>
      <c r="AQ103" s="97">
        <f t="shared" si="68"/>
        <v>0</v>
      </c>
      <c r="AR103" s="98">
        <f t="shared" si="73"/>
        <v>107.88</v>
      </c>
      <c r="AS103" s="98">
        <f t="shared" si="69"/>
        <v>0</v>
      </c>
      <c r="AT103" s="98">
        <f t="shared" si="70"/>
        <v>0</v>
      </c>
      <c r="AU103" s="98">
        <f t="shared" si="66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1"/>
        <v>0</v>
      </c>
    </row>
    <row r="104" spans="1:52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50"/>
        <v>290</v>
      </c>
      <c r="F104" s="93">
        <f>'Юнит 18'!F104</f>
        <v>26</v>
      </c>
      <c r="G104" s="93">
        <f>'Юнит 18'!G104</f>
        <v>3</v>
      </c>
      <c r="H104" s="93">
        <f>'Юнит 18'!H104</f>
        <v>61</v>
      </c>
      <c r="I104" s="93">
        <f>'Юнит 18'!I104</f>
        <v>0</v>
      </c>
      <c r="J104" s="93">
        <f>'Юнит 18'!J104</f>
        <v>200</v>
      </c>
      <c r="K104" s="93">
        <v>142.97999999999999</v>
      </c>
      <c r="L104" s="92">
        <f t="shared" ref="L104" si="78">E104*K104</f>
        <v>41464.199999999997</v>
      </c>
      <c r="M104" s="89">
        <f>'Юнит 18'!M104</f>
        <v>42</v>
      </c>
      <c r="N104" s="89">
        <f>'Юнит 16'!N104+'Юнит 17'!N104+'Юнит 18'!N104</f>
        <v>64</v>
      </c>
      <c r="O104" s="89">
        <v>1990</v>
      </c>
      <c r="P104" s="89">
        <v>79</v>
      </c>
      <c r="Q104" s="406"/>
      <c r="R104" s="92">
        <f t="shared" ref="R104" si="79">U104/7</f>
        <v>4.2857142857142856</v>
      </c>
      <c r="S104" s="89">
        <f>'Юнит 16'!S104+'Юнит 17'!S104+'Юнит 18'!S104</f>
        <v>30</v>
      </c>
      <c r="T104" s="89">
        <f>'Юнит 16'!T104+'Юнит 17'!T104+'Юнит 18'!T104</f>
        <v>0</v>
      </c>
      <c r="U104" s="92">
        <f t="shared" si="56"/>
        <v>30</v>
      </c>
      <c r="V104" s="89">
        <f>'Юнит 16'!V104+'Юнит 17'!V104+'Юнит 18'!V104</f>
        <v>54365.89</v>
      </c>
      <c r="W104" s="89">
        <f>'Юнит 16'!W104+'Юнит 17'!W104+'Юнит 18'!W104</f>
        <v>0</v>
      </c>
      <c r="X104" s="92">
        <f t="shared" si="57"/>
        <v>54365.89</v>
      </c>
      <c r="Y104" s="89">
        <f>'Юнит 16'!Y104+'Юнит 17'!Y104+'Юнит 18'!Y104</f>
        <v>59649.759999999995</v>
      </c>
      <c r="Z104" s="89">
        <f>'Юнит 16'!Z104+'Юнит 17'!Z104+'Юнит 18'!Z104</f>
        <v>0</v>
      </c>
      <c r="AA104" s="232">
        <f t="shared" si="58"/>
        <v>59649.759999999995</v>
      </c>
      <c r="AB104" s="92">
        <f t="shared" si="59"/>
        <v>100614.39999999999</v>
      </c>
      <c r="AC104" s="234">
        <f t="shared" si="60"/>
        <v>3.9514091728755224E-3</v>
      </c>
      <c r="AD104" s="92">
        <f t="shared" si="61"/>
        <v>4289.3999999999996</v>
      </c>
      <c r="AE104" s="89">
        <f>'Юнит 16'!AE104+'Юнит 17'!AE104+'Юнит 18'!AE104</f>
        <v>10992.630000000008</v>
      </c>
      <c r="AF104" s="234">
        <f t="shared" si="62"/>
        <v>0.18428624021286941</v>
      </c>
      <c r="AG104" s="89">
        <f>'Юнит 16'!AG104+'Юнит 17'!AG104+'Юнит 18'!AG104</f>
        <v>1198.8800000000001</v>
      </c>
      <c r="AH104" s="89">
        <f>'Юнит 16'!AH104+'Юнит 17'!AH104+'Юнит 18'!AH104</f>
        <v>0</v>
      </c>
      <c r="AI104" s="89">
        <f>'Юнит 16'!AI104+'Юнит 17'!AI104+'Юнит 18'!AI104</f>
        <v>294</v>
      </c>
      <c r="AJ104" s="89">
        <f>'Юнит 16'!AJ104+'Юнит 17'!AJ104+'Юнит 18'!AJ104</f>
        <v>6930</v>
      </c>
      <c r="AK104" s="89">
        <f>'Юнит 16'!AK104+'Юнит 17'!AK104+'Юнит 18'!AK104</f>
        <v>0</v>
      </c>
      <c r="AL104" s="89">
        <f>'Юнит 16'!AL104+'Юнит 17'!AL104+'Юнит 18'!AL104</f>
        <v>242.38386192940754</v>
      </c>
      <c r="AM104" s="89">
        <f>'Юнит 16'!AM104+'Юнит 17'!AM104+'Юнит 18'!AM104</f>
        <v>0</v>
      </c>
      <c r="AN104" s="94">
        <f>X104*5.71%</f>
        <v>3104.2923189999997</v>
      </c>
      <c r="AO104" s="95">
        <f t="shared" si="64"/>
        <v>32598.173819070573</v>
      </c>
      <c r="AP104" s="96"/>
      <c r="AQ104" s="97">
        <f t="shared" ref="AQ104" si="80">IF(U104=0,0,AA104/U104)</f>
        <v>1988.3253333333332</v>
      </c>
      <c r="AR104" s="98">
        <f t="shared" ref="AR104" si="81">K104</f>
        <v>142.97999999999999</v>
      </c>
      <c r="AS104" s="98">
        <f t="shared" ref="AS104" si="82">IF(U104=0,0,AE104/U104)</f>
        <v>366.42100000000028</v>
      </c>
      <c r="AT104" s="98">
        <f t="shared" ref="AT104" si="83">IF(S104=0,AG104/1,AG104/S104)</f>
        <v>39.962666666666671</v>
      </c>
      <c r="AU104" s="98">
        <f t="shared" ref="AU104" si="84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85">IF(AQ104=0,0,AV104/AQ104)</f>
        <v>0.54649295854787305</v>
      </c>
      <c r="AX104" s="234">
        <f t="shared" ref="AX104" si="86">IF(AR104=0,0,AV104/AR104)</f>
        <v>7.5997048116451191</v>
      </c>
      <c r="AY104" s="99"/>
      <c r="AZ104" s="94">
        <f t="shared" ref="AZ104" si="87">AV104*E104</f>
        <v>315115.68025101552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23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88">AVERAGE(AQ7:AQ98)</f>
        <v>831.90202917847887</v>
      </c>
      <c r="AR105" s="111">
        <f t="shared" si="88"/>
        <v>141.22217391304349</v>
      </c>
      <c r="AS105" s="111">
        <f t="shared" si="88"/>
        <v>307.43840276006665</v>
      </c>
      <c r="AT105" s="111">
        <f t="shared" si="88"/>
        <v>188.35353877932994</v>
      </c>
      <c r="AU105" s="111">
        <f t="shared" si="88"/>
        <v>163.04436342643811</v>
      </c>
      <c r="AV105" s="111">
        <f t="shared" si="88"/>
        <v>-13.705526992426872</v>
      </c>
      <c r="AW105" s="112">
        <f t="shared" si="88"/>
        <v>-2.8494820772748761E-2</v>
      </c>
      <c r="AX105" s="112">
        <f t="shared" si="88"/>
        <v>-0.21178880599482872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9">SUM(E3:E104)</f>
        <v>60317</v>
      </c>
      <c r="F106" s="116">
        <f t="shared" si="89"/>
        <v>2018</v>
      </c>
      <c r="G106" s="116">
        <f t="shared" si="89"/>
        <v>523</v>
      </c>
      <c r="H106" s="116">
        <f t="shared" si="89"/>
        <v>8960</v>
      </c>
      <c r="I106" s="116">
        <f t="shared" si="89"/>
        <v>1461</v>
      </c>
      <c r="J106" s="116">
        <f t="shared" si="89"/>
        <v>47355</v>
      </c>
      <c r="K106" s="116"/>
      <c r="L106" s="116">
        <f>SUM(L3:L104)</f>
        <v>7476750.2700000042</v>
      </c>
      <c r="M106" s="116"/>
      <c r="N106" s="116">
        <f>SUM(N3:N104)</f>
        <v>18435</v>
      </c>
      <c r="O106" s="116"/>
      <c r="P106" s="116"/>
      <c r="Q106" s="212"/>
      <c r="R106" s="116"/>
      <c r="S106" s="116">
        <f t="shared" ref="S106:AE106" si="90">SUM(S3:S104)</f>
        <v>10509</v>
      </c>
      <c r="T106" s="116">
        <f t="shared" si="90"/>
        <v>-251</v>
      </c>
      <c r="U106" s="116">
        <f t="shared" si="90"/>
        <v>10258</v>
      </c>
      <c r="V106" s="116">
        <f t="shared" si="90"/>
        <v>10436706.1</v>
      </c>
      <c r="W106" s="116">
        <f t="shared" si="90"/>
        <v>-246027.75</v>
      </c>
      <c r="X106" s="116">
        <f t="shared" si="90"/>
        <v>10190678.349999998</v>
      </c>
      <c r="Y106" s="116">
        <f t="shared" si="90"/>
        <v>15464413.649999999</v>
      </c>
      <c r="Z106" s="116">
        <f t="shared" si="90"/>
        <v>-368594.06000000006</v>
      </c>
      <c r="AA106" s="238">
        <f t="shared" si="90"/>
        <v>15095819.589999996</v>
      </c>
      <c r="AB106" s="116">
        <f t="shared" si="90"/>
        <v>14509802.43</v>
      </c>
      <c r="AC106" s="239">
        <f t="shared" si="90"/>
        <v>1.0000000000000002</v>
      </c>
      <c r="AD106" s="117">
        <f t="shared" si="90"/>
        <v>1272600.6299999994</v>
      </c>
      <c r="AE106" s="116">
        <f t="shared" si="90"/>
        <v>5687924.8200000012</v>
      </c>
      <c r="AF106" s="239">
        <f>AE106/AA106</f>
        <v>0.37678807606894582</v>
      </c>
      <c r="AG106" s="116">
        <f t="shared" ref="AG106:AO106" si="91">SUM(AG3:AG104)</f>
        <v>1392229.3999999994</v>
      </c>
      <c r="AH106" s="117">
        <f t="shared" si="91"/>
        <v>62861</v>
      </c>
      <c r="AI106" s="117">
        <f t="shared" si="91"/>
        <v>1288620</v>
      </c>
      <c r="AJ106" s="117">
        <f t="shared" si="91"/>
        <v>409686</v>
      </c>
      <c r="AK106" s="117">
        <f t="shared" si="91"/>
        <v>0</v>
      </c>
      <c r="AL106" s="117">
        <f t="shared" si="91"/>
        <v>48801.470000000016</v>
      </c>
      <c r="AM106" s="116">
        <f t="shared" si="91"/>
        <v>11888.98</v>
      </c>
      <c r="AN106" s="117">
        <f t="shared" si="91"/>
        <v>581887.73378499993</v>
      </c>
      <c r="AO106" s="117">
        <f t="shared" si="91"/>
        <v>4339319.5562150013</v>
      </c>
      <c r="AP106" s="118"/>
      <c r="AQ106" s="116"/>
      <c r="AR106" s="116"/>
      <c r="AS106" s="116"/>
      <c r="AT106" s="116"/>
      <c r="AU106" s="240">
        <f>(AH106+AI106+AJ106)/S106</f>
        <v>167.58654486630508</v>
      </c>
      <c r="AV106" s="116"/>
      <c r="AW106" s="116"/>
      <c r="AX106" s="116"/>
      <c r="AY106" s="119"/>
      <c r="AZ106" s="116">
        <f>SUM(AZ3:AZ104)</f>
        <v>22583404.82030832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241"/>
      <c r="AB107" s="93"/>
      <c r="AC107" s="243"/>
      <c r="AD107" s="93"/>
      <c r="AE107" s="93"/>
      <c r="AF107" s="243"/>
      <c r="AG107" s="93"/>
      <c r="AH107" s="591"/>
      <c r="AI107" s="591"/>
      <c r="AJ107" s="493"/>
      <c r="AK107" s="493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23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241"/>
      <c r="AB113" s="93"/>
      <c r="AC113" s="243"/>
      <c r="AD113" s="93"/>
      <c r="AE113" s="93"/>
      <c r="AF113" s="243"/>
      <c r="AG113" s="93"/>
      <c r="AH113" s="493"/>
      <c r="AI113" s="493"/>
      <c r="AJ113" s="493"/>
      <c r="AK113" s="493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92">AVERAGE(AS108:AS112)</f>
        <v>#DIV/0!</v>
      </c>
      <c r="AT113" s="245" t="e">
        <f t="shared" si="92"/>
        <v>#DIV/0!</v>
      </c>
      <c r="AU113" s="245" t="e">
        <f t="shared" si="92"/>
        <v>#DIV/0!</v>
      </c>
      <c r="AV113" s="245" t="e">
        <f t="shared" si="92"/>
        <v>#DIV/0!</v>
      </c>
      <c r="AW113" s="246" t="e">
        <f t="shared" si="92"/>
        <v>#DIV/0!</v>
      </c>
      <c r="AX113" s="246" t="e">
        <f t="shared" si="92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93">SUM(E108:E112)</f>
        <v>0</v>
      </c>
      <c r="F114" s="249">
        <f t="shared" si="93"/>
        <v>0</v>
      </c>
      <c r="G114" s="249">
        <f t="shared" si="93"/>
        <v>0</v>
      </c>
      <c r="H114" s="249">
        <f t="shared" si="93"/>
        <v>0</v>
      </c>
      <c r="I114" s="249">
        <f t="shared" si="93"/>
        <v>0</v>
      </c>
      <c r="J114" s="249">
        <f t="shared" si="93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94">SUM(S108:S112)</f>
        <v>0</v>
      </c>
      <c r="T114" s="249">
        <f t="shared" si="94"/>
        <v>0</v>
      </c>
      <c r="U114" s="249">
        <f t="shared" si="94"/>
        <v>0</v>
      </c>
      <c r="V114" s="249">
        <f t="shared" si="94"/>
        <v>0</v>
      </c>
      <c r="W114" s="249">
        <f t="shared" si="94"/>
        <v>0</v>
      </c>
      <c r="X114" s="249">
        <f t="shared" si="94"/>
        <v>0</v>
      </c>
      <c r="Y114" s="249">
        <f t="shared" si="94"/>
        <v>0</v>
      </c>
      <c r="Z114" s="249">
        <f t="shared" si="94"/>
        <v>0</v>
      </c>
      <c r="AA114" s="250">
        <f t="shared" si="94"/>
        <v>0</v>
      </c>
      <c r="AB114" s="249">
        <f t="shared" si="94"/>
        <v>0</v>
      </c>
      <c r="AC114" s="252">
        <f t="shared" si="94"/>
        <v>0</v>
      </c>
      <c r="AD114" s="253">
        <f t="shared" si="94"/>
        <v>0</v>
      </c>
      <c r="AE114" s="249">
        <f t="shared" si="94"/>
        <v>0</v>
      </c>
      <c r="AF114" s="252" t="e">
        <f>AE114/AA114</f>
        <v>#DIV/0!</v>
      </c>
      <c r="AG114" s="249">
        <f t="shared" ref="AG114:AO114" si="95">SUM(AG108:AG112)</f>
        <v>0</v>
      </c>
      <c r="AH114" s="253">
        <f t="shared" si="95"/>
        <v>0</v>
      </c>
      <c r="AI114" s="253">
        <f t="shared" si="95"/>
        <v>0</v>
      </c>
      <c r="AJ114" s="253">
        <f t="shared" si="95"/>
        <v>0</v>
      </c>
      <c r="AK114" s="253">
        <f t="shared" si="95"/>
        <v>0</v>
      </c>
      <c r="AL114" s="253">
        <f t="shared" si="95"/>
        <v>0</v>
      </c>
      <c r="AM114" s="249">
        <f t="shared" si="95"/>
        <v>0</v>
      </c>
      <c r="AN114" s="253">
        <f t="shared" si="95"/>
        <v>0</v>
      </c>
      <c r="AO114" s="253">
        <f t="shared" si="95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592"/>
      <c r="AI115" s="593"/>
      <c r="AJ115" s="494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23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23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96">AVERAGE(AQ116:AQ123)</f>
        <v>#DIV/0!</v>
      </c>
      <c r="AR124" s="130" t="e">
        <f t="shared" si="96"/>
        <v>#DIV/0!</v>
      </c>
      <c r="AS124" s="130" t="e">
        <f t="shared" si="96"/>
        <v>#DIV/0!</v>
      </c>
      <c r="AT124" s="130" t="e">
        <f t="shared" si="96"/>
        <v>#DIV/0!</v>
      </c>
      <c r="AU124" s="130" t="e">
        <f t="shared" si="96"/>
        <v>#DIV/0!</v>
      </c>
      <c r="AV124" s="130" t="e">
        <f t="shared" si="96"/>
        <v>#DIV/0!</v>
      </c>
      <c r="AW124" s="131" t="e">
        <f t="shared" si="96"/>
        <v>#DIV/0!</v>
      </c>
      <c r="AX124" s="131" t="e">
        <f t="shared" si="96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7">SUM(E116:E123)</f>
        <v>0</v>
      </c>
      <c r="F125" s="134">
        <f t="shared" si="97"/>
        <v>0</v>
      </c>
      <c r="G125" s="134">
        <f t="shared" si="97"/>
        <v>0</v>
      </c>
      <c r="H125" s="134">
        <f t="shared" si="97"/>
        <v>0</v>
      </c>
      <c r="I125" s="134">
        <f t="shared" si="97"/>
        <v>0</v>
      </c>
      <c r="J125" s="134">
        <f t="shared" si="97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8">SUM(S116:S123)</f>
        <v>0</v>
      </c>
      <c r="T125" s="134">
        <f t="shared" si="98"/>
        <v>0</v>
      </c>
      <c r="U125" s="134">
        <f t="shared" si="98"/>
        <v>0</v>
      </c>
      <c r="V125" s="134">
        <f t="shared" si="98"/>
        <v>0</v>
      </c>
      <c r="W125" s="134">
        <f t="shared" si="98"/>
        <v>0</v>
      </c>
      <c r="X125" s="134">
        <f t="shared" si="98"/>
        <v>0</v>
      </c>
      <c r="Y125" s="134">
        <f t="shared" si="98"/>
        <v>0</v>
      </c>
      <c r="Z125" s="134">
        <f t="shared" si="98"/>
        <v>0</v>
      </c>
      <c r="AA125" s="264">
        <f t="shared" si="98"/>
        <v>0</v>
      </c>
      <c r="AB125" s="134">
        <f t="shared" si="98"/>
        <v>0</v>
      </c>
      <c r="AC125" s="265">
        <f t="shared" si="98"/>
        <v>0</v>
      </c>
      <c r="AD125" s="135">
        <f t="shared" si="98"/>
        <v>0</v>
      </c>
      <c r="AE125" s="134">
        <f t="shared" si="98"/>
        <v>0</v>
      </c>
      <c r="AF125" s="265" t="e">
        <f>AE125/AA125</f>
        <v>#DIV/0!</v>
      </c>
      <c r="AG125" s="134">
        <f t="shared" ref="AG125:AO125" si="99">SUM(AG116:AG123)</f>
        <v>0</v>
      </c>
      <c r="AH125" s="134">
        <f t="shared" si="99"/>
        <v>0</v>
      </c>
      <c r="AI125" s="134">
        <f t="shared" si="99"/>
        <v>0</v>
      </c>
      <c r="AJ125" s="134">
        <f t="shared" si="99"/>
        <v>0</v>
      </c>
      <c r="AK125" s="134">
        <f t="shared" si="99"/>
        <v>0</v>
      </c>
      <c r="AL125" s="136">
        <f t="shared" si="99"/>
        <v>0</v>
      </c>
      <c r="AM125" s="134">
        <f t="shared" si="99"/>
        <v>0</v>
      </c>
      <c r="AN125" s="134">
        <f t="shared" si="99"/>
        <v>0</v>
      </c>
      <c r="AO125" s="134">
        <f t="shared" si="99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 collapsed="1">
      <c r="A126" s="140"/>
      <c r="B126" s="141"/>
      <c r="C126" s="140"/>
      <c r="D126" s="142"/>
      <c r="E126" s="266"/>
      <c r="H126" s="144"/>
      <c r="N126" s="144"/>
      <c r="O126" s="144"/>
      <c r="P126" s="144"/>
      <c r="Q126" s="214"/>
      <c r="R126" s="145"/>
      <c r="S126" s="146"/>
      <c r="T126" s="146"/>
      <c r="U126" s="147"/>
      <c r="V126" s="147"/>
      <c r="W126" s="147"/>
      <c r="X126" s="147"/>
      <c r="Y126" s="146"/>
      <c r="Z126" s="147"/>
      <c r="AA126" s="303"/>
      <c r="AB126" s="147"/>
      <c r="AE126" s="148"/>
      <c r="AG126" s="146"/>
      <c r="AH126" s="338"/>
      <c r="AI126" s="338"/>
      <c r="AJ126" s="495"/>
      <c r="AK126" s="495"/>
      <c r="AL126" s="149"/>
      <c r="AM126" s="150"/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100">E106+E114+E125</f>
        <v>60317</v>
      </c>
      <c r="F127" s="267">
        <f t="shared" si="100"/>
        <v>2018</v>
      </c>
      <c r="G127" s="267">
        <f t="shared" si="100"/>
        <v>523</v>
      </c>
      <c r="H127" s="267">
        <f t="shared" si="100"/>
        <v>8960</v>
      </c>
      <c r="I127" s="267">
        <f t="shared" si="100"/>
        <v>1461</v>
      </c>
      <c r="J127" s="267">
        <f t="shared" si="100"/>
        <v>47355</v>
      </c>
      <c r="K127" s="267">
        <f t="shared" si="100"/>
        <v>0</v>
      </c>
      <c r="L127" s="267">
        <f t="shared" si="100"/>
        <v>7476750.2700000042</v>
      </c>
      <c r="M127" s="267">
        <f t="shared" si="100"/>
        <v>0</v>
      </c>
      <c r="N127" s="267">
        <f t="shared" si="100"/>
        <v>18435</v>
      </c>
      <c r="O127" s="267">
        <f t="shared" si="100"/>
        <v>0</v>
      </c>
      <c r="P127" s="267">
        <f t="shared" si="100"/>
        <v>0</v>
      </c>
      <c r="Q127" s="215">
        <f t="shared" si="100"/>
        <v>0</v>
      </c>
      <c r="R127" s="267">
        <f t="shared" si="100"/>
        <v>0</v>
      </c>
      <c r="S127" s="267">
        <f t="shared" si="100"/>
        <v>10509</v>
      </c>
      <c r="T127" s="267">
        <f t="shared" si="100"/>
        <v>-251</v>
      </c>
      <c r="U127" s="267">
        <f t="shared" si="100"/>
        <v>10258</v>
      </c>
      <c r="V127" s="267">
        <f t="shared" si="100"/>
        <v>10436706.1</v>
      </c>
      <c r="W127" s="267">
        <f t="shared" si="100"/>
        <v>-246027.75</v>
      </c>
      <c r="X127" s="267">
        <f t="shared" si="100"/>
        <v>10190678.349999998</v>
      </c>
      <c r="Y127" s="267">
        <f t="shared" si="100"/>
        <v>15464413.649999999</v>
      </c>
      <c r="Z127" s="267">
        <f t="shared" si="100"/>
        <v>-368594.06000000006</v>
      </c>
      <c r="AA127" s="267">
        <f t="shared" si="100"/>
        <v>15095819.589999996</v>
      </c>
      <c r="AB127" s="267">
        <f t="shared" si="100"/>
        <v>14509802.43</v>
      </c>
      <c r="AC127" s="267">
        <f t="shared" si="100"/>
        <v>1.0000000000000002</v>
      </c>
      <c r="AD127" s="267">
        <f t="shared" si="100"/>
        <v>1272600.6299999994</v>
      </c>
      <c r="AE127" s="267">
        <f t="shared" si="100"/>
        <v>5687924.8200000012</v>
      </c>
      <c r="AF127" s="268">
        <f>AE127/AA127</f>
        <v>0.37678807606894582</v>
      </c>
      <c r="AG127" s="267">
        <f t="shared" ref="AG127:AO127" si="101">AG106+AG114+AG125</f>
        <v>1392229.3999999994</v>
      </c>
      <c r="AH127" s="267">
        <f t="shared" si="101"/>
        <v>62861</v>
      </c>
      <c r="AI127" s="267">
        <f t="shared" si="101"/>
        <v>1288620</v>
      </c>
      <c r="AJ127" s="267">
        <f t="shared" si="101"/>
        <v>409686</v>
      </c>
      <c r="AK127" s="267">
        <f t="shared" si="101"/>
        <v>0</v>
      </c>
      <c r="AL127" s="267">
        <f t="shared" si="101"/>
        <v>48801.470000000016</v>
      </c>
      <c r="AM127" s="267">
        <f t="shared" si="101"/>
        <v>11888.98</v>
      </c>
      <c r="AN127" s="267">
        <f t="shared" si="101"/>
        <v>581887.73378499993</v>
      </c>
      <c r="AO127" s="267">
        <f t="shared" si="101"/>
        <v>4339319.5562150013</v>
      </c>
      <c r="AP127" s="155"/>
      <c r="AQ127" s="155"/>
      <c r="AR127" s="155"/>
      <c r="AS127" s="155"/>
      <c r="AT127" s="155"/>
      <c r="AU127" s="155">
        <f>(AH127+AI127)/S127</f>
        <v>128.6022456941669</v>
      </c>
      <c r="AV127" s="155"/>
      <c r="AW127" s="155"/>
      <c r="AX127" s="155"/>
      <c r="AY127" s="157"/>
      <c r="AZ127" s="155">
        <f>AZ106+AZ125</f>
        <v>22583404.82030832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495"/>
      <c r="AK128" s="495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1:52">
      <c r="C129" s="162"/>
      <c r="D129" s="162"/>
      <c r="AO129" s="339">
        <f>Сводная!AF48+Сводная!T48+Сводная!V48+Сводная!AA48+Сводная!AB48</f>
        <v>4339319.5562149994</v>
      </c>
    </row>
    <row r="130" spans="1:52" s="269" customFormat="1">
      <c r="A130" s="161"/>
      <c r="B130" s="166"/>
      <c r="C130" s="162"/>
      <c r="D130" s="162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63"/>
      <c r="V130" s="163"/>
      <c r="W130" s="163"/>
      <c r="X130" s="163"/>
      <c r="Y130" s="163"/>
      <c r="Z130" s="163"/>
      <c r="AA130" s="304"/>
      <c r="AB130" s="163"/>
      <c r="AC130" s="164"/>
      <c r="AD130" s="100"/>
      <c r="AE130" s="100"/>
      <c r="AF130" s="100"/>
      <c r="AG130" s="100"/>
      <c r="AH130" s="92"/>
      <c r="AI130" s="92"/>
      <c r="AJ130" s="92"/>
      <c r="AK130" s="92"/>
      <c r="AL130" s="165"/>
      <c r="AM130" s="92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13"/>
      <c r="AZ130" s="100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8" priority="15" operator="greaterThan">
      <formula>0.23</formula>
    </cfRule>
  </conditionalFormatting>
  <conditionalFormatting sqref="M124:O124 M107:M113 M3:M105">
    <cfRule type="cellIs" dxfId="117" priority="26" operator="greaterThan">
      <formula>120</formula>
    </cfRule>
  </conditionalFormatting>
  <conditionalFormatting sqref="AC126 AC128">
    <cfRule type="cellIs" dxfId="116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{60461952-76DB-4585-9809-0276CB9632FA}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{B4A2E6CE-32AA-426B-B4F0-83E6BB4A7A3E}</x14:id>
        </ext>
      </extLst>
    </cfRule>
  </conditionalFormatting>
  <conditionalFormatting sqref="AC1">
    <cfRule type="cellIs" dxfId="115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{8CA1991B-0349-461C-80C8-E2CA4B15C8DF}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{8B1A57B3-92C4-4A00-BA61-8F6E0D17538A}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{0FF284E2-F5CA-422C-A544-232D8C26D04C}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{DE4A01A6-AD14-4F98-B6AF-0447D390C50A}</x14:id>
        </ext>
      </extLst>
    </cfRule>
  </conditionalFormatting>
  <conditionalFormatting sqref="Q124">
    <cfRule type="cellIs" dxfId="11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{EE483707-97D7-4C6C-8F30-74B7D4D41629}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{665D72A2-F666-412D-AFEE-D90DA844971B}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{131C1276-3DC9-4595-A51A-29185E93D2BC}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{94166053-549D-4E74-94A3-F7195C8C6D66}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{D990A2C5-826A-4785-AAFE-274ED1A88C44}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{50DDBBD5-5124-4DD7-9929-96F8FB16113E}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{1E28D621-0D92-4976-AB5B-C47B36633D85}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{E91F5177-3BBD-4DD0-BA3D-D6268C85FC13}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{D1AA8C1A-C3A1-4E0C-BB33-5CC6351947BD}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{926C5524-B8E4-4138-9659-D85EA1688848}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{09F5999C-2E60-4683-841C-E7EC29C8A2C9}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{6FF013E3-66D4-405E-AEF2-AB6C4284A2F5}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{6A0042B8-7CCE-470D-8226-A1D1232ABFB1}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{75A0F26F-45BA-474E-B990-7B4A7102BD0A}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{235E72DE-4004-4C9A-ADA7-F2FA9D9A1AF0}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{BC1662E3-9CC2-4732-8409-CAFFA0F32884}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{2C85EA13-E199-480C-B0EC-9282F47F99FC}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{516A77C4-F8A5-4576-BE53-3C8BEEAE33BC}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{E0784D83-E574-4FB8-BF9F-D1F75EF89968}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{8F379C07-5C74-4A07-A090-7ED4D04284F1}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{403487E1-A6C5-4B0E-B881-E5E02DCF7378}</x14:id>
        </ext>
      </extLst>
    </cfRule>
  </conditionalFormatting>
  <conditionalFormatting sqref="M116:M123">
    <cfRule type="cellIs" dxfId="113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{329EAD3F-DD08-4458-8119-E77DA2E863DD}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{AEDF53EE-F3E2-4B8D-9FB8-379D92776288}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{D021D205-81C5-4646-B046-30EA9B42B012}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{B2A53008-EB39-40CC-A24F-AD364BF7ADE1}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{CD35BF04-EC4C-49A5-9460-C7407F1EC8AD}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{5248AC40-DF1F-470F-B1A2-332F261B33D6}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61952-76DB-4585-9809-0276CB9632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B4A2E6CE-32AA-426B-B4F0-83E6BB4A7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8CA1991B-0349-461C-80C8-E2CA4B15C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B1A57B3-92C4-4A00-BA61-8F6E0D1753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0FF284E2-F5CA-422C-A544-232D8C26D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E4A01A6-AD14-4F98-B6AF-0447D390C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EE483707-97D7-4C6C-8F30-74B7D4D41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65D72A2-F666-412D-AFEE-D90DA8449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31C1276-3DC9-4595-A51A-29185E93D2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4166053-549D-4E74-94A3-F7195C8C6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D990A2C5-826A-4785-AAFE-274ED1A88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50DDBBD5-5124-4DD7-9929-96F8FB1611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1E28D621-0D92-4976-AB5B-C47B3663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E91F5177-3BBD-4DD0-BA3D-D6268C85FC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D1AA8C1A-C3A1-4E0C-BB33-5CC635194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26C5524-B8E4-4138-9659-D85EA1688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9F5999C-2E60-4683-841C-E7EC29C8A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6FF013E3-66D4-405E-AEF2-AB6C4284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A0042B8-7CCE-470D-8226-A1D1232ABF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75A0F26F-45BA-474E-B990-7B4A7102B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235E72DE-4004-4C9A-ADA7-F2FA9D9A1A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BC1662E3-9CC2-4732-8409-CAFFA0F32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2C85EA13-E199-480C-B0EC-9282F47F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16A77C4-F8A5-4576-BE53-3C8BEEAE3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E0784D83-E574-4FB8-BF9F-D1F75EF899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8F379C07-5C74-4A07-A090-7ED4D0428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403487E1-A6C5-4B0E-B881-E5E02DCF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329EAD3F-DD08-4458-8119-E77DA2E86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AEDF53EE-F3E2-4B8D-9FB8-379D927762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D021D205-81C5-4646-B046-30EA9B42B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B2A53008-EB39-40CC-A24F-AD364BF7A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CD35BF04-EC4C-49A5-9460-C7407F1EC8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5248AC40-DF1F-470F-B1A2-332F261B3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12BD-B249-4B28-A678-A39DC4571812}">
  <sheetPr codeName="Лист24"/>
  <dimension ref="A1:AZ130"/>
  <sheetViews>
    <sheetView zoomScale="70" zoomScaleNormal="70" workbookViewId="0">
      <pane xSplit="3" ySplit="2" topLeftCell="J90" activePane="bottomRight" state="frozen"/>
      <selection pane="topRight" activeCell="D1" sqref="D1"/>
      <selection pane="bottomLeft" activeCell="A3" sqref="A3"/>
      <selection pane="bottomRight" activeCell="Q106" sqref="Q10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350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85" t="s">
        <v>43</v>
      </c>
      <c r="N1" s="585" t="s">
        <v>351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/>
      <c r="AK1" s="484"/>
      <c r="AL1" s="48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v>108</v>
      </c>
      <c r="G3" s="93">
        <v>28</v>
      </c>
      <c r="H3" s="93">
        <v>687</v>
      </c>
      <c r="I3" s="93">
        <v>1</v>
      </c>
      <c r="J3" s="93">
        <v>1587</v>
      </c>
      <c r="K3" s="92">
        <v>142.97999999999999</v>
      </c>
      <c r="L3" s="92">
        <f t="shared" ref="L3" si="0">E3*K3</f>
        <v>344724.77999999997</v>
      </c>
      <c r="M3" s="89">
        <v>62</v>
      </c>
      <c r="N3" s="89">
        <v>160</v>
      </c>
      <c r="O3" s="89">
        <v>1429</v>
      </c>
      <c r="P3" s="89">
        <v>60</v>
      </c>
      <c r="Q3" s="233">
        <f>N3/7</f>
        <v>22.857142857142858</v>
      </c>
      <c r="R3" s="92">
        <f>U3/7</f>
        <v>13.571428571428571</v>
      </c>
      <c r="S3" s="93">
        <v>96</v>
      </c>
      <c r="T3" s="93">
        <v>-1</v>
      </c>
      <c r="U3" s="92">
        <f t="shared" ref="U3" si="1">S3+T3</f>
        <v>95</v>
      </c>
      <c r="V3" s="93">
        <v>92346.349999999991</v>
      </c>
      <c r="W3" s="93">
        <v>-903</v>
      </c>
      <c r="X3" s="92">
        <f t="shared" ref="X3" si="2">V3+W3</f>
        <v>91443.349999999991</v>
      </c>
      <c r="Y3" s="93">
        <v>130664.89</v>
      </c>
      <c r="Z3" s="93">
        <v>-1310</v>
      </c>
      <c r="AA3" s="92">
        <f>Y3+Z3</f>
        <v>129354.89</v>
      </c>
      <c r="AB3" s="92">
        <f>N3*O3*P3/100</f>
        <v>137184</v>
      </c>
      <c r="AC3" s="234">
        <f t="shared" ref="AC3" si="3">AA3/$AA$127</f>
        <v>5.9884584384728698E-2</v>
      </c>
      <c r="AD3" s="92">
        <f t="shared" ref="AD3" si="4">U3*K3</f>
        <v>13583.099999999999</v>
      </c>
      <c r="AE3" s="93">
        <v>48482.629999999983</v>
      </c>
      <c r="AF3" s="234">
        <f t="shared" ref="AF3:AF66" si="5">IF(AA3=0,0,AE3/AA3)</f>
        <v>0.37480322545208755</v>
      </c>
      <c r="AG3" s="93">
        <v>10702.700000000003</v>
      </c>
      <c r="AH3" s="93"/>
      <c r="AI3" s="93">
        <v>728</v>
      </c>
      <c r="AJ3" s="93">
        <v>11389</v>
      </c>
      <c r="AK3" s="93"/>
      <c r="AL3" s="122">
        <f t="shared" ref="AL3:AL66" si="6">IFERROR($AL$127*H3/$H$127,0)</f>
        <v>715.6738158482143</v>
      </c>
      <c r="AM3" s="93">
        <v>10</v>
      </c>
      <c r="AN3" s="94">
        <f>X3*5.71%</f>
        <v>5221.4152849999991</v>
      </c>
      <c r="AO3" s="95">
        <f>AA3-AD3-AE3-AG3-AH3-AI3-AJ3-AK3-AL3-AN3-AM3</f>
        <v>38522.370899151822</v>
      </c>
      <c r="AP3" s="96"/>
      <c r="AQ3" s="97">
        <f t="shared" ref="AQ3:AQ97" si="7">IF(U3=0,0,AA3/U3)</f>
        <v>1361.6304210526316</v>
      </c>
      <c r="AR3" s="98">
        <f t="shared" ref="AR3:AR19" si="8">K3</f>
        <v>142.97999999999999</v>
      </c>
      <c r="AS3" s="98">
        <f t="shared" ref="AS3:AS97" si="9">IF(U3=0,0,AE3/U3)</f>
        <v>510.34347368421032</v>
      </c>
      <c r="AT3" s="98">
        <f t="shared" ref="AT3:AT97" si="10">IF(S3=0,AG3/1,AG3/S3)</f>
        <v>111.48645833333336</v>
      </c>
      <c r="AU3" s="98">
        <f>IF(S3=0,0,(AH3+AI3+AJ3)/S3)</f>
        <v>126.21875</v>
      </c>
      <c r="AV3" s="98">
        <f>_xlfn.IFS(U3=0,AO3,U3&lt;0,AO3/-U3,U3&gt;0,AO3/U3)</f>
        <v>405.4986410437034</v>
      </c>
      <c r="AW3" s="234">
        <f t="shared" ref="AW3" si="11">IF(AQ3=0,0,AV3/AQ3)</f>
        <v>0.29780374672462573</v>
      </c>
      <c r="AX3" s="234">
        <f t="shared" ref="AX3" si="12">IF(AR3=0,0,AV3/AR3)</f>
        <v>2.8360514830305177</v>
      </c>
      <c r="AY3" s="99"/>
      <c r="AZ3" s="94">
        <f t="shared" ref="AZ3:AZ97" si="13">AV3*E3</f>
        <v>977657.22355636884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v>351</v>
      </c>
      <c r="G4" s="93">
        <v>78</v>
      </c>
      <c r="H4" s="93">
        <v>92</v>
      </c>
      <c r="I4" s="93">
        <v>0</v>
      </c>
      <c r="J4" s="93">
        <v>0</v>
      </c>
      <c r="K4" s="92">
        <v>123.09</v>
      </c>
      <c r="L4" s="92">
        <f>E4*K4</f>
        <v>64129.89</v>
      </c>
      <c r="M4" s="89">
        <v>17</v>
      </c>
      <c r="N4" s="89">
        <v>487</v>
      </c>
      <c r="O4" s="89">
        <v>1378</v>
      </c>
      <c r="P4" s="89">
        <v>67</v>
      </c>
      <c r="Q4" s="233">
        <f t="shared" ref="Q4:Q67" si="14">N4/7</f>
        <v>69.571428571428569</v>
      </c>
      <c r="R4" s="92">
        <f t="shared" ref="R4:R67" si="15">U4/7</f>
        <v>46.428571428571431</v>
      </c>
      <c r="S4" s="93">
        <v>327</v>
      </c>
      <c r="T4" s="93">
        <v>-2</v>
      </c>
      <c r="U4" s="92">
        <f t="shared" ref="U4:U67" si="16">S4+T4</f>
        <v>325</v>
      </c>
      <c r="V4" s="93">
        <v>315267.00999999995</v>
      </c>
      <c r="W4" s="93">
        <v>-1845</v>
      </c>
      <c r="X4" s="92">
        <f t="shared" ref="X4:X67" si="17">V4+W4</f>
        <v>313422.00999999995</v>
      </c>
      <c r="Y4" s="93">
        <v>439750.72999999986</v>
      </c>
      <c r="Z4" s="93">
        <v>-2600</v>
      </c>
      <c r="AA4" s="92">
        <f t="shared" ref="AA4:AA67" si="18">Y4+Z4</f>
        <v>437150.72999999986</v>
      </c>
      <c r="AB4" s="92">
        <f t="shared" ref="AB4:AB67" si="19">N4*O4*P4/100</f>
        <v>449627.62</v>
      </c>
      <c r="AC4" s="234">
        <f t="shared" ref="AC4:AC67" si="20">AA4/$AA$127</f>
        <v>0.20237804523300776</v>
      </c>
      <c r="AD4" s="92">
        <f t="shared" ref="AD4:AD67" si="21">U4*K4</f>
        <v>40004.25</v>
      </c>
      <c r="AE4" s="93">
        <v>166016.41999999987</v>
      </c>
      <c r="AF4" s="234">
        <f t="shared" si="5"/>
        <v>0.37976928461265502</v>
      </c>
      <c r="AG4" s="93">
        <v>33227.479999999916</v>
      </c>
      <c r="AH4" s="93"/>
      <c r="AI4" s="93">
        <v>250</v>
      </c>
      <c r="AJ4" s="93">
        <v>26721</v>
      </c>
      <c r="AK4" s="93"/>
      <c r="AL4" s="122">
        <f t="shared" si="6"/>
        <v>95.839870535714283</v>
      </c>
      <c r="AM4" s="93">
        <v>40</v>
      </c>
      <c r="AN4" s="94">
        <f t="shared" ref="AN4:AN67" si="22">X4*5.71%</f>
        <v>17896.396770999996</v>
      </c>
      <c r="AO4" s="95">
        <f t="shared" ref="AO4:AO67" si="23">AA4-AD4-AE4-AG4-AH4-AI4-AJ4-AK4-AL4-AN4-AM4</f>
        <v>152899.34335846436</v>
      </c>
      <c r="AP4" s="96"/>
      <c r="AQ4" s="97">
        <f t="shared" si="7"/>
        <v>1345.0791692307689</v>
      </c>
      <c r="AR4" s="98">
        <f t="shared" si="8"/>
        <v>123.09</v>
      </c>
      <c r="AS4" s="98">
        <f t="shared" si="9"/>
        <v>510.81975384615345</v>
      </c>
      <c r="AT4" s="98">
        <f t="shared" si="10"/>
        <v>101.61308868501503</v>
      </c>
      <c r="AU4" s="98">
        <f t="shared" ref="AU4:AU70" si="24">IF(S4=0,0,(AH4+AI4+AJ4)/S4)</f>
        <v>82.480122324159026</v>
      </c>
      <c r="AV4" s="98">
        <f t="array" ref="AV4">_xlfn.IFS(U4=0,AO4,U4&lt;0,AO4/-U4,U4&gt;0,AO4/U4)</f>
        <v>470.45951802604418</v>
      </c>
      <c r="AW4" s="234">
        <f>IF(AQ4=0,0,AV4/AQ4)</f>
        <v>0.34976344053792247</v>
      </c>
      <c r="AX4" s="234">
        <f>IF(AR4=0,0,AV4/AR4)</f>
        <v>3.8220774882284845</v>
      </c>
      <c r="AY4" s="99"/>
      <c r="AZ4" s="94">
        <f t="shared" si="13"/>
        <v>245109.40889156901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v>119</v>
      </c>
      <c r="G5" s="93">
        <v>24</v>
      </c>
      <c r="H5" s="93">
        <v>427</v>
      </c>
      <c r="I5" s="93">
        <v>0</v>
      </c>
      <c r="J5" s="93">
        <v>2761</v>
      </c>
      <c r="K5" s="92">
        <v>123.09</v>
      </c>
      <c r="L5" s="92">
        <f>E5*K5</f>
        <v>410012.79000000004</v>
      </c>
      <c r="M5" s="89">
        <v>40</v>
      </c>
      <c r="N5" s="89">
        <v>159</v>
      </c>
      <c r="O5" s="89">
        <v>1375</v>
      </c>
      <c r="P5" s="89">
        <v>66</v>
      </c>
      <c r="Q5" s="233">
        <f t="shared" si="14"/>
        <v>22.714285714285715</v>
      </c>
      <c r="R5" s="92">
        <f t="shared" si="15"/>
        <v>13.714285714285714</v>
      </c>
      <c r="S5" s="93">
        <v>97</v>
      </c>
      <c r="T5" s="93">
        <v>-1</v>
      </c>
      <c r="U5" s="92">
        <f t="shared" si="16"/>
        <v>96</v>
      </c>
      <c r="V5" s="93">
        <v>90619.599999999991</v>
      </c>
      <c r="W5" s="93">
        <v>-972</v>
      </c>
      <c r="X5" s="92">
        <f t="shared" si="17"/>
        <v>89647.599999999991</v>
      </c>
      <c r="Y5" s="93">
        <v>128313.63999999998</v>
      </c>
      <c r="Z5" s="93">
        <v>-1350</v>
      </c>
      <c r="AA5" s="92">
        <f t="shared" si="18"/>
        <v>126963.63999999998</v>
      </c>
      <c r="AB5" s="92">
        <f t="shared" si="19"/>
        <v>144292.5</v>
      </c>
      <c r="AC5" s="234">
        <f t="shared" si="20"/>
        <v>5.8777560039456687E-2</v>
      </c>
      <c r="AD5" s="92">
        <f t="shared" si="21"/>
        <v>11816.64</v>
      </c>
      <c r="AE5" s="93">
        <v>48265.799999999988</v>
      </c>
      <c r="AF5" s="234">
        <f t="shared" si="5"/>
        <v>0.3801545072274235</v>
      </c>
      <c r="AG5" s="93">
        <v>9642.5700000000052</v>
      </c>
      <c r="AH5" s="93"/>
      <c r="AI5" s="93">
        <v>165</v>
      </c>
      <c r="AJ5" s="93">
        <v>15789</v>
      </c>
      <c r="AK5" s="93"/>
      <c r="AL5" s="122">
        <f t="shared" si="6"/>
        <v>444.82200781249998</v>
      </c>
      <c r="AM5" s="93">
        <v>0</v>
      </c>
      <c r="AN5" s="94">
        <f t="shared" si="22"/>
        <v>5118.8779599999989</v>
      </c>
      <c r="AO5" s="95">
        <f t="shared" si="23"/>
        <v>35720.930032187491</v>
      </c>
      <c r="AP5" s="96"/>
      <c r="AQ5" s="97">
        <f t="shared" si="7"/>
        <v>1322.5379166666664</v>
      </c>
      <c r="AR5" s="98">
        <f t="shared" si="8"/>
        <v>123.09</v>
      </c>
      <c r="AS5" s="98">
        <f t="shared" si="9"/>
        <v>502.7687499999999</v>
      </c>
      <c r="AT5" s="98">
        <f t="shared" si="10"/>
        <v>99.407938144329947</v>
      </c>
      <c r="AU5" s="98">
        <f t="shared" si="24"/>
        <v>164.4742268041237</v>
      </c>
      <c r="AV5" s="98">
        <f t="array" ref="AV5">_xlfn.IFS(U5=0,AO5,U5&lt;0,AO5/-U5,U5&gt;0,AO5/U5)</f>
        <v>372.09302116861971</v>
      </c>
      <c r="AW5" s="234">
        <f>IF(AQ5=0,0,AV5/AQ5)</f>
        <v>0.28134771523711433</v>
      </c>
      <c r="AX5" s="234">
        <f>IF(AR5=0,0,AV5/AR5)</f>
        <v>3.0229346101927019</v>
      </c>
      <c r="AY5" s="99"/>
      <c r="AZ5" s="94">
        <f t="shared" si="13"/>
        <v>1239441.8535126722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8785</v>
      </c>
      <c r="F6" s="93">
        <v>42</v>
      </c>
      <c r="G6" s="93">
        <v>7</v>
      </c>
      <c r="H6" s="93">
        <v>429</v>
      </c>
      <c r="I6" s="93">
        <v>0</v>
      </c>
      <c r="J6" s="93">
        <v>8307</v>
      </c>
      <c r="K6" s="92">
        <v>123.09</v>
      </c>
      <c r="L6" s="92">
        <f t="shared" ref="L6" si="26">E6*K6</f>
        <v>1081345.6500000001</v>
      </c>
      <c r="M6" s="89">
        <v>78</v>
      </c>
      <c r="N6" s="89">
        <v>69</v>
      </c>
      <c r="O6" s="89">
        <v>1366</v>
      </c>
      <c r="P6" s="89">
        <v>77</v>
      </c>
      <c r="Q6" s="233">
        <f t="shared" si="14"/>
        <v>9.8571428571428577</v>
      </c>
      <c r="R6" s="92">
        <f t="shared" si="15"/>
        <v>7.8571428571428568</v>
      </c>
      <c r="S6" s="93">
        <v>55</v>
      </c>
      <c r="T6" s="93">
        <v>0</v>
      </c>
      <c r="U6" s="92">
        <f t="shared" si="16"/>
        <v>55</v>
      </c>
      <c r="V6" s="93">
        <v>52139.280000000006</v>
      </c>
      <c r="W6" s="93">
        <v>0</v>
      </c>
      <c r="X6" s="92">
        <f t="shared" si="17"/>
        <v>52139.280000000006</v>
      </c>
      <c r="Y6" s="93">
        <v>72514.5</v>
      </c>
      <c r="Z6" s="93">
        <v>0</v>
      </c>
      <c r="AA6" s="92">
        <f t="shared" si="18"/>
        <v>72514.5</v>
      </c>
      <c r="AB6" s="92">
        <f t="shared" si="19"/>
        <v>72575.58</v>
      </c>
      <c r="AC6" s="234">
        <f t="shared" si="20"/>
        <v>3.3570440934752518E-2</v>
      </c>
      <c r="AD6" s="92">
        <f t="shared" si="21"/>
        <v>6769.95</v>
      </c>
      <c r="AE6" s="93">
        <v>27382.160000000011</v>
      </c>
      <c r="AF6" s="234">
        <f t="shared" si="5"/>
        <v>0.37760944362851584</v>
      </c>
      <c r="AG6" s="93">
        <v>4837.7899999999991</v>
      </c>
      <c r="AH6" s="93">
        <v>325</v>
      </c>
      <c r="AI6" s="93">
        <v>698</v>
      </c>
      <c r="AJ6" s="93">
        <v>3173</v>
      </c>
      <c r="AK6" s="93"/>
      <c r="AL6" s="122">
        <f t="shared" si="6"/>
        <v>446.90548325892854</v>
      </c>
      <c r="AM6" s="93">
        <v>0</v>
      </c>
      <c r="AN6" s="94">
        <f t="shared" si="22"/>
        <v>2977.1528880000001</v>
      </c>
      <c r="AO6" s="95">
        <f t="shared" si="23"/>
        <v>25904.541628741063</v>
      </c>
      <c r="AP6" s="96"/>
      <c r="AQ6" s="97">
        <f t="shared" si="7"/>
        <v>1318.4454545454546</v>
      </c>
      <c r="AR6" s="98">
        <f t="shared" si="8"/>
        <v>123.09</v>
      </c>
      <c r="AS6" s="98">
        <f t="shared" si="9"/>
        <v>497.85745454545474</v>
      </c>
      <c r="AT6" s="98">
        <f t="shared" si="10"/>
        <v>87.959818181818164</v>
      </c>
      <c r="AU6" s="98">
        <f t="shared" si="24"/>
        <v>76.290909090909096</v>
      </c>
      <c r="AV6" s="98">
        <f t="array" ref="AV6">_xlfn.IFS(U6=0,AO6,U6&lt;0,AO6/-U6,U6&gt;0,AO6/U6)</f>
        <v>470.99166597711024</v>
      </c>
      <c r="AW6" s="234">
        <f t="shared" ref="AW6" si="27">IF(AQ6=0,0,AV6/AQ6)</f>
        <v>0.35723257595020391</v>
      </c>
      <c r="AX6" s="234">
        <f t="shared" ref="AX6" si="28">IF(AR6=0,0,AV6/AR6)</f>
        <v>3.8264007309863532</v>
      </c>
      <c r="AY6" s="99"/>
      <c r="AZ6" s="94">
        <f t="shared" si="13"/>
        <v>4137661.7856089133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v>83</v>
      </c>
      <c r="G7" s="93">
        <v>25</v>
      </c>
      <c r="H7" s="93">
        <v>386</v>
      </c>
      <c r="I7" s="93">
        <v>3</v>
      </c>
      <c r="J7" s="93">
        <v>0</v>
      </c>
      <c r="K7" s="92">
        <v>117.24</v>
      </c>
      <c r="L7" s="92">
        <f>E7*K7</f>
        <v>58268.28</v>
      </c>
      <c r="M7" s="89">
        <v>52</v>
      </c>
      <c r="N7" s="89">
        <v>134</v>
      </c>
      <c r="O7" s="89">
        <v>1473</v>
      </c>
      <c r="P7" s="89">
        <v>54</v>
      </c>
      <c r="Q7" s="233">
        <f t="shared" si="14"/>
        <v>19.142857142857142</v>
      </c>
      <c r="R7" s="92">
        <f t="shared" si="15"/>
        <v>9.8571428571428577</v>
      </c>
      <c r="S7" s="93">
        <v>71</v>
      </c>
      <c r="T7" s="93">
        <v>-2</v>
      </c>
      <c r="U7" s="92">
        <f t="shared" si="16"/>
        <v>69</v>
      </c>
      <c r="V7" s="93">
        <v>73656.23</v>
      </c>
      <c r="W7" s="93">
        <v>-1954</v>
      </c>
      <c r="X7" s="92">
        <f t="shared" si="17"/>
        <v>71702.23</v>
      </c>
      <c r="Y7" s="93">
        <v>104060.68000000001</v>
      </c>
      <c r="Z7" s="93">
        <v>-2946</v>
      </c>
      <c r="AA7" s="92">
        <f t="shared" si="18"/>
        <v>101114.68000000001</v>
      </c>
      <c r="AB7" s="92">
        <f t="shared" si="19"/>
        <v>106586.28</v>
      </c>
      <c r="AC7" s="234">
        <f t="shared" si="20"/>
        <v>4.6810836351024995E-2</v>
      </c>
      <c r="AD7" s="92">
        <f t="shared" si="21"/>
        <v>8089.5599999999995</v>
      </c>
      <c r="AE7" s="93">
        <v>38352.350000000006</v>
      </c>
      <c r="AF7" s="234">
        <f t="shared" si="5"/>
        <v>0.37929556816082494</v>
      </c>
      <c r="AG7" s="93">
        <v>8569.619999999999</v>
      </c>
      <c r="AH7" s="93"/>
      <c r="AI7" s="93">
        <v>1666</v>
      </c>
      <c r="AJ7" s="93">
        <v>11004</v>
      </c>
      <c r="AK7" s="93"/>
      <c r="AL7" s="122">
        <f t="shared" si="6"/>
        <v>402.11076116071428</v>
      </c>
      <c r="AM7" s="93">
        <v>0</v>
      </c>
      <c r="AN7" s="94">
        <f t="shared" si="22"/>
        <v>4094.1973329999996</v>
      </c>
      <c r="AO7" s="95">
        <f t="shared" si="23"/>
        <v>28936.841905839294</v>
      </c>
      <c r="AP7" s="96"/>
      <c r="AQ7" s="97">
        <f t="shared" si="7"/>
        <v>1465.4301449275363</v>
      </c>
      <c r="AR7" s="98">
        <f t="shared" si="8"/>
        <v>117.24</v>
      </c>
      <c r="AS7" s="98">
        <f t="shared" si="9"/>
        <v>555.83115942028996</v>
      </c>
      <c r="AT7" s="98">
        <f t="shared" si="10"/>
        <v>120.69887323943661</v>
      </c>
      <c r="AU7" s="98">
        <f t="shared" si="24"/>
        <v>178.45070422535213</v>
      </c>
      <c r="AV7" s="98">
        <f t="array" ref="AV7">_xlfn.IFS(U7=0,AO7,U7&lt;0,AO7/-U7,U7&gt;0,AO7/U7)</f>
        <v>419.37452037448253</v>
      </c>
      <c r="AW7" s="234">
        <f>IF(AQ7=0,0,AV7/AQ7)</f>
        <v>0.28617844516581858</v>
      </c>
      <c r="AX7" s="234">
        <f>IF(AR7=0,0,AV7/AR7)</f>
        <v>3.577060050959421</v>
      </c>
      <c r="AY7" s="99"/>
      <c r="AZ7" s="94">
        <f t="shared" si="13"/>
        <v>208429.1366261178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v>38</v>
      </c>
      <c r="G8" s="93">
        <v>7</v>
      </c>
      <c r="H8" s="93">
        <v>56</v>
      </c>
      <c r="I8" s="93">
        <v>0</v>
      </c>
      <c r="J8" s="93">
        <v>0</v>
      </c>
      <c r="K8" s="92">
        <v>169.89</v>
      </c>
      <c r="L8" s="92">
        <f>E8*K8</f>
        <v>17158.89</v>
      </c>
      <c r="M8" s="89">
        <v>44</v>
      </c>
      <c r="N8" s="89">
        <v>46</v>
      </c>
      <c r="O8" s="89">
        <v>1464</v>
      </c>
      <c r="P8" s="89">
        <v>56</v>
      </c>
      <c r="Q8" s="233">
        <f t="shared" si="14"/>
        <v>6.5714285714285712</v>
      </c>
      <c r="R8" s="92">
        <f t="shared" si="15"/>
        <v>2.4285714285714284</v>
      </c>
      <c r="S8" s="93">
        <v>17</v>
      </c>
      <c r="T8" s="93">
        <v>0</v>
      </c>
      <c r="U8" s="92">
        <f t="shared" si="16"/>
        <v>17</v>
      </c>
      <c r="V8" s="93">
        <v>17615</v>
      </c>
      <c r="W8" s="93">
        <v>0</v>
      </c>
      <c r="X8" s="92">
        <f t="shared" si="17"/>
        <v>17615</v>
      </c>
      <c r="Y8" s="93">
        <v>24888</v>
      </c>
      <c r="Z8" s="93">
        <v>0</v>
      </c>
      <c r="AA8" s="92">
        <f t="shared" si="18"/>
        <v>24888</v>
      </c>
      <c r="AB8" s="92">
        <f t="shared" si="19"/>
        <v>37712.639999999999</v>
      </c>
      <c r="AC8" s="234">
        <f t="shared" si="20"/>
        <v>1.1521849202354297E-2</v>
      </c>
      <c r="AD8" s="92">
        <f t="shared" si="21"/>
        <v>2888.1299999999997</v>
      </c>
      <c r="AE8" s="93">
        <v>9456.76</v>
      </c>
      <c r="AF8" s="234">
        <f t="shared" si="5"/>
        <v>0.37997267759562842</v>
      </c>
      <c r="AG8" s="93">
        <v>2194.1800000000003</v>
      </c>
      <c r="AH8" s="93"/>
      <c r="AI8" s="93">
        <v>269</v>
      </c>
      <c r="AJ8" s="93">
        <v>2415</v>
      </c>
      <c r="AK8" s="93"/>
      <c r="AL8" s="122">
        <f t="shared" si="6"/>
        <v>58.337312499999996</v>
      </c>
      <c r="AM8" s="93">
        <v>0</v>
      </c>
      <c r="AN8" s="94">
        <f t="shared" si="22"/>
        <v>1005.8165</v>
      </c>
      <c r="AO8" s="95">
        <f t="shared" si="23"/>
        <v>6600.7761874999987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556.28</v>
      </c>
      <c r="AT8" s="98">
        <f t="shared" si="10"/>
        <v>129.0694117647059</v>
      </c>
      <c r="AU8" s="98">
        <f t="shared" si="24"/>
        <v>157.88235294117646</v>
      </c>
      <c r="AV8" s="98">
        <f t="array" ref="AV8">_xlfn.IFS(U8=0,AO8,U8&lt;0,AO8/-U8,U8&gt;0,AO8/U8)</f>
        <v>388.28095220588227</v>
      </c>
      <c r="AW8" s="234">
        <f>IF(AQ8=0,0,AV8/AQ8)</f>
        <v>0.26521922964882672</v>
      </c>
      <c r="AX8" s="234">
        <f>IF(AR8=0,0,AV8/AR8)</f>
        <v>2.285484444086658</v>
      </c>
      <c r="AY8" s="99"/>
      <c r="AZ8" s="94">
        <f t="shared" si="13"/>
        <v>39216.376172794109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v>214</v>
      </c>
      <c r="G9" s="93">
        <v>51</v>
      </c>
      <c r="H9" s="93">
        <v>458</v>
      </c>
      <c r="I9" s="93">
        <v>0</v>
      </c>
      <c r="J9" s="93">
        <v>8428</v>
      </c>
      <c r="K9" s="92">
        <v>123.09</v>
      </c>
      <c r="L9" s="92">
        <f>E9*K9</f>
        <v>1126396.5900000001</v>
      </c>
      <c r="M9" s="89">
        <v>31</v>
      </c>
      <c r="N9" s="89">
        <v>277</v>
      </c>
      <c r="O9" s="89">
        <v>1386</v>
      </c>
      <c r="P9" s="89">
        <v>49</v>
      </c>
      <c r="Q9" s="233">
        <f t="shared" si="14"/>
        <v>39.571428571428569</v>
      </c>
      <c r="R9" s="92">
        <f t="shared" si="15"/>
        <v>20.571428571428573</v>
      </c>
      <c r="S9" s="93">
        <v>148</v>
      </c>
      <c r="T9" s="93">
        <v>-4</v>
      </c>
      <c r="U9" s="92">
        <f t="shared" si="16"/>
        <v>144</v>
      </c>
      <c r="V9" s="93">
        <v>142752.05999999997</v>
      </c>
      <c r="W9" s="93">
        <v>-4398.7199999999993</v>
      </c>
      <c r="X9" s="92">
        <f t="shared" si="17"/>
        <v>138353.33999999997</v>
      </c>
      <c r="Y9" s="93">
        <v>200361.54000000004</v>
      </c>
      <c r="Z9" s="93">
        <v>-5918.62</v>
      </c>
      <c r="AA9" s="92">
        <f t="shared" si="18"/>
        <v>194442.92000000004</v>
      </c>
      <c r="AB9" s="92">
        <f t="shared" si="19"/>
        <v>188121.78</v>
      </c>
      <c r="AC9" s="234">
        <f t="shared" si="20"/>
        <v>9.0016956071417589E-2</v>
      </c>
      <c r="AD9" s="92">
        <f t="shared" si="21"/>
        <v>17724.96</v>
      </c>
      <c r="AE9" s="93">
        <v>73715.210000000079</v>
      </c>
      <c r="AF9" s="234">
        <f t="shared" si="5"/>
        <v>0.37910976650628403</v>
      </c>
      <c r="AG9" s="93">
        <v>21307.500000000036</v>
      </c>
      <c r="AH9" s="93"/>
      <c r="AI9" s="93">
        <v>3433</v>
      </c>
      <c r="AJ9" s="93">
        <v>20574</v>
      </c>
      <c r="AK9" s="93"/>
      <c r="AL9" s="122">
        <f t="shared" si="6"/>
        <v>477.11587723214285</v>
      </c>
      <c r="AM9" s="93">
        <v>60</v>
      </c>
      <c r="AN9" s="94">
        <f t="shared" si="22"/>
        <v>7899.9757139999974</v>
      </c>
      <c r="AO9" s="95">
        <f t="shared" si="23"/>
        <v>49251.158408767798</v>
      </c>
      <c r="AP9" s="96"/>
      <c r="AQ9" s="97">
        <f t="shared" si="7"/>
        <v>1350.2980555555559</v>
      </c>
      <c r="AR9" s="98">
        <f t="shared" si="8"/>
        <v>123.09</v>
      </c>
      <c r="AS9" s="98">
        <f t="shared" si="9"/>
        <v>511.91118055555609</v>
      </c>
      <c r="AT9" s="98">
        <f t="shared" si="10"/>
        <v>143.96959459459484</v>
      </c>
      <c r="AU9" s="98">
        <f t="shared" si="24"/>
        <v>162.20945945945945</v>
      </c>
      <c r="AV9" s="98">
        <f t="array" ref="AV9">_xlfn.IFS(U9=0,AO9,U9&lt;0,AO9/-U9,U9&gt;0,AO9/U9)</f>
        <v>342.02193339422081</v>
      </c>
      <c r="AW9" s="234">
        <f>IF(AQ9=0,0,AV9/AQ9)</f>
        <v>0.25329365763879591</v>
      </c>
      <c r="AX9" s="234">
        <f>IF(AR9=0,0,AV9/AR9)</f>
        <v>2.7786329790740174</v>
      </c>
      <c r="AY9" s="99"/>
      <c r="AZ9" s="94">
        <f t="shared" si="13"/>
        <v>3129842.7124905149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v>94</v>
      </c>
      <c r="G10" s="93">
        <v>35</v>
      </c>
      <c r="H10" s="93">
        <v>459</v>
      </c>
      <c r="I10" s="93">
        <v>0</v>
      </c>
      <c r="J10" s="93">
        <v>6906</v>
      </c>
      <c r="K10" s="92">
        <v>123.09</v>
      </c>
      <c r="L10" s="92">
        <f>E10*K10</f>
        <v>922436.46000000008</v>
      </c>
      <c r="M10" s="89">
        <v>43</v>
      </c>
      <c r="N10" s="89">
        <v>144</v>
      </c>
      <c r="O10" s="89">
        <v>1372</v>
      </c>
      <c r="P10" s="89">
        <v>69</v>
      </c>
      <c r="Q10" s="233">
        <f t="shared" si="14"/>
        <v>20.571428571428573</v>
      </c>
      <c r="R10" s="92">
        <f t="shared" si="15"/>
        <v>13.714285714285714</v>
      </c>
      <c r="S10" s="93">
        <v>97</v>
      </c>
      <c r="T10" s="93">
        <v>-1</v>
      </c>
      <c r="U10" s="92">
        <f t="shared" si="16"/>
        <v>96</v>
      </c>
      <c r="V10" s="93">
        <v>91551.73000000001</v>
      </c>
      <c r="W10" s="93">
        <v>-913</v>
      </c>
      <c r="X10" s="92">
        <f t="shared" si="17"/>
        <v>90638.73000000001</v>
      </c>
      <c r="Y10" s="93">
        <v>128366.93999999999</v>
      </c>
      <c r="Z10" s="93">
        <v>-1350</v>
      </c>
      <c r="AA10" s="92">
        <f t="shared" si="18"/>
        <v>127016.93999999999</v>
      </c>
      <c r="AB10" s="92">
        <f t="shared" si="19"/>
        <v>136321.92000000001</v>
      </c>
      <c r="AC10" s="234">
        <f t="shared" si="20"/>
        <v>5.8802235166525378E-2</v>
      </c>
      <c r="AD10" s="92">
        <f t="shared" si="21"/>
        <v>11816.64</v>
      </c>
      <c r="AE10" s="93">
        <v>48210.549999999974</v>
      </c>
      <c r="AF10" s="234">
        <f t="shared" si="5"/>
        <v>0.37956000199658391</v>
      </c>
      <c r="AG10" s="93">
        <v>10558.280000000004</v>
      </c>
      <c r="AH10" s="93"/>
      <c r="AI10" s="93">
        <f>95+50</f>
        <v>145</v>
      </c>
      <c r="AJ10" s="93">
        <f>7531+3344</f>
        <v>10875</v>
      </c>
      <c r="AK10" s="93"/>
      <c r="AL10" s="122">
        <f t="shared" si="6"/>
        <v>478.15761495535708</v>
      </c>
      <c r="AM10" s="93">
        <v>0</v>
      </c>
      <c r="AN10" s="94">
        <f t="shared" si="22"/>
        <v>5175.4714830000003</v>
      </c>
      <c r="AO10" s="95">
        <f t="shared" si="23"/>
        <v>39757.840902044649</v>
      </c>
      <c r="AP10" s="96"/>
      <c r="AQ10" s="97">
        <f t="shared" si="7"/>
        <v>1323.0931249999999</v>
      </c>
      <c r="AR10" s="98">
        <f t="shared" si="8"/>
        <v>123.09</v>
      </c>
      <c r="AS10" s="98">
        <f t="shared" si="9"/>
        <v>502.19322916666641</v>
      </c>
      <c r="AT10" s="98">
        <f t="shared" si="10"/>
        <v>108.84824742268046</v>
      </c>
      <c r="AU10" s="98">
        <f t="shared" si="24"/>
        <v>113.60824742268041</v>
      </c>
      <c r="AV10" s="98">
        <f t="array" ref="AV10">_xlfn.IFS(U10=0,AO10,U10&lt;0,AO10/-U10,U10&gt;0,AO10/U10)</f>
        <v>414.14417606296507</v>
      </c>
      <c r="AW10" s="234">
        <f>IF(AQ10=0,0,AV10/AQ10)</f>
        <v>0.31301211399081613</v>
      </c>
      <c r="AX10" s="234">
        <f>IF(AR10=0,0,AV10/AR10)</f>
        <v>3.3645639455923719</v>
      </c>
      <c r="AY10" s="99"/>
      <c r="AZ10" s="94">
        <f t="shared" si="13"/>
        <v>3103596.4554158603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675</v>
      </c>
      <c r="F11" s="93">
        <v>66</v>
      </c>
      <c r="G11" s="93">
        <v>15</v>
      </c>
      <c r="H11" s="93">
        <v>198</v>
      </c>
      <c r="I11" s="93">
        <v>0</v>
      </c>
      <c r="J11" s="93">
        <v>396</v>
      </c>
      <c r="K11" s="92">
        <v>123.09</v>
      </c>
      <c r="L11" s="92">
        <f t="shared" ref="L11" si="30">E11*K11</f>
        <v>83085.75</v>
      </c>
      <c r="M11" s="89">
        <v>31</v>
      </c>
      <c r="N11" s="89">
        <v>97</v>
      </c>
      <c r="O11" s="89">
        <v>1352</v>
      </c>
      <c r="P11" s="89">
        <v>51</v>
      </c>
      <c r="Q11" s="233">
        <f t="shared" si="14"/>
        <v>13.857142857142858</v>
      </c>
      <c r="R11" s="92">
        <f t="shared" si="15"/>
        <v>6.7142857142857144</v>
      </c>
      <c r="S11" s="93">
        <v>47</v>
      </c>
      <c r="T11" s="93">
        <v>0</v>
      </c>
      <c r="U11" s="92">
        <f t="shared" si="16"/>
        <v>47</v>
      </c>
      <c r="V11" s="93">
        <v>43475.71</v>
      </c>
      <c r="W11" s="93">
        <v>0</v>
      </c>
      <c r="X11" s="92">
        <f t="shared" si="17"/>
        <v>43475.71</v>
      </c>
      <c r="Y11" s="93">
        <v>61823.29</v>
      </c>
      <c r="Z11" s="93">
        <v>0</v>
      </c>
      <c r="AA11" s="92">
        <f t="shared" si="18"/>
        <v>61823.29</v>
      </c>
      <c r="AB11" s="92">
        <f t="shared" si="19"/>
        <v>66883.44</v>
      </c>
      <c r="AC11" s="234">
        <f t="shared" si="20"/>
        <v>2.8620966914714659E-2</v>
      </c>
      <c r="AD11" s="92">
        <f t="shared" si="21"/>
        <v>5785.2300000000005</v>
      </c>
      <c r="AE11" s="93">
        <v>23377.259999999995</v>
      </c>
      <c r="AF11" s="234">
        <f t="shared" si="5"/>
        <v>0.37813031302604561</v>
      </c>
      <c r="AG11" s="93">
        <v>5822.9900000000043</v>
      </c>
      <c r="AH11" s="93"/>
      <c r="AI11" s="93">
        <v>588</v>
      </c>
      <c r="AJ11" s="93">
        <v>5726</v>
      </c>
      <c r="AK11" s="93"/>
      <c r="AL11" s="122">
        <f t="shared" si="6"/>
        <v>206.26406919642855</v>
      </c>
      <c r="AM11" s="93">
        <v>0</v>
      </c>
      <c r="AN11" s="94">
        <f t="shared" si="22"/>
        <v>2482.463041</v>
      </c>
      <c r="AO11" s="95">
        <f t="shared" si="23"/>
        <v>17835.082889803569</v>
      </c>
      <c r="AP11" s="96"/>
      <c r="AQ11" s="97">
        <f t="shared" si="7"/>
        <v>1315.3891489361702</v>
      </c>
      <c r="AR11" s="98">
        <f t="shared" si="8"/>
        <v>123.09</v>
      </c>
      <c r="AS11" s="98">
        <f t="shared" si="9"/>
        <v>497.38851063829776</v>
      </c>
      <c r="AT11" s="98">
        <f t="shared" si="10"/>
        <v>123.89340425531924</v>
      </c>
      <c r="AU11" s="98">
        <f t="shared" si="24"/>
        <v>134.34042553191489</v>
      </c>
      <c r="AV11" s="98">
        <f t="array" ref="AV11">_xlfn.IFS(U11=0,AO11,U11&lt;0,AO11/-U11,U11&gt;0,AO11/U11)</f>
        <v>379.46984871922484</v>
      </c>
      <c r="AW11" s="234">
        <f t="shared" ref="AW11:AW28" si="31">IF(AQ11=0,0,AV11/AQ11)</f>
        <v>0.28848485562323789</v>
      </c>
      <c r="AX11" s="234">
        <f t="shared" ref="AX11:AX28" si="32">IF(AR11=0,0,AV11/AR11)</f>
        <v>3.0828649664410173</v>
      </c>
      <c r="AY11" s="99"/>
      <c r="AZ11" s="94">
        <f t="shared" si="13"/>
        <v>256142.14788547676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5864</v>
      </c>
      <c r="F12" s="93">
        <v>69</v>
      </c>
      <c r="G12" s="93">
        <v>16</v>
      </c>
      <c r="H12" s="93">
        <v>572</v>
      </c>
      <c r="I12" s="93">
        <v>1</v>
      </c>
      <c r="J12" s="93">
        <v>5206</v>
      </c>
      <c r="K12" s="92">
        <v>117.24</v>
      </c>
      <c r="L12" s="92">
        <f>E12*K12</f>
        <v>687495.36</v>
      </c>
      <c r="M12" s="89">
        <v>62</v>
      </c>
      <c r="N12" s="89">
        <v>101</v>
      </c>
      <c r="O12" s="89">
        <v>1374</v>
      </c>
      <c r="P12" s="89">
        <v>53</v>
      </c>
      <c r="Q12" s="233">
        <f t="shared" si="14"/>
        <v>14.428571428571429</v>
      </c>
      <c r="R12" s="92">
        <f t="shared" si="15"/>
        <v>8.1428571428571423</v>
      </c>
      <c r="S12" s="93">
        <v>57</v>
      </c>
      <c r="T12" s="93">
        <v>0</v>
      </c>
      <c r="U12" s="92">
        <f t="shared" si="16"/>
        <v>57</v>
      </c>
      <c r="V12" s="93">
        <v>53400.79</v>
      </c>
      <c r="W12" s="93">
        <v>0</v>
      </c>
      <c r="X12" s="92">
        <f t="shared" si="17"/>
        <v>53400.79</v>
      </c>
      <c r="Y12" s="93">
        <v>75890.03</v>
      </c>
      <c r="Z12" s="93">
        <v>0</v>
      </c>
      <c r="AA12" s="92">
        <f t="shared" si="18"/>
        <v>75890.03</v>
      </c>
      <c r="AB12" s="92">
        <f t="shared" si="19"/>
        <v>73550.22</v>
      </c>
      <c r="AC12" s="234">
        <f t="shared" si="20"/>
        <v>3.5133135712879446E-2</v>
      </c>
      <c r="AD12" s="92">
        <f t="shared" si="21"/>
        <v>6682.6799999999994</v>
      </c>
      <c r="AE12" s="93">
        <v>28827.879999999997</v>
      </c>
      <c r="AF12" s="234">
        <f t="shared" si="5"/>
        <v>0.37986386354044133</v>
      </c>
      <c r="AG12" s="93">
        <v>8276.0300000000061</v>
      </c>
      <c r="AH12" s="93"/>
      <c r="AI12" s="93">
        <v>410</v>
      </c>
      <c r="AJ12" s="93">
        <v>8147</v>
      </c>
      <c r="AK12" s="93"/>
      <c r="AL12" s="122">
        <f t="shared" si="6"/>
        <v>595.87397767857146</v>
      </c>
      <c r="AM12" s="93">
        <v>10</v>
      </c>
      <c r="AN12" s="94">
        <f t="shared" si="22"/>
        <v>3049.185109</v>
      </c>
      <c r="AO12" s="95">
        <f t="shared" si="23"/>
        <v>19891.380913321431</v>
      </c>
      <c r="AP12" s="96"/>
      <c r="AQ12" s="97">
        <f t="shared" si="7"/>
        <v>1331.4040350877192</v>
      </c>
      <c r="AR12" s="98">
        <f t="shared" si="8"/>
        <v>117.24</v>
      </c>
      <c r="AS12" s="98">
        <f t="shared" si="9"/>
        <v>505.75228070175433</v>
      </c>
      <c r="AT12" s="98">
        <f t="shared" si="10"/>
        <v>145.19350877192994</v>
      </c>
      <c r="AU12" s="98">
        <f t="shared" si="24"/>
        <v>150.12280701754386</v>
      </c>
      <c r="AV12" s="98">
        <f t="array" ref="AV12">_xlfn.IFS(U12=0,AO12,U12&lt;0,AO12/-U12,U12&gt;0,AO12/U12)</f>
        <v>348.97159497055139</v>
      </c>
      <c r="AW12" s="234">
        <f t="shared" si="31"/>
        <v>0.26210795954780136</v>
      </c>
      <c r="AX12" s="234">
        <f t="shared" si="32"/>
        <v>2.9765574460128916</v>
      </c>
      <c r="AY12" s="99"/>
      <c r="AZ12" s="94">
        <f t="shared" si="13"/>
        <v>2046369.4329073133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2003</v>
      </c>
      <c r="F13" s="93">
        <v>192</v>
      </c>
      <c r="G13" s="93">
        <v>53</v>
      </c>
      <c r="H13" s="93">
        <v>563</v>
      </c>
      <c r="I13" s="93">
        <v>1</v>
      </c>
      <c r="J13" s="93">
        <v>1194</v>
      </c>
      <c r="K13" s="92">
        <v>123.09</v>
      </c>
      <c r="L13" s="92">
        <f t="shared" ref="L13:L28" si="33">E13*K13</f>
        <v>246549.27000000002</v>
      </c>
      <c r="M13" s="89">
        <v>35</v>
      </c>
      <c r="N13" s="89">
        <v>262</v>
      </c>
      <c r="O13" s="89">
        <v>1384</v>
      </c>
      <c r="P13" s="89">
        <v>58</v>
      </c>
      <c r="Q13" s="233">
        <f t="shared" si="14"/>
        <v>37.428571428571431</v>
      </c>
      <c r="R13" s="92">
        <f t="shared" si="15"/>
        <v>22.714285714285715</v>
      </c>
      <c r="S13" s="93">
        <v>162</v>
      </c>
      <c r="T13" s="93">
        <v>-3</v>
      </c>
      <c r="U13" s="92">
        <f t="shared" si="16"/>
        <v>159</v>
      </c>
      <c r="V13" s="93">
        <v>152999.93999999994</v>
      </c>
      <c r="W13" s="93">
        <v>-3109</v>
      </c>
      <c r="X13" s="92">
        <f t="shared" si="17"/>
        <v>149890.93999999994</v>
      </c>
      <c r="Y13" s="93">
        <v>215336.26000000004</v>
      </c>
      <c r="Z13" s="93">
        <v>-4499</v>
      </c>
      <c r="AA13" s="92">
        <f t="shared" si="18"/>
        <v>210837.26000000004</v>
      </c>
      <c r="AB13" s="92">
        <f t="shared" si="19"/>
        <v>210312.64</v>
      </c>
      <c r="AC13" s="234">
        <f t="shared" si="20"/>
        <v>9.7606682576244219E-2</v>
      </c>
      <c r="AD13" s="92">
        <f t="shared" si="21"/>
        <v>19571.310000000001</v>
      </c>
      <c r="AE13" s="93">
        <v>79396.110000000015</v>
      </c>
      <c r="AF13" s="234">
        <f t="shared" si="5"/>
        <v>0.37657532639154956</v>
      </c>
      <c r="AG13" s="93">
        <v>20887.920000000013</v>
      </c>
      <c r="AH13" s="93"/>
      <c r="AI13" s="93">
        <v>4415</v>
      </c>
      <c r="AJ13" s="93">
        <v>27804</v>
      </c>
      <c r="AK13" s="93"/>
      <c r="AL13" s="122">
        <f t="shared" si="6"/>
        <v>586.49833816964281</v>
      </c>
      <c r="AM13" s="93">
        <v>1285</v>
      </c>
      <c r="AN13" s="94">
        <f t="shared" si="22"/>
        <v>8558.7726739999962</v>
      </c>
      <c r="AO13" s="95">
        <f t="shared" si="23"/>
        <v>48332.648987830369</v>
      </c>
      <c r="AP13" s="96"/>
      <c r="AQ13" s="97">
        <f t="shared" si="7"/>
        <v>1326.0205031446544</v>
      </c>
      <c r="AR13" s="98">
        <f t="shared" si="8"/>
        <v>123.09</v>
      </c>
      <c r="AS13" s="98">
        <f t="shared" si="9"/>
        <v>499.346603773585</v>
      </c>
      <c r="AT13" s="98">
        <f t="shared" si="10"/>
        <v>128.93777777777785</v>
      </c>
      <c r="AU13" s="98">
        <f t="shared" si="24"/>
        <v>198.88271604938271</v>
      </c>
      <c r="AV13" s="98">
        <f t="array" ref="AV13">_xlfn.IFS(U13=0,AO13,U13&lt;0,AO13/-U13,U13&gt;0,AO13/U13)</f>
        <v>303.97892445176331</v>
      </c>
      <c r="AW13" s="234">
        <f t="shared" si="31"/>
        <v>0.2292414964405739</v>
      </c>
      <c r="AX13" s="234">
        <f t="shared" si="32"/>
        <v>2.4695663697437915</v>
      </c>
      <c r="AY13" s="99"/>
      <c r="AZ13" s="94">
        <f t="shared" si="13"/>
        <v>608869.7856768819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2053</v>
      </c>
      <c r="F14" s="93">
        <v>25</v>
      </c>
      <c r="G14" s="93">
        <v>8</v>
      </c>
      <c r="H14" s="93">
        <v>416</v>
      </c>
      <c r="I14" s="93">
        <v>2</v>
      </c>
      <c r="J14" s="93">
        <v>1602</v>
      </c>
      <c r="K14" s="92">
        <v>123.09</v>
      </c>
      <c r="L14" s="92">
        <f t="shared" si="33"/>
        <v>252703.77000000002</v>
      </c>
      <c r="M14" s="89">
        <v>139</v>
      </c>
      <c r="N14" s="89">
        <v>46</v>
      </c>
      <c r="O14" s="89">
        <v>1377</v>
      </c>
      <c r="P14" s="89">
        <v>65</v>
      </c>
      <c r="Q14" s="233">
        <f t="shared" si="14"/>
        <v>6.5714285714285712</v>
      </c>
      <c r="R14" s="92">
        <f t="shared" si="15"/>
        <v>4.2857142857142856</v>
      </c>
      <c r="S14" s="93">
        <v>30</v>
      </c>
      <c r="T14" s="93">
        <v>0</v>
      </c>
      <c r="U14" s="92">
        <f t="shared" si="16"/>
        <v>30</v>
      </c>
      <c r="V14" s="93">
        <v>28868.380000000005</v>
      </c>
      <c r="W14" s="93">
        <v>0</v>
      </c>
      <c r="X14" s="92">
        <f t="shared" si="17"/>
        <v>28868.380000000005</v>
      </c>
      <c r="Y14" s="93">
        <v>39826.53</v>
      </c>
      <c r="Z14" s="93">
        <v>0</v>
      </c>
      <c r="AA14" s="92">
        <f t="shared" si="18"/>
        <v>39826.53</v>
      </c>
      <c r="AB14" s="92">
        <f t="shared" si="19"/>
        <v>41172.300000000003</v>
      </c>
      <c r="AC14" s="234">
        <f t="shared" si="20"/>
        <v>1.8437611415663753E-2</v>
      </c>
      <c r="AD14" s="92">
        <f t="shared" si="21"/>
        <v>3692.7000000000003</v>
      </c>
      <c r="AE14" s="93">
        <v>15089.329999999998</v>
      </c>
      <c r="AF14" s="234">
        <f t="shared" si="5"/>
        <v>0.37887634197606468</v>
      </c>
      <c r="AG14" s="93">
        <v>2667.3299999999995</v>
      </c>
      <c r="AH14" s="93">
        <v>115</v>
      </c>
      <c r="AI14" s="93">
        <v>1120</v>
      </c>
      <c r="AJ14" s="93">
        <v>709</v>
      </c>
      <c r="AK14" s="93"/>
      <c r="AL14" s="122">
        <f t="shared" si="6"/>
        <v>433.36289285714281</v>
      </c>
      <c r="AM14" s="93">
        <v>0</v>
      </c>
      <c r="AN14" s="94">
        <f t="shared" si="22"/>
        <v>1648.3844980000001</v>
      </c>
      <c r="AO14" s="95">
        <f t="shared" si="23"/>
        <v>14351.422609142863</v>
      </c>
      <c r="AP14" s="96"/>
      <c r="AQ14" s="97">
        <f t="shared" si="7"/>
        <v>1327.5509999999999</v>
      </c>
      <c r="AR14" s="98">
        <f t="shared" si="8"/>
        <v>123.09</v>
      </c>
      <c r="AS14" s="98">
        <f t="shared" si="9"/>
        <v>502.97766666666661</v>
      </c>
      <c r="AT14" s="98">
        <f t="shared" si="10"/>
        <v>88.910999999999987</v>
      </c>
      <c r="AU14" s="98">
        <f t="shared" si="24"/>
        <v>64.8</v>
      </c>
      <c r="AV14" s="98">
        <f t="array" ref="AV14">_xlfn.IFS(U14=0,AO14,U14&lt;0,AO14/-U14,U14&gt;0,AO14/U14)</f>
        <v>478.38075363809543</v>
      </c>
      <c r="AW14" s="234">
        <f t="shared" si="31"/>
        <v>0.36034830574350474</v>
      </c>
      <c r="AX14" s="234">
        <f t="shared" si="32"/>
        <v>3.8864306900487078</v>
      </c>
      <c r="AY14" s="99"/>
      <c r="AZ14" s="94">
        <f t="shared" si="13"/>
        <v>982115.68721900997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4442</v>
      </c>
      <c r="F15" s="93">
        <v>40</v>
      </c>
      <c r="G15" s="93">
        <v>4</v>
      </c>
      <c r="H15" s="93">
        <v>275</v>
      </c>
      <c r="I15" s="93">
        <v>0</v>
      </c>
      <c r="J15" s="93">
        <v>4123</v>
      </c>
      <c r="K15" s="92">
        <v>123.09</v>
      </c>
      <c r="L15" s="92">
        <f t="shared" si="33"/>
        <v>546765.78</v>
      </c>
      <c r="M15" s="89">
        <v>59</v>
      </c>
      <c r="N15" s="89">
        <v>57</v>
      </c>
      <c r="O15" s="89">
        <v>1366</v>
      </c>
      <c r="P15" s="89">
        <v>74</v>
      </c>
      <c r="Q15" s="233">
        <f t="shared" si="14"/>
        <v>8.1428571428571423</v>
      </c>
      <c r="R15" s="92">
        <f t="shared" si="15"/>
        <v>5.7142857142857144</v>
      </c>
      <c r="S15" s="93">
        <v>41</v>
      </c>
      <c r="T15" s="93">
        <v>-1</v>
      </c>
      <c r="U15" s="92">
        <f t="shared" si="16"/>
        <v>40</v>
      </c>
      <c r="V15" s="93">
        <v>38124.01</v>
      </c>
      <c r="W15" s="93">
        <v>-1028.46</v>
      </c>
      <c r="X15" s="92">
        <f t="shared" si="17"/>
        <v>37095.550000000003</v>
      </c>
      <c r="Y15" s="93">
        <v>54205.68</v>
      </c>
      <c r="Z15" s="93">
        <v>-1300.92</v>
      </c>
      <c r="AA15" s="92">
        <f t="shared" si="18"/>
        <v>52904.76</v>
      </c>
      <c r="AB15" s="92">
        <f t="shared" si="19"/>
        <v>57617.88</v>
      </c>
      <c r="AC15" s="234">
        <f t="shared" si="20"/>
        <v>2.4492151511039281E-2</v>
      </c>
      <c r="AD15" s="92">
        <f t="shared" si="21"/>
        <v>4923.6000000000004</v>
      </c>
      <c r="AE15" s="93">
        <v>20126.540000000005</v>
      </c>
      <c r="AF15" s="234">
        <f t="shared" si="5"/>
        <v>0.38042966266173411</v>
      </c>
      <c r="AG15" s="93">
        <v>3538.09</v>
      </c>
      <c r="AH15" s="93"/>
      <c r="AI15" s="93">
        <v>1895</v>
      </c>
      <c r="AJ15" s="93">
        <v>2591</v>
      </c>
      <c r="AK15" s="93"/>
      <c r="AL15" s="122">
        <f t="shared" si="6"/>
        <v>286.47787388392857</v>
      </c>
      <c r="AM15" s="93">
        <v>0</v>
      </c>
      <c r="AN15" s="94">
        <f t="shared" si="22"/>
        <v>2118.1559050000001</v>
      </c>
      <c r="AO15" s="95">
        <f t="shared" si="23"/>
        <v>17425.896221116072</v>
      </c>
      <c r="AP15" s="96"/>
      <c r="AQ15" s="97">
        <f t="shared" si="7"/>
        <v>1322.6190000000001</v>
      </c>
      <c r="AR15" s="98">
        <f t="shared" si="8"/>
        <v>123.09</v>
      </c>
      <c r="AS15" s="98">
        <f t="shared" si="9"/>
        <v>503.16350000000011</v>
      </c>
      <c r="AT15" s="98">
        <f t="shared" si="10"/>
        <v>86.29487804878049</v>
      </c>
      <c r="AU15" s="98">
        <f t="shared" si="24"/>
        <v>109.41463414634147</v>
      </c>
      <c r="AV15" s="98">
        <f t="array" ref="AV15">_xlfn.IFS(U15=0,AO15,U15&lt;0,AO15/-U15,U15&gt;0,AO15/U15)</f>
        <v>435.64740552790181</v>
      </c>
      <c r="AW15" s="234">
        <f t="shared" si="31"/>
        <v>0.32938238867572728</v>
      </c>
      <c r="AX15" s="234">
        <f t="shared" si="32"/>
        <v>3.5392591236323163</v>
      </c>
      <c r="AY15" s="99"/>
      <c r="AZ15" s="94">
        <f t="shared" si="13"/>
        <v>1935145.7753549397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2019</v>
      </c>
      <c r="F16" s="93">
        <v>115</v>
      </c>
      <c r="G16" s="93">
        <v>30</v>
      </c>
      <c r="H16" s="93">
        <v>443</v>
      </c>
      <c r="I16" s="93">
        <v>2</v>
      </c>
      <c r="J16" s="93">
        <v>1429</v>
      </c>
      <c r="K16" s="92">
        <v>117.24</v>
      </c>
      <c r="L16" s="92">
        <f t="shared" si="33"/>
        <v>236707.56</v>
      </c>
      <c r="M16" s="89">
        <v>35</v>
      </c>
      <c r="N16" s="89">
        <v>173</v>
      </c>
      <c r="O16" s="89">
        <v>1373</v>
      </c>
      <c r="P16" s="89">
        <v>70</v>
      </c>
      <c r="Q16" s="233">
        <f t="shared" si="14"/>
        <v>24.714285714285715</v>
      </c>
      <c r="R16" s="92">
        <f t="shared" si="15"/>
        <v>16.857142857142858</v>
      </c>
      <c r="S16" s="93">
        <v>119</v>
      </c>
      <c r="T16" s="93">
        <v>-1</v>
      </c>
      <c r="U16" s="92">
        <f t="shared" si="16"/>
        <v>118</v>
      </c>
      <c r="V16" s="93">
        <v>112908.08</v>
      </c>
      <c r="W16" s="93">
        <v>-1007</v>
      </c>
      <c r="X16" s="92">
        <f t="shared" si="17"/>
        <v>111901.08</v>
      </c>
      <c r="Y16" s="93">
        <v>159645.99</v>
      </c>
      <c r="Z16" s="93">
        <v>-1513</v>
      </c>
      <c r="AA16" s="92">
        <f t="shared" si="18"/>
        <v>158132.99</v>
      </c>
      <c r="AB16" s="92">
        <f t="shared" si="19"/>
        <v>166270.29999999999</v>
      </c>
      <c r="AC16" s="234">
        <f t="shared" si="20"/>
        <v>7.3207347504717135E-2</v>
      </c>
      <c r="AD16" s="92">
        <f t="shared" si="21"/>
        <v>13834.32</v>
      </c>
      <c r="AE16" s="93">
        <v>60081.479999999996</v>
      </c>
      <c r="AF16" s="234">
        <f t="shared" si="5"/>
        <v>0.37994273048274113</v>
      </c>
      <c r="AG16" s="93">
        <v>11540.890000000014</v>
      </c>
      <c r="AH16" s="93"/>
      <c r="AI16" s="93">
        <v>2106</v>
      </c>
      <c r="AJ16" s="93">
        <v>9594</v>
      </c>
      <c r="AK16" s="93"/>
      <c r="AL16" s="122">
        <f t="shared" si="6"/>
        <v>461.4898113839285</v>
      </c>
      <c r="AM16" s="93">
        <v>0</v>
      </c>
      <c r="AN16" s="94">
        <f t="shared" si="22"/>
        <v>6389.5516680000001</v>
      </c>
      <c r="AO16" s="95">
        <f t="shared" si="23"/>
        <v>54125.258520616044</v>
      </c>
      <c r="AP16" s="96"/>
      <c r="AQ16" s="97">
        <f t="shared" si="7"/>
        <v>1340.1100847457626</v>
      </c>
      <c r="AR16" s="98">
        <f t="shared" si="8"/>
        <v>117.24</v>
      </c>
      <c r="AS16" s="98">
        <f t="shared" si="9"/>
        <v>509.16508474576267</v>
      </c>
      <c r="AT16" s="98">
        <f t="shared" si="10"/>
        <v>96.982268907563139</v>
      </c>
      <c r="AU16" s="98">
        <f t="shared" si="24"/>
        <v>98.319327731092443</v>
      </c>
      <c r="AV16" s="98">
        <f t="array" ref="AV16">_xlfn.IFS(U16=0,AO16,U16&lt;0,AO16/-U16,U16&gt;0,AO16/U16)</f>
        <v>458.68863153064444</v>
      </c>
      <c r="AW16" s="234">
        <f t="shared" si="31"/>
        <v>0.34227682990510738</v>
      </c>
      <c r="AX16" s="234">
        <f t="shared" si="32"/>
        <v>3.9123902382347704</v>
      </c>
      <c r="AY16" s="99"/>
      <c r="AZ16" s="94">
        <f t="shared" si="13"/>
        <v>926092.34706037107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1459</v>
      </c>
      <c r="F17" s="93">
        <v>20</v>
      </c>
      <c r="G17" s="93">
        <v>12</v>
      </c>
      <c r="H17" s="93">
        <v>73</v>
      </c>
      <c r="I17" s="93">
        <v>1</v>
      </c>
      <c r="J17" s="93">
        <v>1353</v>
      </c>
      <c r="K17" s="93">
        <v>123.09</v>
      </c>
      <c r="L17" s="92">
        <f t="shared" si="33"/>
        <v>179588.31</v>
      </c>
      <c r="M17" s="89">
        <v>33</v>
      </c>
      <c r="N17" s="89">
        <v>40</v>
      </c>
      <c r="O17" s="89">
        <v>1480</v>
      </c>
      <c r="P17" s="89">
        <v>45</v>
      </c>
      <c r="Q17" s="233">
        <f t="shared" si="14"/>
        <v>5.7142857142857144</v>
      </c>
      <c r="R17" s="92">
        <f t="shared" si="15"/>
        <v>2.8571428571428572</v>
      </c>
      <c r="S17" s="93">
        <v>21</v>
      </c>
      <c r="T17" s="93">
        <v>-1</v>
      </c>
      <c r="U17" s="92">
        <f t="shared" si="16"/>
        <v>20</v>
      </c>
      <c r="V17" s="93">
        <v>22581.58</v>
      </c>
      <c r="W17" s="93">
        <v>-1015</v>
      </c>
      <c r="X17" s="92">
        <f t="shared" si="17"/>
        <v>21566.58</v>
      </c>
      <c r="Y17" s="93">
        <v>30968.739999999998</v>
      </c>
      <c r="Z17" s="93">
        <v>-1480</v>
      </c>
      <c r="AA17" s="92">
        <f t="shared" si="18"/>
        <v>29488.739999999998</v>
      </c>
      <c r="AB17" s="92">
        <f t="shared" si="19"/>
        <v>26640</v>
      </c>
      <c r="AC17" s="234">
        <f t="shared" si="20"/>
        <v>1.3651752468958262E-2</v>
      </c>
      <c r="AD17" s="92">
        <f t="shared" si="21"/>
        <v>2461.8000000000002</v>
      </c>
      <c r="AE17" s="93">
        <v>11298.869999999999</v>
      </c>
      <c r="AF17" s="234">
        <f t="shared" si="5"/>
        <v>0.38315879213557447</v>
      </c>
      <c r="AG17" s="93">
        <v>3466.6200000000008</v>
      </c>
      <c r="AH17" s="93"/>
      <c r="AI17" s="93">
        <v>1020</v>
      </c>
      <c r="AJ17" s="93">
        <v>1951</v>
      </c>
      <c r="AK17" s="93"/>
      <c r="AL17" s="122">
        <f t="shared" si="6"/>
        <v>76.046853794642857</v>
      </c>
      <c r="AM17" s="93">
        <v>0</v>
      </c>
      <c r="AN17" s="94">
        <f t="shared" si="22"/>
        <v>1231.451718</v>
      </c>
      <c r="AO17" s="95">
        <f t="shared" si="23"/>
        <v>7982.9514282053551</v>
      </c>
      <c r="AP17" s="96"/>
      <c r="AQ17" s="97">
        <f t="shared" si="7"/>
        <v>1474.4369999999999</v>
      </c>
      <c r="AR17" s="98">
        <f t="shared" si="8"/>
        <v>123.09</v>
      </c>
      <c r="AS17" s="98">
        <f t="shared" si="9"/>
        <v>564.94349999999997</v>
      </c>
      <c r="AT17" s="98">
        <f t="shared" si="10"/>
        <v>165.07714285714289</v>
      </c>
      <c r="AU17" s="98">
        <f t="shared" si="24"/>
        <v>141.47619047619048</v>
      </c>
      <c r="AV17" s="98">
        <f t="array" ref="AV17">_xlfn.IFS(U17=0,AO17,U17&lt;0,AO17/-U17,U17&gt;0,AO17/U17)</f>
        <v>399.14757141026774</v>
      </c>
      <c r="AW17" s="234">
        <f t="shared" si="31"/>
        <v>0.27071185232754452</v>
      </c>
      <c r="AX17" s="234">
        <f t="shared" si="32"/>
        <v>3.2427294777014195</v>
      </c>
      <c r="AY17" s="99"/>
      <c r="AZ17" s="94">
        <f t="shared" si="13"/>
        <v>582356.30668758065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1384</v>
      </c>
      <c r="F18" s="93">
        <v>28</v>
      </c>
      <c r="G18" s="93">
        <v>10</v>
      </c>
      <c r="H18" s="93">
        <v>385</v>
      </c>
      <c r="I18" s="93">
        <v>2</v>
      </c>
      <c r="J18" s="93">
        <v>959</v>
      </c>
      <c r="K18" s="93">
        <v>123.09</v>
      </c>
      <c r="L18" s="92">
        <f t="shared" si="33"/>
        <v>170356.56</v>
      </c>
      <c r="M18" s="89">
        <v>386</v>
      </c>
      <c r="N18" s="89">
        <v>35</v>
      </c>
      <c r="O18" s="89">
        <v>1421</v>
      </c>
      <c r="P18" s="89">
        <v>75</v>
      </c>
      <c r="Q18" s="233">
        <f t="shared" si="14"/>
        <v>5</v>
      </c>
      <c r="R18" s="92">
        <f t="shared" si="15"/>
        <v>2.4285714285714284</v>
      </c>
      <c r="S18" s="93">
        <v>17</v>
      </c>
      <c r="T18" s="93">
        <v>0</v>
      </c>
      <c r="U18" s="92">
        <f t="shared" si="16"/>
        <v>17</v>
      </c>
      <c r="V18" s="93">
        <v>17461</v>
      </c>
      <c r="W18" s="93">
        <v>0</v>
      </c>
      <c r="X18" s="92">
        <f t="shared" si="17"/>
        <v>17461</v>
      </c>
      <c r="Y18" s="93">
        <v>24575</v>
      </c>
      <c r="Z18" s="93">
        <v>0</v>
      </c>
      <c r="AA18" s="92">
        <f t="shared" si="18"/>
        <v>24575</v>
      </c>
      <c r="AB18" s="92">
        <f t="shared" si="19"/>
        <v>37301.25</v>
      </c>
      <c r="AC18" s="234">
        <f t="shared" si="20"/>
        <v>1.1376946486172327E-2</v>
      </c>
      <c r="AD18" s="92">
        <f t="shared" si="21"/>
        <v>2092.5300000000002</v>
      </c>
      <c r="AE18" s="93">
        <v>9368.3599999999988</v>
      </c>
      <c r="AF18" s="234">
        <f t="shared" si="5"/>
        <v>0.38121505595116983</v>
      </c>
      <c r="AG18" s="93">
        <v>2117.2899999999995</v>
      </c>
      <c r="AH18" s="93"/>
      <c r="AI18" s="93">
        <v>186</v>
      </c>
      <c r="AJ18" s="93">
        <v>2348</v>
      </c>
      <c r="AK18" s="93"/>
      <c r="AL18" s="122">
        <f t="shared" si="6"/>
        <v>401.06902343749999</v>
      </c>
      <c r="AM18" s="93">
        <v>30</v>
      </c>
      <c r="AN18" s="94">
        <f t="shared" si="22"/>
        <v>997.0231</v>
      </c>
      <c r="AO18" s="95">
        <f t="shared" si="23"/>
        <v>7034.7278765625033</v>
      </c>
      <c r="AP18" s="96"/>
      <c r="AQ18" s="97">
        <f t="shared" si="7"/>
        <v>1445.5882352941176</v>
      </c>
      <c r="AR18" s="98">
        <f t="shared" si="8"/>
        <v>123.09</v>
      </c>
      <c r="AS18" s="98">
        <f t="shared" si="9"/>
        <v>551.07999999999993</v>
      </c>
      <c r="AT18" s="98">
        <f t="shared" si="10"/>
        <v>124.54647058823527</v>
      </c>
      <c r="AU18" s="98">
        <f t="shared" si="24"/>
        <v>149.05882352941177</v>
      </c>
      <c r="AV18" s="98">
        <f t="array" ref="AV18">_xlfn.IFS(U18=0,AO18,U18&lt;0,AO18/-U18,U18&gt;0,AO18/U18)</f>
        <v>413.80752215073551</v>
      </c>
      <c r="AW18" s="234">
        <f t="shared" si="31"/>
        <v>0.28625545784588013</v>
      </c>
      <c r="AX18" s="234">
        <f t="shared" si="32"/>
        <v>3.3618289231516409</v>
      </c>
      <c r="AY18" s="99"/>
      <c r="AZ18" s="94">
        <f t="shared" si="13"/>
        <v>572709.61065661791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5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2"/>
        <v>0</v>
      </c>
      <c r="AO19" s="95">
        <f t="shared" si="23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294</v>
      </c>
      <c r="F20" s="93">
        <v>6</v>
      </c>
      <c r="G20" s="93">
        <v>1</v>
      </c>
      <c r="H20" s="93">
        <v>145</v>
      </c>
      <c r="I20" s="93">
        <v>1</v>
      </c>
      <c r="J20" s="93">
        <v>141</v>
      </c>
      <c r="K20" s="93">
        <v>117.24</v>
      </c>
      <c r="L20" s="92">
        <f t="shared" si="33"/>
        <v>34468.559999999998</v>
      </c>
      <c r="M20" s="89">
        <v>209</v>
      </c>
      <c r="N20" s="89">
        <v>8</v>
      </c>
      <c r="O20" s="89">
        <v>1201</v>
      </c>
      <c r="P20" s="89">
        <v>100</v>
      </c>
      <c r="Q20" s="233">
        <f t="shared" si="14"/>
        <v>1.1428571428571428</v>
      </c>
      <c r="R20" s="92">
        <f t="shared" si="15"/>
        <v>0.5714285714285714</v>
      </c>
      <c r="S20" s="93">
        <v>4</v>
      </c>
      <c r="T20" s="93">
        <v>0</v>
      </c>
      <c r="U20" s="92">
        <f t="shared" si="16"/>
        <v>4</v>
      </c>
      <c r="V20" s="93">
        <v>3460</v>
      </c>
      <c r="W20" s="93">
        <v>0</v>
      </c>
      <c r="X20" s="92">
        <f t="shared" si="17"/>
        <v>3460</v>
      </c>
      <c r="Y20" s="93">
        <v>4804</v>
      </c>
      <c r="Z20" s="93">
        <v>0</v>
      </c>
      <c r="AA20" s="92">
        <f t="shared" si="18"/>
        <v>4804</v>
      </c>
      <c r="AB20" s="92">
        <f t="shared" si="19"/>
        <v>9608</v>
      </c>
      <c r="AC20" s="234">
        <f t="shared" si="20"/>
        <v>2.2240020720069933E-3</v>
      </c>
      <c r="AD20" s="92">
        <f t="shared" si="21"/>
        <v>468.96</v>
      </c>
      <c r="AE20" s="93">
        <v>1839.7399999999998</v>
      </c>
      <c r="AF20" s="234">
        <f t="shared" si="5"/>
        <v>0.38296003330557865</v>
      </c>
      <c r="AG20" s="93">
        <v>478.82999999999993</v>
      </c>
      <c r="AH20" s="93"/>
      <c r="AI20" s="93"/>
      <c r="AJ20" s="93"/>
      <c r="AK20" s="93"/>
      <c r="AL20" s="122">
        <f t="shared" si="6"/>
        <v>151.05196986607143</v>
      </c>
      <c r="AM20" s="93">
        <v>0</v>
      </c>
      <c r="AN20" s="94">
        <f t="shared" si="22"/>
        <v>197.566</v>
      </c>
      <c r="AO20" s="95">
        <f t="shared" si="23"/>
        <v>1667.8520301339288</v>
      </c>
      <c r="AP20" s="96"/>
      <c r="AQ20" s="97">
        <f t="shared" si="7"/>
        <v>1201</v>
      </c>
      <c r="AR20" s="98">
        <f>K20</f>
        <v>117.24</v>
      </c>
      <c r="AS20" s="98">
        <f t="shared" si="9"/>
        <v>459.93499999999995</v>
      </c>
      <c r="AT20" s="98">
        <f t="shared" si="10"/>
        <v>119.70749999999998</v>
      </c>
      <c r="AU20" s="98">
        <f t="shared" si="24"/>
        <v>0</v>
      </c>
      <c r="AV20" s="98">
        <f t="array" ref="AV20">_xlfn.IFS(U20=0,AO20,U20&lt;0,AO20/-U20,U20&gt;0,AO20/U20)</f>
        <v>416.9630075334822</v>
      </c>
      <c r="AW20" s="234">
        <f t="shared" si="31"/>
        <v>0.34717985639757054</v>
      </c>
      <c r="AX20" s="234">
        <f t="shared" si="32"/>
        <v>3.5564910229740891</v>
      </c>
      <c r="AY20" s="99"/>
      <c r="AZ20" s="94">
        <f t="shared" si="13"/>
        <v>122587.12421484376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299</v>
      </c>
      <c r="F21" s="93">
        <v>3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3"/>
        <v>35054.76</v>
      </c>
      <c r="M21" s="89">
        <v>503</v>
      </c>
      <c r="N21" s="89">
        <v>3</v>
      </c>
      <c r="O21" s="89">
        <v>1201</v>
      </c>
      <c r="P21" s="89">
        <v>100</v>
      </c>
      <c r="Q21" s="233">
        <f t="shared" si="14"/>
        <v>0.42857142857142855</v>
      </c>
      <c r="R21" s="92">
        <f t="shared" si="15"/>
        <v>0.42857142857142855</v>
      </c>
      <c r="S21" s="93">
        <v>3</v>
      </c>
      <c r="T21" s="93">
        <v>0</v>
      </c>
      <c r="U21" s="92">
        <f t="shared" si="16"/>
        <v>3</v>
      </c>
      <c r="V21" s="93">
        <v>2551</v>
      </c>
      <c r="W21" s="93">
        <v>0</v>
      </c>
      <c r="X21" s="92">
        <f t="shared" si="17"/>
        <v>2551</v>
      </c>
      <c r="Y21" s="93">
        <v>3603</v>
      </c>
      <c r="Z21" s="93">
        <v>0</v>
      </c>
      <c r="AA21" s="92">
        <f t="shared" si="18"/>
        <v>3603</v>
      </c>
      <c r="AB21" s="92">
        <f t="shared" si="19"/>
        <v>3603</v>
      </c>
      <c r="AC21" s="234">
        <f t="shared" si="20"/>
        <v>1.6680015540052448E-3</v>
      </c>
      <c r="AD21" s="92">
        <f t="shared" si="21"/>
        <v>351.71999999999997</v>
      </c>
      <c r="AE21" s="93">
        <v>1379.5</v>
      </c>
      <c r="AF21" s="234">
        <f t="shared" si="5"/>
        <v>0.38287538162642243</v>
      </c>
      <c r="AG21" s="93">
        <v>507.36</v>
      </c>
      <c r="AH21" s="93"/>
      <c r="AI21" s="93"/>
      <c r="AJ21" s="93"/>
      <c r="AK21" s="93"/>
      <c r="AL21" s="122">
        <f t="shared" si="6"/>
        <v>154.17718303571428</v>
      </c>
      <c r="AM21" s="93">
        <v>0</v>
      </c>
      <c r="AN21" s="94">
        <f t="shared" si="22"/>
        <v>145.66209999999998</v>
      </c>
      <c r="AO21" s="95">
        <f t="shared" si="23"/>
        <v>1064.5807169642858</v>
      </c>
      <c r="AP21" s="96"/>
      <c r="AQ21" s="97">
        <f t="shared" si="7"/>
        <v>1201</v>
      </c>
      <c r="AR21" s="98">
        <f t="shared" ref="AR21:AR98" si="34">K21</f>
        <v>117.24</v>
      </c>
      <c r="AS21" s="98">
        <f t="shared" si="9"/>
        <v>459.83333333333331</v>
      </c>
      <c r="AT21" s="98">
        <f t="shared" si="10"/>
        <v>169.12</v>
      </c>
      <c r="AU21" s="98">
        <f t="shared" si="24"/>
        <v>0</v>
      </c>
      <c r="AV21" s="98">
        <f t="array" ref="AV21">_xlfn.IFS(U21=0,AO21,U21&lt;0,AO21/-U21,U21&gt;0,AO21/U21)</f>
        <v>354.86023898809526</v>
      </c>
      <c r="AW21" s="234">
        <f t="shared" si="31"/>
        <v>0.29547064028983783</v>
      </c>
      <c r="AX21" s="234">
        <f t="shared" si="32"/>
        <v>3.0267847064832418</v>
      </c>
      <c r="AY21" s="99"/>
      <c r="AZ21" s="94">
        <f t="shared" si="13"/>
        <v>106103.21145744048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288</v>
      </c>
      <c r="F22" s="93">
        <v>3</v>
      </c>
      <c r="G22" s="93">
        <v>1</v>
      </c>
      <c r="H22" s="93">
        <v>136</v>
      </c>
      <c r="I22" s="93">
        <v>1</v>
      </c>
      <c r="J22" s="93">
        <v>147</v>
      </c>
      <c r="K22" s="93">
        <v>117.24</v>
      </c>
      <c r="L22" s="92">
        <f t="shared" si="33"/>
        <v>33765.119999999995</v>
      </c>
      <c r="M22" s="89">
        <v>194</v>
      </c>
      <c r="N22" s="89">
        <v>6</v>
      </c>
      <c r="O22" s="89">
        <v>1201</v>
      </c>
      <c r="P22" s="89">
        <v>67</v>
      </c>
      <c r="Q22" s="233">
        <f t="shared" si="14"/>
        <v>0.8571428571428571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4105</v>
      </c>
      <c r="W22" s="93">
        <v>0</v>
      </c>
      <c r="X22" s="92">
        <f t="shared" si="17"/>
        <v>4105</v>
      </c>
      <c r="Y22" s="93">
        <v>5978</v>
      </c>
      <c r="Z22" s="93">
        <v>0</v>
      </c>
      <c r="AA22" s="92">
        <f t="shared" si="18"/>
        <v>5978</v>
      </c>
      <c r="AB22" s="92">
        <f t="shared" si="19"/>
        <v>4828.0200000000004</v>
      </c>
      <c r="AC22" s="234">
        <f t="shared" si="20"/>
        <v>2.7675029946831399E-3</v>
      </c>
      <c r="AD22" s="92">
        <f t="shared" si="21"/>
        <v>586.19999999999993</v>
      </c>
      <c r="AE22" s="93">
        <v>2278.37</v>
      </c>
      <c r="AF22" s="234">
        <f t="shared" si="5"/>
        <v>0.38112579458012713</v>
      </c>
      <c r="AG22" s="93">
        <v>515.72</v>
      </c>
      <c r="AH22" s="93"/>
      <c r="AI22" s="93"/>
      <c r="AJ22" s="93"/>
      <c r="AK22" s="93"/>
      <c r="AL22" s="122">
        <f t="shared" si="6"/>
        <v>141.67633035714286</v>
      </c>
      <c r="AM22" s="93">
        <v>0</v>
      </c>
      <c r="AN22" s="94">
        <f t="shared" si="22"/>
        <v>234.3955</v>
      </c>
      <c r="AO22" s="95">
        <f t="shared" si="23"/>
        <v>2221.6381696428571</v>
      </c>
      <c r="AP22" s="96"/>
      <c r="AQ22" s="97">
        <f t="shared" si="7"/>
        <v>1195.5999999999999</v>
      </c>
      <c r="AR22" s="98">
        <f t="shared" si="34"/>
        <v>117.24</v>
      </c>
      <c r="AS22" s="98">
        <f t="shared" si="9"/>
        <v>455.67399999999998</v>
      </c>
      <c r="AT22" s="98">
        <f t="shared" si="10"/>
        <v>103.14400000000001</v>
      </c>
      <c r="AU22" s="98">
        <f t="shared" si="24"/>
        <v>0</v>
      </c>
      <c r="AV22" s="98">
        <f t="array" ref="AV22">_xlfn.IFS(U22=0,AO22,U22&lt;0,AO22/-U22,U22&gt;0,AO22/U22)</f>
        <v>444.3276339285714</v>
      </c>
      <c r="AW22" s="234">
        <f t="shared" si="31"/>
        <v>0.37163569247956796</v>
      </c>
      <c r="AX22" s="234">
        <f t="shared" si="32"/>
        <v>3.7898979352488178</v>
      </c>
      <c r="AY22" s="99"/>
      <c r="AZ22" s="94">
        <f t="shared" si="13"/>
        <v>127966.35857142856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5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2"/>
        <v>0</v>
      </c>
      <c r="AO23" s="95">
        <f t="shared" si="23"/>
        <v>0</v>
      </c>
      <c r="AP23" s="96"/>
      <c r="AQ23" s="97">
        <f t="shared" si="7"/>
        <v>0</v>
      </c>
      <c r="AR23" s="98">
        <f t="shared" si="34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26</v>
      </c>
      <c r="F24" s="93" t="s">
        <v>100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3048.24</v>
      </c>
      <c r="M24" s="89">
        <v>304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5"/>
        <v>0</v>
      </c>
      <c r="AG24" s="93">
        <v>0</v>
      </c>
      <c r="AH24" s="93"/>
      <c r="AI24" s="93"/>
      <c r="AJ24" s="93"/>
      <c r="AK24" s="93"/>
      <c r="AL24" s="122">
        <f t="shared" si="6"/>
        <v>26.04344308035714</v>
      </c>
      <c r="AM24" s="93">
        <v>0</v>
      </c>
      <c r="AN24" s="94">
        <f t="shared" si="22"/>
        <v>0</v>
      </c>
      <c r="AO24" s="95">
        <f t="shared" si="23"/>
        <v>-26.04344308035714</v>
      </c>
      <c r="AP24" s="96"/>
      <c r="AQ24" s="97">
        <f t="shared" si="7"/>
        <v>0</v>
      </c>
      <c r="AR24" s="98">
        <f t="shared" si="34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-26.04344308035714</v>
      </c>
      <c r="AW24" s="234">
        <f t="shared" si="31"/>
        <v>0</v>
      </c>
      <c r="AX24" s="234">
        <f t="shared" si="32"/>
        <v>-0.22213786318967196</v>
      </c>
      <c r="AY24" s="99"/>
      <c r="AZ24" s="94">
        <f t="shared" si="13"/>
        <v>-677.12952008928562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5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2"/>
        <v>0</v>
      </c>
      <c r="AO25" s="95">
        <f t="shared" si="23"/>
        <v>0</v>
      </c>
      <c r="AP25" s="96"/>
      <c r="AQ25" s="97">
        <f t="shared" si="7"/>
        <v>0</v>
      </c>
      <c r="AR25" s="98">
        <f t="shared" si="34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752</v>
      </c>
      <c r="F26" s="93">
        <v>7</v>
      </c>
      <c r="G26" s="93" t="s">
        <v>100</v>
      </c>
      <c r="H26" s="93">
        <v>357</v>
      </c>
      <c r="I26" s="93">
        <v>376</v>
      </c>
      <c r="J26" s="93">
        <v>12</v>
      </c>
      <c r="K26" s="93">
        <v>123.09</v>
      </c>
      <c r="L26" s="92">
        <f t="shared" si="33"/>
        <v>92563.680000000008</v>
      </c>
      <c r="M26" s="89">
        <v>999</v>
      </c>
      <c r="N26" s="89">
        <v>11</v>
      </c>
      <c r="O26" s="89">
        <v>1240</v>
      </c>
      <c r="P26" s="89">
        <v>20</v>
      </c>
      <c r="Q26" s="233">
        <f t="shared" si="14"/>
        <v>1.5714285714285714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4442</v>
      </c>
      <c r="W26" s="93">
        <v>0</v>
      </c>
      <c r="X26" s="92">
        <f t="shared" si="17"/>
        <v>4442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2728</v>
      </c>
      <c r="AC26" s="234">
        <f t="shared" si="20"/>
        <v>2.8702774451380845E-3</v>
      </c>
      <c r="AD26" s="92">
        <f t="shared" si="21"/>
        <v>615.45000000000005</v>
      </c>
      <c r="AE26" s="93">
        <v>2371.06</v>
      </c>
      <c r="AF26" s="234">
        <f t="shared" si="5"/>
        <v>0.38242903225806452</v>
      </c>
      <c r="AG26" s="93">
        <v>731.58999999999992</v>
      </c>
      <c r="AH26" s="93">
        <v>33</v>
      </c>
      <c r="AI26" s="93">
        <v>88</v>
      </c>
      <c r="AJ26" s="93"/>
      <c r="AK26" s="93"/>
      <c r="AL26" s="122">
        <f t="shared" si="6"/>
        <v>371.90036718749997</v>
      </c>
      <c r="AM26" s="93">
        <v>0</v>
      </c>
      <c r="AN26" s="94">
        <f t="shared" si="22"/>
        <v>253.63819999999998</v>
      </c>
      <c r="AO26" s="95">
        <f t="shared" si="23"/>
        <v>1735.3614328125004</v>
      </c>
      <c r="AP26" s="96"/>
      <c r="AQ26" s="97">
        <f t="shared" si="7"/>
        <v>1240</v>
      </c>
      <c r="AR26" s="98">
        <f t="shared" si="34"/>
        <v>123.09</v>
      </c>
      <c r="AS26" s="98">
        <f t="shared" si="9"/>
        <v>474.21199999999999</v>
      </c>
      <c r="AT26" s="98">
        <f t="shared" si="10"/>
        <v>146.31799999999998</v>
      </c>
      <c r="AU26" s="98">
        <f t="shared" si="24"/>
        <v>24.2</v>
      </c>
      <c r="AV26" s="98">
        <f t="array" ref="AV26">_xlfn.IFS(U26=0,AO26,U26&lt;0,AO26/-U26,U26&gt;0,AO26/U26)</f>
        <v>347.0722865625001</v>
      </c>
      <c r="AW26" s="234">
        <f t="shared" si="31"/>
        <v>0.2798970052923388</v>
      </c>
      <c r="AX26" s="234">
        <f t="shared" si="32"/>
        <v>2.8196627391542779</v>
      </c>
      <c r="AY26" s="99"/>
      <c r="AZ26" s="94">
        <f t="shared" si="13"/>
        <v>260998.35949500007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701</v>
      </c>
      <c r="F27" s="93">
        <v>3</v>
      </c>
      <c r="G27" s="93" t="s">
        <v>100</v>
      </c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3"/>
        <v>127294.59</v>
      </c>
      <c r="M27" s="89">
        <v>15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</v>
      </c>
      <c r="S27" s="93">
        <v>0</v>
      </c>
      <c r="T27" s="93">
        <v>0</v>
      </c>
      <c r="U27" s="92">
        <f t="shared" si="16"/>
        <v>0</v>
      </c>
      <c r="V27" s="93">
        <v>0</v>
      </c>
      <c r="W27" s="93">
        <v>0</v>
      </c>
      <c r="X27" s="92">
        <f t="shared" si="17"/>
        <v>0</v>
      </c>
      <c r="Y27" s="93">
        <v>0</v>
      </c>
      <c r="Z27" s="93">
        <v>0</v>
      </c>
      <c r="AA27" s="92">
        <f t="shared" si="18"/>
        <v>0</v>
      </c>
      <c r="AB27" s="92">
        <f t="shared" si="19"/>
        <v>0</v>
      </c>
      <c r="AC27" s="234">
        <f t="shared" si="20"/>
        <v>0</v>
      </c>
      <c r="AD27" s="92">
        <f t="shared" si="21"/>
        <v>0</v>
      </c>
      <c r="AE27" s="93">
        <v>0</v>
      </c>
      <c r="AF27" s="234">
        <f t="shared" si="5"/>
        <v>0</v>
      </c>
      <c r="AG27" s="93">
        <v>88.97999999999999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2"/>
        <v>0</v>
      </c>
      <c r="AO27" s="95">
        <f t="shared" si="23"/>
        <v>-88.97999999999999</v>
      </c>
      <c r="AP27" s="96"/>
      <c r="AQ27" s="97">
        <f t="shared" si="7"/>
        <v>0</v>
      </c>
      <c r="AR27" s="98">
        <f t="shared" si="34"/>
        <v>181.59</v>
      </c>
      <c r="AS27" s="98">
        <f t="shared" si="9"/>
        <v>0</v>
      </c>
      <c r="AT27" s="98">
        <f t="shared" si="10"/>
        <v>88.97999999999999</v>
      </c>
      <c r="AU27" s="98">
        <f t="shared" si="24"/>
        <v>0</v>
      </c>
      <c r="AV27" s="98">
        <f t="array" ref="AV27">_xlfn.IFS(U27=0,AO27,U27&lt;0,AO27/-U27,U27&gt;0,AO27/U27)</f>
        <v>-88.97999999999999</v>
      </c>
      <c r="AW27" s="234">
        <f t="shared" si="31"/>
        <v>0</v>
      </c>
      <c r="AX27" s="234">
        <f t="shared" si="32"/>
        <v>-0.49000495622005613</v>
      </c>
      <c r="AY27" s="99"/>
      <c r="AZ27" s="94">
        <f t="shared" si="13"/>
        <v>-62374.979999999996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696</v>
      </c>
      <c r="F28" s="93">
        <v>50</v>
      </c>
      <c r="G28" s="93">
        <v>12</v>
      </c>
      <c r="H28" s="93">
        <v>634</v>
      </c>
      <c r="I28" s="93">
        <v>0</v>
      </c>
      <c r="J28" s="93">
        <v>0</v>
      </c>
      <c r="K28" s="93">
        <v>133.62</v>
      </c>
      <c r="L28" s="92">
        <f t="shared" si="33"/>
        <v>92999.52</v>
      </c>
      <c r="M28" s="89">
        <v>257</v>
      </c>
      <c r="N28" s="89">
        <v>57</v>
      </c>
      <c r="O28" s="89">
        <v>1499</v>
      </c>
      <c r="P28" s="89">
        <v>46</v>
      </c>
      <c r="Q28" s="233">
        <f t="shared" si="14"/>
        <v>8.1428571428571423</v>
      </c>
      <c r="R28" s="92">
        <f t="shared" si="15"/>
        <v>4.5714285714285712</v>
      </c>
      <c r="S28" s="93">
        <v>32</v>
      </c>
      <c r="T28" s="93">
        <v>0</v>
      </c>
      <c r="U28" s="92">
        <f t="shared" si="16"/>
        <v>32</v>
      </c>
      <c r="V28" s="93">
        <v>33221.9</v>
      </c>
      <c r="W28" s="93">
        <v>0</v>
      </c>
      <c r="X28" s="92">
        <f t="shared" si="17"/>
        <v>33221.9</v>
      </c>
      <c r="Y28" s="93">
        <v>47030.46</v>
      </c>
      <c r="Z28" s="93">
        <v>0</v>
      </c>
      <c r="AA28" s="92">
        <f t="shared" si="18"/>
        <v>47030.46</v>
      </c>
      <c r="AB28" s="92">
        <f t="shared" si="19"/>
        <v>39303.78</v>
      </c>
      <c r="AC28" s="234">
        <f t="shared" si="20"/>
        <v>2.1772656221365948E-2</v>
      </c>
      <c r="AD28" s="92">
        <f t="shared" si="21"/>
        <v>4275.84</v>
      </c>
      <c r="AE28" s="93">
        <v>17432.780000000002</v>
      </c>
      <c r="AF28" s="234">
        <f t="shared" si="5"/>
        <v>0.37066998706795562</v>
      </c>
      <c r="AG28" s="93">
        <v>6317.529999999997</v>
      </c>
      <c r="AH28" s="93"/>
      <c r="AI28" s="93">
        <f>463+708</f>
        <v>1171</v>
      </c>
      <c r="AJ28" s="93">
        <f>655+990</f>
        <v>1645</v>
      </c>
      <c r="AK28" s="93"/>
      <c r="AL28" s="122">
        <f t="shared" si="6"/>
        <v>660.4617165178571</v>
      </c>
      <c r="AM28" s="93">
        <v>50</v>
      </c>
      <c r="AN28" s="94">
        <f t="shared" si="22"/>
        <v>1896.9704899999999</v>
      </c>
      <c r="AO28" s="95">
        <f t="shared" si="23"/>
        <v>13580.877793482141</v>
      </c>
      <c r="AP28" s="96"/>
      <c r="AQ28" s="97">
        <f t="shared" si="7"/>
        <v>1469.701875</v>
      </c>
      <c r="AR28" s="98">
        <f t="shared" si="34"/>
        <v>133.62</v>
      </c>
      <c r="AS28" s="98">
        <f t="shared" si="9"/>
        <v>544.77437500000008</v>
      </c>
      <c r="AT28" s="98">
        <f t="shared" si="10"/>
        <v>197.42281249999991</v>
      </c>
      <c r="AU28" s="98">
        <f t="shared" si="24"/>
        <v>88</v>
      </c>
      <c r="AV28" s="98">
        <f>_xlfn.IFS(U28=0,AO28,U28&lt;0,AO28/-U28,U28&gt;0,AO28/U28)</f>
        <v>424.40243104631691</v>
      </c>
      <c r="AW28" s="234">
        <f t="shared" si="31"/>
        <v>0.28876770062385404</v>
      </c>
      <c r="AX28" s="234">
        <f t="shared" si="32"/>
        <v>3.1761894255823746</v>
      </c>
      <c r="AY28" s="99"/>
      <c r="AZ28" s="94">
        <f t="shared" si="13"/>
        <v>295384.09200823656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5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2"/>
        <v>0</v>
      </c>
      <c r="AO29" s="95">
        <f t="shared" si="23"/>
        <v>0</v>
      </c>
      <c r="AP29" s="96"/>
      <c r="AQ29" s="97">
        <f t="shared" si="7"/>
        <v>0</v>
      </c>
      <c r="AR29" s="98">
        <f t="shared" si="34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5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2"/>
        <v>0</v>
      </c>
      <c r="AO30" s="95">
        <f t="shared" si="23"/>
        <v>0</v>
      </c>
      <c r="AP30" s="96"/>
      <c r="AQ30" s="97">
        <f t="shared" si="7"/>
        <v>0</v>
      </c>
      <c r="AR30" s="98">
        <f t="shared" si="34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105.54</v>
      </c>
      <c r="AE31" s="93">
        <v>-418.68</v>
      </c>
      <c r="AF31" s="234">
        <f t="shared" si="5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2"/>
        <v>0</v>
      </c>
      <c r="AO31" s="95">
        <f t="shared" si="23"/>
        <v>313.14</v>
      </c>
      <c r="AP31" s="96"/>
      <c r="AQ31" s="97">
        <f t="shared" si="7"/>
        <v>0</v>
      </c>
      <c r="AR31" s="98">
        <f t="shared" si="34"/>
        <v>105.54</v>
      </c>
      <c r="AS31" s="98">
        <f t="shared" si="9"/>
        <v>-418.68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5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2"/>
        <v>0</v>
      </c>
      <c r="AO32" s="95">
        <f t="shared" si="23"/>
        <v>0</v>
      </c>
      <c r="AP32" s="96"/>
      <c r="AQ32" s="97">
        <f t="shared" si="7"/>
        <v>0</v>
      </c>
      <c r="AR32" s="98">
        <f t="shared" si="34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v>12</v>
      </c>
      <c r="G33" s="93" t="s">
        <v>100</v>
      </c>
      <c r="H33" s="93">
        <v>104</v>
      </c>
      <c r="I33" s="93">
        <v>20</v>
      </c>
      <c r="J33" s="93">
        <v>119</v>
      </c>
      <c r="K33" s="93">
        <v>123.09</v>
      </c>
      <c r="L33" s="92">
        <f>E33*K33</f>
        <v>31387.95</v>
      </c>
      <c r="M33" s="89">
        <v>372</v>
      </c>
      <c r="N33" s="89">
        <v>7</v>
      </c>
      <c r="O33" s="89">
        <v>1300</v>
      </c>
      <c r="P33" s="89">
        <v>50</v>
      </c>
      <c r="Q33" s="233">
        <f t="shared" si="14"/>
        <v>1</v>
      </c>
      <c r="R33" s="92">
        <f t="shared" si="15"/>
        <v>0.14285714285714285</v>
      </c>
      <c r="S33" s="93">
        <v>2</v>
      </c>
      <c r="T33" s="93">
        <v>-1</v>
      </c>
      <c r="U33" s="92">
        <f t="shared" si="16"/>
        <v>1</v>
      </c>
      <c r="V33" s="93">
        <v>1987.06</v>
      </c>
      <c r="W33" s="93">
        <v>-977</v>
      </c>
      <c r="X33" s="92">
        <f t="shared" si="17"/>
        <v>1010.06</v>
      </c>
      <c r="Y33" s="93">
        <v>2599.87</v>
      </c>
      <c r="Z33" s="93">
        <v>-1500</v>
      </c>
      <c r="AA33" s="92">
        <f t="shared" si="18"/>
        <v>1099.8699999999999</v>
      </c>
      <c r="AB33" s="92">
        <f t="shared" si="19"/>
        <v>4550</v>
      </c>
      <c r="AC33" s="234">
        <f t="shared" si="20"/>
        <v>5.0918258928774594E-4</v>
      </c>
      <c r="AD33" s="92">
        <f t="shared" si="21"/>
        <v>123.09</v>
      </c>
      <c r="AE33" s="93">
        <v>378.4799999999999</v>
      </c>
      <c r="AF33" s="234">
        <f t="shared" si="5"/>
        <v>0.34411339521943496</v>
      </c>
      <c r="AG33" s="93">
        <v>357.32</v>
      </c>
      <c r="AH33" s="93">
        <v>504</v>
      </c>
      <c r="AI33" s="93"/>
      <c r="AJ33" s="93"/>
      <c r="AK33" s="93"/>
      <c r="AL33" s="122">
        <f t="shared" si="6"/>
        <v>108.3407232142857</v>
      </c>
      <c r="AM33" s="93">
        <v>0</v>
      </c>
      <c r="AN33" s="94">
        <f t="shared" si="22"/>
        <v>57.674425999999997</v>
      </c>
      <c r="AO33" s="95">
        <f t="shared" si="23"/>
        <v>-429.0351492142857</v>
      </c>
      <c r="AP33" s="96"/>
      <c r="AQ33" s="97">
        <f t="shared" si="7"/>
        <v>1099.8699999999999</v>
      </c>
      <c r="AR33" s="98">
        <f t="shared" si="34"/>
        <v>123.09</v>
      </c>
      <c r="AS33" s="98">
        <f t="shared" si="9"/>
        <v>378.4799999999999</v>
      </c>
      <c r="AT33" s="98">
        <f t="shared" si="10"/>
        <v>178.66</v>
      </c>
      <c r="AU33" s="98">
        <f t="shared" si="24"/>
        <v>252</v>
      </c>
      <c r="AV33" s="98">
        <f t="array" ref="AV33">_xlfn.IFS(U33=0,AO33,U33&lt;0,AO33/-U33,U33&gt;0,AO33/U33)</f>
        <v>-429.0351492142857</v>
      </c>
      <c r="AW33" s="234">
        <f>IF(AQ33=0,0,AV33/AQ33)</f>
        <v>-0.39007805396481926</v>
      </c>
      <c r="AX33" s="234">
        <f>IF(AR33=0,0,AV33/AR33)</f>
        <v>-3.4855402487146452</v>
      </c>
      <c r="AY33" s="99"/>
      <c r="AZ33" s="94">
        <f t="shared" si="13"/>
        <v>-109403.96304964286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5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2"/>
        <v>0</v>
      </c>
      <c r="AO34" s="95">
        <f t="shared" si="23"/>
        <v>0</v>
      </c>
      <c r="AP34" s="96"/>
      <c r="AQ34" s="97">
        <f t="shared" si="7"/>
        <v>0</v>
      </c>
      <c r="AR34" s="98">
        <f t="shared" si="34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5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2"/>
        <v>0</v>
      </c>
      <c r="AO35" s="95">
        <f t="shared" si="23"/>
        <v>0</v>
      </c>
      <c r="AP35" s="96"/>
      <c r="AQ35" s="97">
        <f t="shared" si="7"/>
        <v>0</v>
      </c>
      <c r="AR35" s="98">
        <f t="shared" si="34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5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2"/>
        <v>0</v>
      </c>
      <c r="AO36" s="95">
        <f t="shared" si="23"/>
        <v>0</v>
      </c>
      <c r="AP36" s="96"/>
      <c r="AQ36" s="97">
        <f t="shared" si="7"/>
        <v>0</v>
      </c>
      <c r="AR36" s="98">
        <f t="shared" si="34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999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5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2"/>
        <v>0</v>
      </c>
      <c r="AO37" s="95">
        <f t="shared" si="23"/>
        <v>0</v>
      </c>
      <c r="AP37" s="96"/>
      <c r="AQ37" s="97">
        <f t="shared" si="7"/>
        <v>0</v>
      </c>
      <c r="AR37" s="98">
        <f t="shared" si="34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2"/>
        <v>0</v>
      </c>
      <c r="AX37" s="234">
        <f t="shared" si="43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 t="s">
        <v>100</v>
      </c>
      <c r="G38" s="93">
        <v>1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5"/>
        <v>0</v>
      </c>
      <c r="AG38" s="93">
        <v>77.48</v>
      </c>
      <c r="AH38" s="93"/>
      <c r="AI38" s="93"/>
      <c r="AJ38" s="93"/>
      <c r="AK38" s="93"/>
      <c r="AL38" s="122">
        <f t="shared" si="6"/>
        <v>43.752984374999997</v>
      </c>
      <c r="AM38" s="93">
        <v>0</v>
      </c>
      <c r="AN38" s="94">
        <f t="shared" si="22"/>
        <v>0</v>
      </c>
      <c r="AO38" s="95">
        <f t="shared" si="23"/>
        <v>-121.232984375</v>
      </c>
      <c r="AP38" s="96"/>
      <c r="AQ38" s="97">
        <f t="shared" si="7"/>
        <v>0</v>
      </c>
      <c r="AR38" s="98">
        <f t="shared" si="34"/>
        <v>105.54</v>
      </c>
      <c r="AS38" s="98">
        <f t="shared" si="9"/>
        <v>0</v>
      </c>
      <c r="AT38" s="98">
        <f t="shared" si="10"/>
        <v>77.48</v>
      </c>
      <c r="AU38" s="98">
        <f t="shared" si="24"/>
        <v>0</v>
      </c>
      <c r="AV38" s="98">
        <f t="array" ref="AV38">_xlfn.IFS(U38=0,AO38,U38&lt;0,AO38/-U38,U38&gt;0,AO38/U38)</f>
        <v>-121.232984375</v>
      </c>
      <c r="AW38" s="234">
        <f t="shared" si="42"/>
        <v>0</v>
      </c>
      <c r="AX38" s="234">
        <f t="shared" si="43"/>
        <v>-1.1486922908375972</v>
      </c>
      <c r="AY38" s="99"/>
      <c r="AZ38" s="94">
        <f t="shared" si="13"/>
        <v>-5334.2513125000005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10</v>
      </c>
      <c r="F39" s="93">
        <v>1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1"/>
        <v>1055.4000000000001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4"/>
        <v>0.2857142857142857</v>
      </c>
      <c r="R39" s="92">
        <f t="shared" si="15"/>
        <v>0</v>
      </c>
      <c r="S39" s="93">
        <v>0</v>
      </c>
      <c r="T39" s="93">
        <v>0</v>
      </c>
      <c r="U39" s="92">
        <f t="shared" si="16"/>
        <v>0</v>
      </c>
      <c r="V39" s="93">
        <v>0</v>
      </c>
      <c r="W39" s="93">
        <v>0</v>
      </c>
      <c r="X39" s="92">
        <f t="shared" si="17"/>
        <v>0</v>
      </c>
      <c r="Y39" s="93">
        <v>0</v>
      </c>
      <c r="Z39" s="93">
        <v>0</v>
      </c>
      <c r="AA39" s="92">
        <f t="shared" si="18"/>
        <v>0</v>
      </c>
      <c r="AB39" s="92">
        <f t="shared" si="19"/>
        <v>0</v>
      </c>
      <c r="AC39" s="234">
        <f t="shared" si="20"/>
        <v>0</v>
      </c>
      <c r="AD39" s="92">
        <f t="shared" si="21"/>
        <v>0</v>
      </c>
      <c r="AE39" s="93">
        <v>0</v>
      </c>
      <c r="AF39" s="234">
        <f t="shared" si="5"/>
        <v>0</v>
      </c>
      <c r="AG39" s="93">
        <v>163.92000000000002</v>
      </c>
      <c r="AH39" s="93"/>
      <c r="AI39" s="93"/>
      <c r="AJ39" s="93"/>
      <c r="AK39" s="93"/>
      <c r="AL39" s="122">
        <f t="shared" si="6"/>
        <v>6.2504263392857133</v>
      </c>
      <c r="AM39" s="93">
        <v>0</v>
      </c>
      <c r="AN39" s="94">
        <f t="shared" si="22"/>
        <v>0</v>
      </c>
      <c r="AO39" s="95">
        <f t="shared" si="23"/>
        <v>-170.17042633928574</v>
      </c>
      <c r="AP39" s="96"/>
      <c r="AQ39" s="97">
        <f t="shared" si="7"/>
        <v>0</v>
      </c>
      <c r="AR39" s="98">
        <f t="shared" si="34"/>
        <v>105.54</v>
      </c>
      <c r="AS39" s="98">
        <f t="shared" si="9"/>
        <v>0</v>
      </c>
      <c r="AT39" s="98">
        <f t="shared" si="10"/>
        <v>163.92000000000002</v>
      </c>
      <c r="AU39" s="98">
        <f t="shared" si="24"/>
        <v>0</v>
      </c>
      <c r="AV39" s="98">
        <f t="array" ref="AV39">_xlfn.IFS(U39=0,AO39,U39&lt;0,AO39/-U39,U39&gt;0,AO39/U39)</f>
        <v>-170.17042633928574</v>
      </c>
      <c r="AW39" s="234">
        <f t="shared" si="42"/>
        <v>0</v>
      </c>
      <c r="AX39" s="234">
        <f t="shared" si="43"/>
        <v>-1.612378494781938</v>
      </c>
      <c r="AY39" s="99"/>
      <c r="AZ39" s="94">
        <f t="shared" si="13"/>
        <v>-1701.7042633928575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30</v>
      </c>
      <c r="F40" s="93">
        <v>1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41"/>
        <v>3166.2000000000003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5"/>
        <v>0</v>
      </c>
      <c r="AG40" s="93">
        <v>1.67</v>
      </c>
      <c r="AH40" s="93"/>
      <c r="AI40" s="93"/>
      <c r="AJ40" s="93"/>
      <c r="AK40" s="93"/>
      <c r="AL40" s="122">
        <f t="shared" si="6"/>
        <v>29.168656249999998</v>
      </c>
      <c r="AM40" s="93">
        <v>0</v>
      </c>
      <c r="AN40" s="94">
        <f t="shared" si="22"/>
        <v>0</v>
      </c>
      <c r="AO40" s="95">
        <f t="shared" si="23"/>
        <v>-30.83865625</v>
      </c>
      <c r="AP40" s="96"/>
      <c r="AQ40" s="97">
        <f t="shared" si="7"/>
        <v>0</v>
      </c>
      <c r="AR40" s="98">
        <f t="shared" si="34"/>
        <v>105.54</v>
      </c>
      <c r="AS40" s="98">
        <f t="shared" si="9"/>
        <v>0</v>
      </c>
      <c r="AT40" s="98">
        <f t="shared" si="10"/>
        <v>1.67</v>
      </c>
      <c r="AU40" s="98">
        <f t="shared" si="24"/>
        <v>0</v>
      </c>
      <c r="AV40" s="98">
        <f t="array" ref="AV40">_xlfn.IFS(U40=0,AO40,U40&lt;0,AO40/-U40,U40&gt;0,AO40/U40)</f>
        <v>-30.83865625</v>
      </c>
      <c r="AW40" s="234">
        <f t="shared" si="42"/>
        <v>0</v>
      </c>
      <c r="AX40" s="234">
        <f t="shared" si="43"/>
        <v>-0.29219875165813908</v>
      </c>
      <c r="AY40" s="99"/>
      <c r="AZ40" s="94">
        <f t="shared" si="13"/>
        <v>-925.15968750000002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41</v>
      </c>
      <c r="F41" s="93" t="s">
        <v>100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5046.6900000000005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5"/>
        <v>0</v>
      </c>
      <c r="AG41" s="93">
        <v>0</v>
      </c>
      <c r="AH41" s="93"/>
      <c r="AI41" s="93"/>
      <c r="AJ41" s="93"/>
      <c r="AK41" s="93"/>
      <c r="AL41" s="122">
        <f t="shared" si="6"/>
        <v>41.669508928571425</v>
      </c>
      <c r="AM41" s="93">
        <v>0</v>
      </c>
      <c r="AN41" s="94">
        <f t="shared" si="22"/>
        <v>0</v>
      </c>
      <c r="AO41" s="95">
        <f t="shared" si="23"/>
        <v>-41.669508928571425</v>
      </c>
      <c r="AP41" s="96"/>
      <c r="AQ41" s="97">
        <f t="shared" si="7"/>
        <v>0</v>
      </c>
      <c r="AR41" s="98">
        <f t="shared" si="34"/>
        <v>123.09</v>
      </c>
      <c r="AS41" s="98">
        <f t="shared" si="9"/>
        <v>0</v>
      </c>
      <c r="AT41" s="98">
        <f t="shared" si="10"/>
        <v>0</v>
      </c>
      <c r="AU41" s="98">
        <f t="shared" si="24"/>
        <v>0</v>
      </c>
      <c r="AV41" s="98">
        <f t="array" ref="AV41">_xlfn.IFS(U41=0,AO41,U41&lt;0,AO41/-U41,U41&gt;0,AO41/U41)</f>
        <v>-41.669508928571425</v>
      </c>
      <c r="AW41" s="234">
        <f t="shared" si="42"/>
        <v>0</v>
      </c>
      <c r="AX41" s="234">
        <f t="shared" si="43"/>
        <v>-0.33852879136056074</v>
      </c>
      <c r="AY41" s="99"/>
      <c r="AZ41" s="94">
        <f t="shared" si="13"/>
        <v>-1708.4498660714285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28</v>
      </c>
      <c r="F42" s="93">
        <v>1</v>
      </c>
      <c r="G42" s="93" t="s">
        <v>100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1"/>
        <v>3446.52</v>
      </c>
      <c r="M42" s="89">
        <v>999</v>
      </c>
      <c r="N42" s="89">
        <v>2</v>
      </c>
      <c r="O42" s="89">
        <v>1176</v>
      </c>
      <c r="P42" s="89">
        <v>100</v>
      </c>
      <c r="Q42" s="233">
        <f t="shared" si="14"/>
        <v>0.2857142857142857</v>
      </c>
      <c r="R42" s="92">
        <f t="shared" si="15"/>
        <v>0.14285714285714285</v>
      </c>
      <c r="S42" s="93">
        <v>1</v>
      </c>
      <c r="T42" s="93">
        <v>0</v>
      </c>
      <c r="U42" s="92">
        <f t="shared" si="16"/>
        <v>1</v>
      </c>
      <c r="V42" s="93">
        <v>846</v>
      </c>
      <c r="W42" s="93">
        <v>0</v>
      </c>
      <c r="X42" s="92">
        <f t="shared" si="17"/>
        <v>846</v>
      </c>
      <c r="Y42" s="93">
        <v>1176</v>
      </c>
      <c r="Z42" s="93">
        <v>0</v>
      </c>
      <c r="AA42" s="92">
        <f t="shared" si="18"/>
        <v>1176</v>
      </c>
      <c r="AB42" s="92">
        <f t="shared" si="19"/>
        <v>2352</v>
      </c>
      <c r="AC42" s="234">
        <f t="shared" si="20"/>
        <v>5.4442681862619145E-4</v>
      </c>
      <c r="AD42" s="92">
        <f t="shared" si="21"/>
        <v>123.09</v>
      </c>
      <c r="AE42" s="93">
        <v>448.38</v>
      </c>
      <c r="AF42" s="234">
        <f t="shared" si="5"/>
        <v>0.38127551020408162</v>
      </c>
      <c r="AG42" s="93">
        <v>132.63</v>
      </c>
      <c r="AH42" s="93"/>
      <c r="AI42" s="93"/>
      <c r="AJ42" s="93"/>
      <c r="AK42" s="93"/>
      <c r="AL42" s="122">
        <f t="shared" si="6"/>
        <v>27.085180803571426</v>
      </c>
      <c r="AM42" s="93">
        <v>0</v>
      </c>
      <c r="AN42" s="94">
        <f t="shared" si="22"/>
        <v>48.306599999999996</v>
      </c>
      <c r="AO42" s="95">
        <f t="shared" si="23"/>
        <v>396.50821919642868</v>
      </c>
      <c r="AP42" s="96"/>
      <c r="AQ42" s="97">
        <f t="shared" si="7"/>
        <v>1176</v>
      </c>
      <c r="AR42" s="98">
        <f t="shared" si="34"/>
        <v>123.09</v>
      </c>
      <c r="AS42" s="98">
        <f t="shared" si="9"/>
        <v>448.38</v>
      </c>
      <c r="AT42" s="98">
        <f t="shared" si="10"/>
        <v>132.63</v>
      </c>
      <c r="AU42" s="98">
        <f t="shared" si="24"/>
        <v>0</v>
      </c>
      <c r="AV42" s="98">
        <f t="array" ref="AV42">_xlfn.IFS(U42=0,AO42,U42&lt;0,AO42/-U42,U42&gt;0,AO42/U42)</f>
        <v>396.50821919642868</v>
      </c>
      <c r="AW42" s="234">
        <f t="shared" si="42"/>
        <v>0.33716685305818767</v>
      </c>
      <c r="AX42" s="234">
        <f t="shared" si="43"/>
        <v>3.2212870192251901</v>
      </c>
      <c r="AY42" s="99"/>
      <c r="AZ42" s="94">
        <f t="shared" si="13"/>
        <v>11102.230137500002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</v>
      </c>
      <c r="F43" s="93">
        <v>2</v>
      </c>
      <c r="G43" s="93">
        <v>1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1"/>
        <v>492.36</v>
      </c>
      <c r="M43" s="89">
        <v>999</v>
      </c>
      <c r="N43" s="89">
        <v>0</v>
      </c>
      <c r="O43" s="89">
        <v>0</v>
      </c>
      <c r="P43" s="89">
        <v>0</v>
      </c>
      <c r="Q43" s="233">
        <f t="shared" si="14"/>
        <v>0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5"/>
        <v>0</v>
      </c>
      <c r="AG43" s="93">
        <v>81.56</v>
      </c>
      <c r="AH43" s="93"/>
      <c r="AI43" s="93"/>
      <c r="AJ43" s="93"/>
      <c r="AK43" s="93"/>
      <c r="AL43" s="122">
        <f t="shared" si="6"/>
        <v>0</v>
      </c>
      <c r="AM43" s="93">
        <v>0</v>
      </c>
      <c r="AN43" s="94">
        <f t="shared" si="22"/>
        <v>0</v>
      </c>
      <c r="AO43" s="95">
        <f t="shared" si="23"/>
        <v>-81.56</v>
      </c>
      <c r="AP43" s="96"/>
      <c r="AQ43" s="97">
        <f t="shared" si="7"/>
        <v>0</v>
      </c>
      <c r="AR43" s="98">
        <f t="shared" si="34"/>
        <v>123.09</v>
      </c>
      <c r="AS43" s="98">
        <f t="shared" si="9"/>
        <v>0</v>
      </c>
      <c r="AT43" s="98">
        <f t="shared" si="10"/>
        <v>81.56</v>
      </c>
      <c r="AU43" s="98">
        <f t="shared" si="24"/>
        <v>0</v>
      </c>
      <c r="AV43" s="98">
        <f t="array" ref="AV43">_xlfn.IFS(U43=0,AO43,U43&lt;0,AO43/-U43,U43&gt;0,AO43/U43)</f>
        <v>-81.56</v>
      </c>
      <c r="AW43" s="234">
        <f t="shared" si="42"/>
        <v>0</v>
      </c>
      <c r="AX43" s="234">
        <f t="shared" si="43"/>
        <v>-0.6626045982614347</v>
      </c>
      <c r="AY43" s="99"/>
      <c r="AZ43" s="94">
        <f t="shared" si="13"/>
        <v>-326.24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168</v>
      </c>
      <c r="F44" s="93">
        <v>22</v>
      </c>
      <c r="G44" s="93">
        <v>10</v>
      </c>
      <c r="H44" s="93">
        <v>72</v>
      </c>
      <c r="I44" s="93">
        <v>0</v>
      </c>
      <c r="J44" s="93">
        <v>64</v>
      </c>
      <c r="K44" s="92">
        <v>111.39</v>
      </c>
      <c r="L44" s="92">
        <f t="shared" si="41"/>
        <v>18713.52</v>
      </c>
      <c r="M44" s="89">
        <v>66</v>
      </c>
      <c r="N44" s="89">
        <v>35</v>
      </c>
      <c r="O44" s="89">
        <v>1260</v>
      </c>
      <c r="P44" s="89">
        <v>41</v>
      </c>
      <c r="Q44" s="233">
        <f t="shared" si="14"/>
        <v>5</v>
      </c>
      <c r="R44" s="92">
        <f t="shared" si="15"/>
        <v>2</v>
      </c>
      <c r="S44" s="93">
        <v>15</v>
      </c>
      <c r="T44" s="93">
        <v>-1</v>
      </c>
      <c r="U44" s="92">
        <f t="shared" si="16"/>
        <v>14</v>
      </c>
      <c r="V44" s="93">
        <v>13065</v>
      </c>
      <c r="W44" s="93">
        <v>-960</v>
      </c>
      <c r="X44" s="92">
        <f t="shared" si="17"/>
        <v>12105</v>
      </c>
      <c r="Y44" s="93">
        <v>18717.400000000001</v>
      </c>
      <c r="Z44" s="93">
        <v>-1260</v>
      </c>
      <c r="AA44" s="92">
        <f t="shared" si="18"/>
        <v>17457.400000000001</v>
      </c>
      <c r="AB44" s="92">
        <f t="shared" si="19"/>
        <v>18081</v>
      </c>
      <c r="AC44" s="234">
        <f t="shared" si="20"/>
        <v>8.0818679791538062E-3</v>
      </c>
      <c r="AD44" s="92">
        <f t="shared" si="21"/>
        <v>1559.46</v>
      </c>
      <c r="AE44" s="93">
        <v>6631.4400000000023</v>
      </c>
      <c r="AF44" s="234">
        <f t="shared" si="5"/>
        <v>0.37986412638766376</v>
      </c>
      <c r="AG44" s="93">
        <v>2688.5700000000006</v>
      </c>
      <c r="AH44" s="93"/>
      <c r="AI44" s="93"/>
      <c r="AJ44" s="93"/>
      <c r="AK44" s="93"/>
      <c r="AL44" s="122">
        <f t="shared" si="6"/>
        <v>75.005116071428574</v>
      </c>
      <c r="AM44" s="93">
        <v>40</v>
      </c>
      <c r="AN44" s="94">
        <f t="shared" si="22"/>
        <v>691.19549999999992</v>
      </c>
      <c r="AO44" s="95">
        <f t="shared" si="23"/>
        <v>5771.7293839285712</v>
      </c>
      <c r="AP44" s="96"/>
      <c r="AQ44" s="97">
        <f t="shared" si="7"/>
        <v>1246.957142857143</v>
      </c>
      <c r="AR44" s="98">
        <f t="shared" si="34"/>
        <v>111.39</v>
      </c>
      <c r="AS44" s="98">
        <f t="shared" si="9"/>
        <v>473.67428571428587</v>
      </c>
      <c r="AT44" s="98">
        <f t="shared" si="10"/>
        <v>179.23800000000003</v>
      </c>
      <c r="AU44" s="98">
        <f t="shared" si="24"/>
        <v>0</v>
      </c>
      <c r="AV44" s="98">
        <f t="array" ref="AV44">_xlfn.IFS(U44=0,AO44,U44&lt;0,AO44/-U44,U44&gt;0,AO44/U44)</f>
        <v>412.26638456632651</v>
      </c>
      <c r="AW44" s="234">
        <f t="shared" si="42"/>
        <v>0.33061792614756896</v>
      </c>
      <c r="AX44" s="234">
        <f t="shared" si="43"/>
        <v>3.7011076808180849</v>
      </c>
      <c r="AY44" s="99"/>
      <c r="AZ44" s="94">
        <f t="shared" si="13"/>
        <v>69260.752607142858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112</v>
      </c>
      <c r="F45" s="93">
        <v>42</v>
      </c>
      <c r="G45" s="93">
        <v>10</v>
      </c>
      <c r="H45" s="93">
        <v>59</v>
      </c>
      <c r="I45" s="93">
        <v>0</v>
      </c>
      <c r="J45" s="93">
        <v>1</v>
      </c>
      <c r="K45" s="92">
        <v>107.88</v>
      </c>
      <c r="L45" s="92">
        <f t="shared" si="41"/>
        <v>12082.56</v>
      </c>
      <c r="M45" s="89">
        <v>36</v>
      </c>
      <c r="N45" s="89">
        <v>63</v>
      </c>
      <c r="O45" s="89">
        <v>1530</v>
      </c>
      <c r="P45" s="89">
        <v>33</v>
      </c>
      <c r="Q45" s="233">
        <f t="shared" si="14"/>
        <v>9</v>
      </c>
      <c r="R45" s="92">
        <f t="shared" si="15"/>
        <v>3.2857142857142856</v>
      </c>
      <c r="S45" s="93">
        <v>25</v>
      </c>
      <c r="T45" s="93">
        <v>-2</v>
      </c>
      <c r="U45" s="92">
        <f t="shared" si="16"/>
        <v>23</v>
      </c>
      <c r="V45" s="93">
        <v>28196.21</v>
      </c>
      <c r="W45" s="93">
        <v>-2348</v>
      </c>
      <c r="X45" s="92">
        <f t="shared" si="17"/>
        <v>25848.21</v>
      </c>
      <c r="Y45" s="93">
        <v>40283.43</v>
      </c>
      <c r="Z45" s="93">
        <v>-3443</v>
      </c>
      <c r="AA45" s="92">
        <f t="shared" si="18"/>
        <v>36840.43</v>
      </c>
      <c r="AB45" s="92">
        <f t="shared" si="19"/>
        <v>31808.7</v>
      </c>
      <c r="AC45" s="234">
        <f t="shared" si="20"/>
        <v>1.7055202467449748E-2</v>
      </c>
      <c r="AD45" s="92">
        <f t="shared" si="21"/>
        <v>2481.2399999999998</v>
      </c>
      <c r="AE45" s="93">
        <v>13970.780000000004</v>
      </c>
      <c r="AF45" s="234">
        <f t="shared" si="5"/>
        <v>0.37922412957720647</v>
      </c>
      <c r="AG45" s="93">
        <v>5072.6400000000003</v>
      </c>
      <c r="AH45" s="93"/>
      <c r="AI45" s="93">
        <v>468</v>
      </c>
      <c r="AJ45" s="93">
        <v>6273</v>
      </c>
      <c r="AK45" s="93"/>
      <c r="AL45" s="122">
        <f t="shared" si="6"/>
        <v>61.462525669642858</v>
      </c>
      <c r="AM45" s="93">
        <v>0</v>
      </c>
      <c r="AN45" s="94">
        <f t="shared" si="22"/>
        <v>1475.932791</v>
      </c>
      <c r="AO45" s="95">
        <f t="shared" si="23"/>
        <v>7037.374683330353</v>
      </c>
      <c r="AP45" s="96"/>
      <c r="AQ45" s="97">
        <f t="shared" si="7"/>
        <v>1601.7578260869566</v>
      </c>
      <c r="AR45" s="98">
        <f t="shared" si="34"/>
        <v>107.88</v>
      </c>
      <c r="AS45" s="98">
        <f t="shared" si="9"/>
        <v>607.4252173913045</v>
      </c>
      <c r="AT45" s="98">
        <f t="shared" si="10"/>
        <v>202.90560000000002</v>
      </c>
      <c r="AU45" s="98">
        <f t="shared" si="24"/>
        <v>269.64</v>
      </c>
      <c r="AV45" s="98">
        <f t="array" ref="AV45">_xlfn.IFS(U45=0,AO45,U45&lt;0,AO45/-U45,U45&gt;0,AO45/U45)</f>
        <v>305.97281231871102</v>
      </c>
      <c r="AW45" s="234">
        <f t="shared" si="42"/>
        <v>0.1910231417855425</v>
      </c>
      <c r="AX45" s="234">
        <f t="shared" si="43"/>
        <v>2.8362329655052934</v>
      </c>
      <c r="AY45" s="99"/>
      <c r="AZ45" s="94">
        <f t="shared" si="13"/>
        <v>34268.954979695634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5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2"/>
        <v>0</v>
      </c>
      <c r="AO46" s="95">
        <f t="shared" si="23"/>
        <v>0</v>
      </c>
      <c r="AP46" s="96"/>
      <c r="AQ46" s="97">
        <f t="shared" si="7"/>
        <v>0</v>
      </c>
      <c r="AR46" s="98">
        <f t="shared" si="34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41</v>
      </c>
      <c r="F47" s="93">
        <v>11</v>
      </c>
      <c r="G47" s="93">
        <v>3</v>
      </c>
      <c r="H47" s="93">
        <v>22</v>
      </c>
      <c r="I47" s="93">
        <v>0</v>
      </c>
      <c r="J47" s="93">
        <v>5</v>
      </c>
      <c r="K47" s="92">
        <v>123.09</v>
      </c>
      <c r="L47" s="92">
        <f t="shared" si="41"/>
        <v>5046.6900000000005</v>
      </c>
      <c r="M47" s="89">
        <v>47</v>
      </c>
      <c r="N47" s="89">
        <v>16</v>
      </c>
      <c r="O47" s="89">
        <v>1404</v>
      </c>
      <c r="P47" s="89">
        <v>43</v>
      </c>
      <c r="Q47" s="233">
        <f t="shared" si="14"/>
        <v>2.2857142857142856</v>
      </c>
      <c r="R47" s="92">
        <f t="shared" si="15"/>
        <v>0.8571428571428571</v>
      </c>
      <c r="S47" s="93">
        <v>6</v>
      </c>
      <c r="T47" s="93">
        <v>0</v>
      </c>
      <c r="U47" s="92">
        <f t="shared" si="16"/>
        <v>6</v>
      </c>
      <c r="V47" s="93">
        <v>6019</v>
      </c>
      <c r="W47" s="93">
        <v>0</v>
      </c>
      <c r="X47" s="92">
        <f t="shared" si="17"/>
        <v>6019</v>
      </c>
      <c r="Y47" s="93">
        <v>8392</v>
      </c>
      <c r="Z47" s="93">
        <v>0</v>
      </c>
      <c r="AA47" s="92">
        <f t="shared" si="18"/>
        <v>8392</v>
      </c>
      <c r="AB47" s="92">
        <f t="shared" si="19"/>
        <v>9659.52</v>
      </c>
      <c r="AC47" s="234">
        <f t="shared" si="20"/>
        <v>3.8850594063869039E-3</v>
      </c>
      <c r="AD47" s="92">
        <f t="shared" si="21"/>
        <v>738.54</v>
      </c>
      <c r="AE47" s="93">
        <v>3169.8799999999992</v>
      </c>
      <c r="AF47" s="234">
        <f t="shared" si="5"/>
        <v>0.37772640610104852</v>
      </c>
      <c r="AG47" s="93">
        <v>733.94000000000017</v>
      </c>
      <c r="AH47" s="93"/>
      <c r="AI47" s="93">
        <v>553</v>
      </c>
      <c r="AJ47" s="93">
        <v>104</v>
      </c>
      <c r="AK47" s="93"/>
      <c r="AL47" s="122">
        <f t="shared" si="6"/>
        <v>22.918229910714285</v>
      </c>
      <c r="AM47" s="93">
        <v>0</v>
      </c>
      <c r="AN47" s="94">
        <f t="shared" si="22"/>
        <v>343.68489999999997</v>
      </c>
      <c r="AO47" s="95">
        <f t="shared" si="23"/>
        <v>2726.0368700892868</v>
      </c>
      <c r="AP47" s="96"/>
      <c r="AQ47" s="97">
        <f t="shared" si="7"/>
        <v>1398.6666666666667</v>
      </c>
      <c r="AR47" s="98">
        <f t="shared" si="34"/>
        <v>123.09</v>
      </c>
      <c r="AS47" s="98">
        <f t="shared" si="9"/>
        <v>528.31333333333316</v>
      </c>
      <c r="AT47" s="98">
        <f t="shared" si="10"/>
        <v>122.32333333333337</v>
      </c>
      <c r="AU47" s="98">
        <f t="shared" si="24"/>
        <v>109.5</v>
      </c>
      <c r="AV47" s="98">
        <f t="array" ref="AV47">_xlfn.IFS(U47=0,AO47,U47&lt;0,AO47/-U47,U47&gt;0,AO47/U47)</f>
        <v>454.33947834821447</v>
      </c>
      <c r="AW47" s="234">
        <f t="shared" si="42"/>
        <v>0.32483756793246982</v>
      </c>
      <c r="AX47" s="234">
        <f t="shared" si="43"/>
        <v>3.6911160804956897</v>
      </c>
      <c r="AY47" s="99"/>
      <c r="AZ47" s="94">
        <f t="shared" si="13"/>
        <v>18627.918612276793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229</v>
      </c>
      <c r="F48" s="93">
        <v>47</v>
      </c>
      <c r="G48" s="93">
        <v>10</v>
      </c>
      <c r="H48" s="93">
        <v>171</v>
      </c>
      <c r="I48" s="93">
        <v>0</v>
      </c>
      <c r="J48" s="93">
        <v>1</v>
      </c>
      <c r="K48" s="92">
        <v>107.88</v>
      </c>
      <c r="L48" s="92">
        <f t="shared" si="41"/>
        <v>24704.52</v>
      </c>
      <c r="M48" s="89">
        <v>66</v>
      </c>
      <c r="N48" s="89">
        <v>67</v>
      </c>
      <c r="O48" s="89">
        <v>1412</v>
      </c>
      <c r="P48" s="89">
        <v>40</v>
      </c>
      <c r="Q48" s="233">
        <f t="shared" si="14"/>
        <v>9.5714285714285712</v>
      </c>
      <c r="R48" s="92">
        <f t="shared" si="15"/>
        <v>3.4285714285714284</v>
      </c>
      <c r="S48" s="93">
        <v>24</v>
      </c>
      <c r="T48" s="93">
        <v>0</v>
      </c>
      <c r="U48" s="92">
        <f t="shared" si="16"/>
        <v>24</v>
      </c>
      <c r="V48" s="93">
        <v>24027.56</v>
      </c>
      <c r="W48" s="93">
        <v>0</v>
      </c>
      <c r="X48" s="92">
        <f t="shared" si="17"/>
        <v>24027.56</v>
      </c>
      <c r="Y48" s="93">
        <v>33672.18</v>
      </c>
      <c r="Z48" s="93">
        <v>0</v>
      </c>
      <c r="AA48" s="92">
        <f t="shared" si="18"/>
        <v>33672.18</v>
      </c>
      <c r="AB48" s="92">
        <f t="shared" si="19"/>
        <v>37841.599999999999</v>
      </c>
      <c r="AC48" s="234">
        <f t="shared" si="20"/>
        <v>1.5588467545585436E-2</v>
      </c>
      <c r="AD48" s="92">
        <f t="shared" si="21"/>
        <v>2589.12</v>
      </c>
      <c r="AE48" s="93">
        <v>12656.04</v>
      </c>
      <c r="AF48" s="234">
        <f t="shared" si="5"/>
        <v>0.37586042840113115</v>
      </c>
      <c r="AG48" s="93">
        <v>4235.8499999999985</v>
      </c>
      <c r="AH48" s="93"/>
      <c r="AI48" s="93">
        <v>387</v>
      </c>
      <c r="AJ48" s="93">
        <v>3304</v>
      </c>
      <c r="AK48" s="93"/>
      <c r="AL48" s="122">
        <f t="shared" si="6"/>
        <v>178.13715066964284</v>
      </c>
      <c r="AM48" s="93">
        <v>10</v>
      </c>
      <c r="AN48" s="94">
        <f t="shared" si="22"/>
        <v>1371.9736760000001</v>
      </c>
      <c r="AO48" s="95">
        <f t="shared" si="23"/>
        <v>8940.059173330359</v>
      </c>
      <c r="AP48" s="96"/>
      <c r="AQ48" s="97">
        <f t="shared" si="7"/>
        <v>1403.0074999999999</v>
      </c>
      <c r="AR48" s="98">
        <f t="shared" si="34"/>
        <v>107.88</v>
      </c>
      <c r="AS48" s="98">
        <f t="shared" si="9"/>
        <v>527.33500000000004</v>
      </c>
      <c r="AT48" s="98">
        <f t="shared" si="10"/>
        <v>176.49374999999995</v>
      </c>
      <c r="AU48" s="98">
        <f t="shared" si="24"/>
        <v>153.79166666666666</v>
      </c>
      <c r="AV48" s="98">
        <f t="array" ref="AV48">_xlfn.IFS(U48=0,AO48,U48&lt;0,AO48/-U48,U48&gt;0,AO48/U48)</f>
        <v>372.50246555543163</v>
      </c>
      <c r="AW48" s="234">
        <f t="shared" si="42"/>
        <v>0.26550283270433811</v>
      </c>
      <c r="AX48" s="234">
        <f t="shared" si="43"/>
        <v>3.4529334960644387</v>
      </c>
      <c r="AY48" s="99"/>
      <c r="AZ48" s="94">
        <f t="shared" si="13"/>
        <v>85303.064612193848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201</v>
      </c>
      <c r="F49" s="93">
        <v>63</v>
      </c>
      <c r="G49" s="93">
        <v>21</v>
      </c>
      <c r="H49" s="93">
        <v>66</v>
      </c>
      <c r="I49" s="93">
        <v>0</v>
      </c>
      <c r="J49" s="93">
        <v>51</v>
      </c>
      <c r="K49" s="92">
        <v>123.09</v>
      </c>
      <c r="L49" s="92">
        <f t="shared" si="41"/>
        <v>24741.09</v>
      </c>
      <c r="M49" s="89">
        <v>49</v>
      </c>
      <c r="N49" s="89">
        <v>86</v>
      </c>
      <c r="O49" s="89">
        <v>1443</v>
      </c>
      <c r="P49" s="89">
        <v>35</v>
      </c>
      <c r="Q49" s="233">
        <f t="shared" si="14"/>
        <v>12.285714285714286</v>
      </c>
      <c r="R49" s="92">
        <f t="shared" si="15"/>
        <v>3.2857142857142856</v>
      </c>
      <c r="S49" s="93">
        <v>23</v>
      </c>
      <c r="T49" s="93">
        <v>0</v>
      </c>
      <c r="U49" s="92">
        <f t="shared" si="16"/>
        <v>23</v>
      </c>
      <c r="V49" s="93">
        <v>23185.42</v>
      </c>
      <c r="W49" s="93">
        <v>0</v>
      </c>
      <c r="X49" s="92">
        <f t="shared" si="17"/>
        <v>23185.42</v>
      </c>
      <c r="Y49" s="93">
        <v>32752.600000000002</v>
      </c>
      <c r="Z49" s="93">
        <v>0</v>
      </c>
      <c r="AA49" s="92">
        <f t="shared" si="18"/>
        <v>32752.600000000002</v>
      </c>
      <c r="AB49" s="92">
        <f t="shared" si="19"/>
        <v>43434.3</v>
      </c>
      <c r="AC49" s="234">
        <f t="shared" si="20"/>
        <v>1.5162749846714457E-2</v>
      </c>
      <c r="AD49" s="92">
        <f t="shared" si="21"/>
        <v>2831.07</v>
      </c>
      <c r="AE49" s="93">
        <v>12463.310000000005</v>
      </c>
      <c r="AF49" s="234">
        <f t="shared" si="5"/>
        <v>0.38052887404358748</v>
      </c>
      <c r="AG49" s="93">
        <v>5607.7600000000039</v>
      </c>
      <c r="AH49" s="93"/>
      <c r="AI49" s="93">
        <v>60</v>
      </c>
      <c r="AJ49" s="93">
        <v>6076</v>
      </c>
      <c r="AK49" s="93"/>
      <c r="AL49" s="122">
        <f t="shared" si="6"/>
        <v>68.75468973214285</v>
      </c>
      <c r="AM49" s="93">
        <v>0</v>
      </c>
      <c r="AN49" s="94">
        <f t="shared" si="22"/>
        <v>1323.8874819999999</v>
      </c>
      <c r="AO49" s="95">
        <f t="shared" si="23"/>
        <v>4321.8178282678509</v>
      </c>
      <c r="AP49" s="96"/>
      <c r="AQ49" s="97">
        <f t="shared" si="7"/>
        <v>1424.0260869565218</v>
      </c>
      <c r="AR49" s="98">
        <f t="shared" si="34"/>
        <v>123.09</v>
      </c>
      <c r="AS49" s="98">
        <f t="shared" si="9"/>
        <v>541.88304347826113</v>
      </c>
      <c r="AT49" s="98">
        <f t="shared" si="10"/>
        <v>243.81565217391321</v>
      </c>
      <c r="AU49" s="98">
        <f t="shared" si="24"/>
        <v>266.78260869565219</v>
      </c>
      <c r="AV49" s="98">
        <f t="array" ref="AV49">_xlfn.IFS(U49=0,AO49,U49&lt;0,AO49/-U49,U49&gt;0,AO49/U49)</f>
        <v>187.90512296816743</v>
      </c>
      <c r="AW49" s="234">
        <f t="shared" si="42"/>
        <v>0.1319534274612657</v>
      </c>
      <c r="AX49" s="234">
        <f t="shared" si="43"/>
        <v>1.5265669263804325</v>
      </c>
      <c r="AY49" s="99"/>
      <c r="AZ49" s="94">
        <f t="shared" si="13"/>
        <v>37768.929716601655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333</v>
      </c>
      <c r="F50" s="93">
        <v>26</v>
      </c>
      <c r="G50" s="93">
        <v>9</v>
      </c>
      <c r="H50" s="93">
        <v>61</v>
      </c>
      <c r="I50" s="93">
        <v>0</v>
      </c>
      <c r="J50" s="93">
        <v>237</v>
      </c>
      <c r="K50" s="92">
        <v>134.79</v>
      </c>
      <c r="L50" s="92">
        <f t="shared" si="41"/>
        <v>44885.07</v>
      </c>
      <c r="M50" s="89">
        <v>25</v>
      </c>
      <c r="N50" s="89">
        <v>43</v>
      </c>
      <c r="O50" s="89">
        <v>1406</v>
      </c>
      <c r="P50" s="89">
        <v>64</v>
      </c>
      <c r="Q50" s="233">
        <f t="shared" si="14"/>
        <v>6.1428571428571432</v>
      </c>
      <c r="R50" s="92">
        <f t="shared" si="15"/>
        <v>3.4285714285714284</v>
      </c>
      <c r="S50" s="93">
        <v>24</v>
      </c>
      <c r="T50" s="93">
        <v>0</v>
      </c>
      <c r="U50" s="92">
        <f t="shared" si="16"/>
        <v>24</v>
      </c>
      <c r="V50" s="93">
        <v>24139.13</v>
      </c>
      <c r="W50" s="93">
        <v>0</v>
      </c>
      <c r="X50" s="92">
        <f t="shared" si="17"/>
        <v>24139.13</v>
      </c>
      <c r="Y50" s="93">
        <v>33640.71</v>
      </c>
      <c r="Z50" s="93">
        <v>0</v>
      </c>
      <c r="AA50" s="92">
        <f t="shared" si="18"/>
        <v>33640.71</v>
      </c>
      <c r="AB50" s="92">
        <f t="shared" si="19"/>
        <v>38693.120000000003</v>
      </c>
      <c r="AC50" s="234">
        <f t="shared" si="20"/>
        <v>1.5573898572811485E-2</v>
      </c>
      <c r="AD50" s="92">
        <f t="shared" si="21"/>
        <v>3234.96</v>
      </c>
      <c r="AE50" s="93">
        <v>12816.96</v>
      </c>
      <c r="AF50" s="234">
        <f t="shared" si="5"/>
        <v>0.38099552595649733</v>
      </c>
      <c r="AG50" s="93">
        <v>3003.4800000000018</v>
      </c>
      <c r="AH50" s="93"/>
      <c r="AI50" s="93">
        <v>1126</v>
      </c>
      <c r="AJ50" s="93">
        <v>1779</v>
      </c>
      <c r="AK50" s="93"/>
      <c r="AL50" s="122">
        <f t="shared" si="6"/>
        <v>63.546001116071423</v>
      </c>
      <c r="AM50" s="93">
        <v>0</v>
      </c>
      <c r="AN50" s="94">
        <f t="shared" si="22"/>
        <v>1378.344323</v>
      </c>
      <c r="AO50" s="95">
        <f t="shared" si="23"/>
        <v>10238.419675883928</v>
      </c>
      <c r="AP50" s="96"/>
      <c r="AQ50" s="97">
        <f t="shared" si="7"/>
        <v>1401.69625</v>
      </c>
      <c r="AR50" s="98">
        <f t="shared" si="34"/>
        <v>134.79</v>
      </c>
      <c r="AS50" s="98">
        <f t="shared" si="9"/>
        <v>534.04</v>
      </c>
      <c r="AT50" s="98">
        <f t="shared" si="10"/>
        <v>125.14500000000008</v>
      </c>
      <c r="AU50" s="98">
        <f t="shared" si="24"/>
        <v>121.04166666666667</v>
      </c>
      <c r="AV50" s="98">
        <f t="array" ref="AV50">_xlfn.IFS(U50=0,AO50,U50&lt;0,AO50/-U50,U50&gt;0,AO50/U50)</f>
        <v>426.60081982849698</v>
      </c>
      <c r="AW50" s="234">
        <f t="shared" si="42"/>
        <v>0.30434612336909439</v>
      </c>
      <c r="AX50" s="234">
        <f t="shared" si="43"/>
        <v>3.1649292961532534</v>
      </c>
      <c r="AY50" s="99"/>
      <c r="AZ50" s="94">
        <f t="shared" si="13"/>
        <v>142058.07300288949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125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124</v>
      </c>
      <c r="K51" s="92">
        <v>144.15</v>
      </c>
      <c r="L51" s="92">
        <f t="shared" si="41"/>
        <v>18018.75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5"/>
        <v>0</v>
      </c>
      <c r="AG51" s="93">
        <v>0</v>
      </c>
      <c r="AH51" s="93"/>
      <c r="AI51" s="93"/>
      <c r="AJ51" s="93"/>
      <c r="AK51" s="93"/>
      <c r="AL51" s="122">
        <f t="shared" si="6"/>
        <v>1.0417377232142857</v>
      </c>
      <c r="AM51" s="93">
        <v>0</v>
      </c>
      <c r="AN51" s="94">
        <f t="shared" si="22"/>
        <v>0</v>
      </c>
      <c r="AO51" s="95">
        <f t="shared" si="23"/>
        <v>-1.0417377232142857</v>
      </c>
      <c r="AP51" s="96"/>
      <c r="AQ51" s="97">
        <f t="shared" si="7"/>
        <v>0</v>
      </c>
      <c r="AR51" s="98">
        <f t="shared" si="34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-1.0417377232142857</v>
      </c>
      <c r="AW51" s="234">
        <f t="shared" si="42"/>
        <v>0</v>
      </c>
      <c r="AX51" s="234">
        <f t="shared" si="43"/>
        <v>-7.2267618675982354E-3</v>
      </c>
      <c r="AY51" s="99"/>
      <c r="AZ51" s="94">
        <f t="shared" si="13"/>
        <v>-130.21721540178572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24</v>
      </c>
      <c r="F52" s="93">
        <v>5</v>
      </c>
      <c r="G52" s="93">
        <v>4</v>
      </c>
      <c r="H52" s="93">
        <v>14</v>
      </c>
      <c r="I52" s="93">
        <v>0</v>
      </c>
      <c r="J52" s="93">
        <v>1</v>
      </c>
      <c r="K52" s="92">
        <v>96.18</v>
      </c>
      <c r="L52" s="92">
        <f t="shared" si="41"/>
        <v>2308.3200000000002</v>
      </c>
      <c r="M52" s="89">
        <v>528</v>
      </c>
      <c r="N52" s="89">
        <v>9</v>
      </c>
      <c r="O52" s="89">
        <v>1302</v>
      </c>
      <c r="P52" s="89">
        <v>38</v>
      </c>
      <c r="Q52" s="233">
        <f t="shared" si="14"/>
        <v>1.2857142857142858</v>
      </c>
      <c r="R52" s="92">
        <f t="shared" si="15"/>
        <v>0.2857142857142857</v>
      </c>
      <c r="S52" s="93">
        <v>3</v>
      </c>
      <c r="T52" s="93">
        <v>-1</v>
      </c>
      <c r="U52" s="92">
        <f t="shared" si="16"/>
        <v>2</v>
      </c>
      <c r="V52" s="93">
        <v>2824</v>
      </c>
      <c r="W52" s="93">
        <v>-847</v>
      </c>
      <c r="X52" s="92">
        <f t="shared" si="17"/>
        <v>1977</v>
      </c>
      <c r="Y52" s="93">
        <v>3906</v>
      </c>
      <c r="Z52" s="93">
        <v>-1302</v>
      </c>
      <c r="AA52" s="92">
        <f t="shared" si="18"/>
        <v>2604</v>
      </c>
      <c r="AB52" s="92">
        <f t="shared" si="19"/>
        <v>4452.84</v>
      </c>
      <c r="AC52" s="234">
        <f t="shared" si="20"/>
        <v>1.2055165269579955E-3</v>
      </c>
      <c r="AD52" s="92">
        <f t="shared" si="21"/>
        <v>192.36</v>
      </c>
      <c r="AE52" s="93">
        <v>997.00000000000011</v>
      </c>
      <c r="AF52" s="234">
        <f t="shared" si="5"/>
        <v>0.38287250384024579</v>
      </c>
      <c r="AG52" s="93">
        <v>1269.4199999999998</v>
      </c>
      <c r="AH52" s="93"/>
      <c r="AI52" s="93">
        <v>10</v>
      </c>
      <c r="AJ52" s="93">
        <v>990</v>
      </c>
      <c r="AK52" s="93"/>
      <c r="AL52" s="122">
        <f t="shared" si="6"/>
        <v>14.584328124999999</v>
      </c>
      <c r="AM52" s="93">
        <v>0</v>
      </c>
      <c r="AN52" s="94">
        <f t="shared" si="22"/>
        <v>112.88669999999999</v>
      </c>
      <c r="AO52" s="95">
        <f t="shared" si="23"/>
        <v>-982.25102812499995</v>
      </c>
      <c r="AP52" s="96"/>
      <c r="AQ52" s="97">
        <f t="shared" si="7"/>
        <v>1302</v>
      </c>
      <c r="AR52" s="98">
        <f t="shared" si="34"/>
        <v>96.18</v>
      </c>
      <c r="AS52" s="98">
        <f t="shared" si="9"/>
        <v>498.50000000000006</v>
      </c>
      <c r="AT52" s="98">
        <f t="shared" si="10"/>
        <v>423.13999999999993</v>
      </c>
      <c r="AU52" s="98">
        <f t="shared" si="24"/>
        <v>333.33333333333331</v>
      </c>
      <c r="AV52" s="98">
        <f t="array" ref="AV52">_xlfn.IFS(U52=0,AO52,U52&lt;0,AO52/-U52,U52&gt;0,AO52/U52)</f>
        <v>-491.12551406249997</v>
      </c>
      <c r="AW52" s="234">
        <f t="shared" si="42"/>
        <v>-0.37720853614631333</v>
      </c>
      <c r="AX52" s="234">
        <f t="shared" si="43"/>
        <v>-5.1063164281815343</v>
      </c>
      <c r="AY52" s="99"/>
      <c r="AZ52" s="94">
        <f t="shared" si="13"/>
        <v>-11787.0123375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1</v>
      </c>
      <c r="G53" s="93">
        <v>1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999</v>
      </c>
      <c r="N53" s="89">
        <v>2</v>
      </c>
      <c r="O53" s="89">
        <v>1106</v>
      </c>
      <c r="P53" s="89">
        <v>0</v>
      </c>
      <c r="Q53" s="233">
        <f t="shared" si="14"/>
        <v>0.2857142857142857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5"/>
        <v>0</v>
      </c>
      <c r="AG53" s="93">
        <v>251.52000000000004</v>
      </c>
      <c r="AH53" s="93"/>
      <c r="AI53" s="93">
        <v>400</v>
      </c>
      <c r="AJ53" s="93"/>
      <c r="AK53" s="93"/>
      <c r="AL53" s="122">
        <f t="shared" si="6"/>
        <v>34.377344866071425</v>
      </c>
      <c r="AM53" s="93">
        <v>0</v>
      </c>
      <c r="AN53" s="94">
        <f t="shared" si="22"/>
        <v>0</v>
      </c>
      <c r="AO53" s="95">
        <f t="shared" si="23"/>
        <v>-685.89734486607142</v>
      </c>
      <c r="AP53" s="96"/>
      <c r="AQ53" s="97">
        <f t="shared" si="7"/>
        <v>0</v>
      </c>
      <c r="AR53" s="98">
        <f t="shared" si="34"/>
        <v>96.18</v>
      </c>
      <c r="AS53" s="98">
        <f t="shared" si="9"/>
        <v>0</v>
      </c>
      <c r="AT53" s="98">
        <f t="shared" si="10"/>
        <v>251.52000000000004</v>
      </c>
      <c r="AU53" s="98">
        <f t="shared" si="24"/>
        <v>0</v>
      </c>
      <c r="AV53" s="98">
        <f t="array" ref="AV53">_xlfn.IFS(U53=0,AO53,U53&lt;0,AO53/-U53,U53&gt;0,AO53/U53)</f>
        <v>-685.89734486607142</v>
      </c>
      <c r="AW53" s="234">
        <f t="shared" si="42"/>
        <v>0</v>
      </c>
      <c r="AX53" s="234">
        <f t="shared" si="43"/>
        <v>-7.1313926478069387</v>
      </c>
      <c r="AY53" s="99"/>
      <c r="AZ53" s="94">
        <f t="shared" si="13"/>
        <v>-24692.304415178573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22</v>
      </c>
      <c r="F54" s="93">
        <v>1</v>
      </c>
      <c r="G54" s="93" t="s">
        <v>100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2707.98</v>
      </c>
      <c r="M54" s="89">
        <v>999</v>
      </c>
      <c r="N54" s="89">
        <v>2</v>
      </c>
      <c r="O54" s="89">
        <v>998</v>
      </c>
      <c r="P54" s="89">
        <v>100</v>
      </c>
      <c r="Q54" s="233">
        <f t="shared" si="14"/>
        <v>0.2857142857142857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1410</v>
      </c>
      <c r="W54" s="93">
        <v>0</v>
      </c>
      <c r="X54" s="92">
        <f t="shared" si="17"/>
        <v>1410</v>
      </c>
      <c r="Y54" s="93">
        <v>1973</v>
      </c>
      <c r="Z54" s="93">
        <v>0</v>
      </c>
      <c r="AA54" s="92">
        <f t="shared" si="18"/>
        <v>1973</v>
      </c>
      <c r="AB54" s="92">
        <f t="shared" si="19"/>
        <v>1996</v>
      </c>
      <c r="AC54" s="234">
        <f t="shared" si="20"/>
        <v>9.1339635471894207E-4</v>
      </c>
      <c r="AD54" s="92">
        <f t="shared" si="21"/>
        <v>246.18</v>
      </c>
      <c r="AE54" s="93">
        <v>758.36000000000013</v>
      </c>
      <c r="AF54" s="234">
        <f t="shared" si="5"/>
        <v>0.38436898124683228</v>
      </c>
      <c r="AG54" s="93">
        <v>93.39</v>
      </c>
      <c r="AH54" s="93"/>
      <c r="AI54" s="93"/>
      <c r="AJ54" s="93"/>
      <c r="AK54" s="93"/>
      <c r="AL54" s="122">
        <f t="shared" si="6"/>
        <v>20.834754464285712</v>
      </c>
      <c r="AM54" s="93">
        <v>0</v>
      </c>
      <c r="AN54" s="94">
        <f t="shared" si="22"/>
        <v>80.510999999999996</v>
      </c>
      <c r="AO54" s="95">
        <f t="shared" si="23"/>
        <v>773.72424553571409</v>
      </c>
      <c r="AP54" s="96"/>
      <c r="AQ54" s="97">
        <f t="shared" si="7"/>
        <v>986.5</v>
      </c>
      <c r="AR54" s="98">
        <f t="shared" si="34"/>
        <v>123.09</v>
      </c>
      <c r="AS54" s="98">
        <f t="shared" si="9"/>
        <v>379.18000000000006</v>
      </c>
      <c r="AT54" s="98">
        <f t="shared" si="10"/>
        <v>46.695</v>
      </c>
      <c r="AU54" s="98">
        <f t="shared" si="24"/>
        <v>0</v>
      </c>
      <c r="AV54" s="98">
        <f t="array" ref="AV54">_xlfn.IFS(U54=0,AO54,U54&lt;0,AO54/-U54,U54&gt;0,AO54/U54)</f>
        <v>386.86212276785704</v>
      </c>
      <c r="AW54" s="234">
        <f t="shared" si="42"/>
        <v>0.39215623189848664</v>
      </c>
      <c r="AX54" s="234">
        <f t="shared" si="43"/>
        <v>3.1429208121525471</v>
      </c>
      <c r="AY54" s="99"/>
      <c r="AZ54" s="94">
        <f t="shared" si="13"/>
        <v>8510.9667008928554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5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2"/>
        <v>0</v>
      </c>
      <c r="AO55" s="95">
        <f t="shared" si="23"/>
        <v>0</v>
      </c>
      <c r="AP55" s="96"/>
      <c r="AQ55" s="97">
        <f t="shared" si="7"/>
        <v>0</v>
      </c>
      <c r="AR55" s="98">
        <f t="shared" si="34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2"/>
        <v>0</v>
      </c>
      <c r="AX55" s="234">
        <f t="shared" si="43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5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2"/>
        <v>0</v>
      </c>
      <c r="AO56" s="95">
        <f t="shared" si="23"/>
        <v>0</v>
      </c>
      <c r="AP56" s="96"/>
      <c r="AQ56" s="97">
        <f t="shared" si="7"/>
        <v>0</v>
      </c>
      <c r="AR56" s="98">
        <f t="shared" si="34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5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2"/>
        <v>0</v>
      </c>
      <c r="AO57" s="95">
        <f t="shared" si="23"/>
        <v>0</v>
      </c>
      <c r="AP57" s="96"/>
      <c r="AQ57" s="97">
        <f t="shared" si="7"/>
        <v>0</v>
      </c>
      <c r="AR57" s="98">
        <f t="shared" si="34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21</v>
      </c>
      <c r="F58" s="93">
        <v>5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1"/>
        <v>3567.6899999999996</v>
      </c>
      <c r="M58" s="89">
        <v>999</v>
      </c>
      <c r="N58" s="89">
        <v>10</v>
      </c>
      <c r="O58" s="89">
        <v>936</v>
      </c>
      <c r="P58" s="89">
        <v>50</v>
      </c>
      <c r="Q58" s="233">
        <f t="shared" si="14"/>
        <v>1.4285714285714286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1401</v>
      </c>
      <c r="W58" s="93">
        <v>0</v>
      </c>
      <c r="X58" s="92">
        <f t="shared" si="17"/>
        <v>1401</v>
      </c>
      <c r="Y58" s="93">
        <v>1872</v>
      </c>
      <c r="Z58" s="93">
        <v>0</v>
      </c>
      <c r="AA58" s="92">
        <f t="shared" si="18"/>
        <v>1872</v>
      </c>
      <c r="AB58" s="92">
        <f t="shared" si="19"/>
        <v>4680</v>
      </c>
      <c r="AC58" s="234">
        <f t="shared" si="20"/>
        <v>8.6663860924169256E-4</v>
      </c>
      <c r="AD58" s="92">
        <f t="shared" si="21"/>
        <v>339.78</v>
      </c>
      <c r="AE58" s="93">
        <v>722.27</v>
      </c>
      <c r="AF58" s="234">
        <f t="shared" si="5"/>
        <v>0.38582799145299146</v>
      </c>
      <c r="AG58" s="93">
        <v>430.74</v>
      </c>
      <c r="AH58" s="93"/>
      <c r="AI58" s="93">
        <v>10</v>
      </c>
      <c r="AJ58" s="93">
        <v>990</v>
      </c>
      <c r="AK58" s="93"/>
      <c r="AL58" s="122">
        <f t="shared" si="6"/>
        <v>13.542590401785713</v>
      </c>
      <c r="AM58" s="93">
        <v>0</v>
      </c>
      <c r="AN58" s="94">
        <f t="shared" si="22"/>
        <v>79.997100000000003</v>
      </c>
      <c r="AO58" s="95">
        <f t="shared" si="23"/>
        <v>-714.32969040178568</v>
      </c>
      <c r="AP58" s="96"/>
      <c r="AQ58" s="97">
        <f t="shared" si="7"/>
        <v>936</v>
      </c>
      <c r="AR58" s="98">
        <f t="shared" si="34"/>
        <v>169.89</v>
      </c>
      <c r="AS58" s="98">
        <f t="shared" si="9"/>
        <v>361.13499999999999</v>
      </c>
      <c r="AT58" s="98">
        <f t="shared" si="10"/>
        <v>215.37</v>
      </c>
      <c r="AU58" s="98">
        <f t="shared" si="24"/>
        <v>500</v>
      </c>
      <c r="AV58" s="98">
        <f t="array" ref="AV58">_xlfn.IFS(U58=0,AO58,U58&lt;0,AO58/-U58,U58&gt;0,AO58/U58)</f>
        <v>-357.16484520089284</v>
      </c>
      <c r="AW58" s="234">
        <f t="shared" si="42"/>
        <v>-0.38158637307787696</v>
      </c>
      <c r="AX58" s="234">
        <f t="shared" si="43"/>
        <v>-2.1023300088344978</v>
      </c>
      <c r="AY58" s="99"/>
      <c r="AZ58" s="94">
        <f t="shared" si="13"/>
        <v>-7500.4617492187499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5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2"/>
        <v>0</v>
      </c>
      <c r="AO59" s="95">
        <f t="shared" si="23"/>
        <v>0</v>
      </c>
      <c r="AP59" s="96"/>
      <c r="AQ59" s="97">
        <f t="shared" si="7"/>
        <v>0</v>
      </c>
      <c r="AR59" s="98">
        <f t="shared" si="34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60</v>
      </c>
      <c r="F60" s="93" t="s">
        <v>100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9491.4</v>
      </c>
      <c r="M60" s="89">
        <v>296</v>
      </c>
      <c r="N60" s="89">
        <v>0</v>
      </c>
      <c r="O60" s="89">
        <v>0</v>
      </c>
      <c r="P60" s="89">
        <v>0</v>
      </c>
      <c r="Q60" s="233">
        <f t="shared" si="14"/>
        <v>0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755</v>
      </c>
      <c r="W60" s="93">
        <v>-699</v>
      </c>
      <c r="X60" s="92">
        <f t="shared" si="17"/>
        <v>56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2.2400000000000091</v>
      </c>
      <c r="AF60" s="234">
        <f t="shared" si="5"/>
        <v>0</v>
      </c>
      <c r="AG60" s="93">
        <v>97.169999999999987</v>
      </c>
      <c r="AH60" s="93"/>
      <c r="AI60" s="93"/>
      <c r="AJ60" s="93"/>
      <c r="AK60" s="93"/>
      <c r="AL60" s="122">
        <f t="shared" si="6"/>
        <v>19.793016741071426</v>
      </c>
      <c r="AM60" s="93">
        <v>0</v>
      </c>
      <c r="AN60" s="94">
        <f t="shared" si="22"/>
        <v>3.1976</v>
      </c>
      <c r="AO60" s="95">
        <f t="shared" si="23"/>
        <v>-122.40061674107142</v>
      </c>
      <c r="AP60" s="96"/>
      <c r="AQ60" s="97">
        <f t="shared" si="7"/>
        <v>0</v>
      </c>
      <c r="AR60" s="98">
        <f t="shared" si="34"/>
        <v>158.19</v>
      </c>
      <c r="AS60" s="98">
        <f t="shared" si="9"/>
        <v>0</v>
      </c>
      <c r="AT60" s="98">
        <f t="shared" si="10"/>
        <v>97.169999999999987</v>
      </c>
      <c r="AU60" s="98">
        <f t="shared" si="24"/>
        <v>0</v>
      </c>
      <c r="AV60" s="98">
        <f t="array" ref="AV60">_xlfn.IFS(U60=0,AO60,U60&lt;0,AO60/-U60,U60&gt;0,AO60/U60)</f>
        <v>-122.40061674107142</v>
      </c>
      <c r="AW60" s="234">
        <f t="shared" si="42"/>
        <v>0</v>
      </c>
      <c r="AX60" s="234">
        <f t="shared" si="43"/>
        <v>-0.77375698047330055</v>
      </c>
      <c r="AY60" s="99"/>
      <c r="AZ60" s="94">
        <f t="shared" si="13"/>
        <v>-7344.037004464285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478</v>
      </c>
      <c r="F61" s="93" t="s">
        <v>100</v>
      </c>
      <c r="G61" s="93" t="s">
        <v>100</v>
      </c>
      <c r="H61" s="93">
        <v>157</v>
      </c>
      <c r="I61" s="93">
        <v>0</v>
      </c>
      <c r="J61" s="93">
        <v>321</v>
      </c>
      <c r="K61" s="93">
        <v>128.94</v>
      </c>
      <c r="L61" s="92">
        <f t="shared" si="41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5"/>
        <v>0</v>
      </c>
      <c r="AG61" s="93">
        <v>2.64</v>
      </c>
      <c r="AH61" s="93"/>
      <c r="AI61" s="93"/>
      <c r="AJ61" s="93"/>
      <c r="AK61" s="93"/>
      <c r="AL61" s="122">
        <f t="shared" si="6"/>
        <v>163.55282254464282</v>
      </c>
      <c r="AM61" s="93">
        <v>0</v>
      </c>
      <c r="AN61" s="94">
        <f t="shared" si="22"/>
        <v>0</v>
      </c>
      <c r="AO61" s="95">
        <f t="shared" si="23"/>
        <v>-166.19282254464281</v>
      </c>
      <c r="AP61" s="96"/>
      <c r="AQ61" s="97">
        <f t="shared" si="7"/>
        <v>0</v>
      </c>
      <c r="AR61" s="98">
        <f t="shared" si="34"/>
        <v>128.94</v>
      </c>
      <c r="AS61" s="98">
        <f t="shared" si="9"/>
        <v>0</v>
      </c>
      <c r="AT61" s="98">
        <f t="shared" si="10"/>
        <v>2.64</v>
      </c>
      <c r="AU61" s="98">
        <f t="shared" si="24"/>
        <v>0</v>
      </c>
      <c r="AV61" s="98">
        <f t="array" ref="AV61">_xlfn.IFS(U61=0,AO61,U61&lt;0,AO61/-U61,U61&gt;0,AO61/U61)</f>
        <v>-166.19282254464281</v>
      </c>
      <c r="AW61" s="234">
        <f t="shared" si="42"/>
        <v>0</v>
      </c>
      <c r="AX61" s="234">
        <f t="shared" si="43"/>
        <v>-1.2889159496249636</v>
      </c>
      <c r="AY61" s="99"/>
      <c r="AZ61" s="94">
        <f t="shared" si="13"/>
        <v>-79440.169176339259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5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2"/>
        <v>0</v>
      </c>
      <c r="AO62" s="95">
        <f t="shared" si="23"/>
        <v>0</v>
      </c>
      <c r="AP62" s="96"/>
      <c r="AQ62" s="97">
        <f t="shared" si="7"/>
        <v>0</v>
      </c>
      <c r="AR62" s="98">
        <f t="shared" si="34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5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2"/>
        <v>0</v>
      </c>
      <c r="AO63" s="95">
        <f t="shared" si="23"/>
        <v>0</v>
      </c>
      <c r="AP63" s="96"/>
      <c r="AQ63" s="97">
        <f t="shared" si="7"/>
        <v>0</v>
      </c>
      <c r="AR63" s="98">
        <f t="shared" si="34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5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2"/>
        <v>0</v>
      </c>
      <c r="AO64" s="95">
        <f t="shared" si="23"/>
        <v>0</v>
      </c>
      <c r="AP64" s="96"/>
      <c r="AQ64" s="97">
        <f t="shared" si="7"/>
        <v>0</v>
      </c>
      <c r="AR64" s="98">
        <f t="shared" si="34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29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5"/>
        <v>0</v>
      </c>
      <c r="AG65" s="93">
        <v>0</v>
      </c>
      <c r="AH65" s="93"/>
      <c r="AI65" s="93"/>
      <c r="AJ65" s="93"/>
      <c r="AK65" s="93"/>
      <c r="AL65" s="122">
        <f t="shared" si="6"/>
        <v>0</v>
      </c>
      <c r="AM65" s="93">
        <v>0</v>
      </c>
      <c r="AN65" s="94">
        <f t="shared" si="22"/>
        <v>0</v>
      </c>
      <c r="AO65" s="95">
        <f t="shared" si="23"/>
        <v>0</v>
      </c>
      <c r="AP65" s="96"/>
      <c r="AQ65" s="97">
        <f t="shared" si="7"/>
        <v>0</v>
      </c>
      <c r="AR65" s="98">
        <f t="shared" si="34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2"/>
        <v>0</v>
      </c>
      <c r="AX65" s="234">
        <f t="shared" si="43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5"/>
        <v>0</v>
      </c>
      <c r="AG66" s="93">
        <v>0</v>
      </c>
      <c r="AH66" s="93"/>
      <c r="AI66" s="93"/>
      <c r="AJ66" s="93"/>
      <c r="AK66" s="93"/>
      <c r="AL66" s="122">
        <f t="shared" si="6"/>
        <v>2.0834754464285714</v>
      </c>
      <c r="AM66" s="93">
        <v>0</v>
      </c>
      <c r="AN66" s="94">
        <f t="shared" si="22"/>
        <v>0</v>
      </c>
      <c r="AO66" s="95">
        <f t="shared" si="23"/>
        <v>-2.0834754464285714</v>
      </c>
      <c r="AP66" s="96"/>
      <c r="AQ66" s="97">
        <f t="shared" si="7"/>
        <v>0</v>
      </c>
      <c r="AR66" s="98">
        <f t="shared" si="34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-2.0834754464285714</v>
      </c>
      <c r="AW66" s="234">
        <f t="shared" si="42"/>
        <v>0</v>
      </c>
      <c r="AX66" s="234">
        <f t="shared" si="43"/>
        <v>-2.1401904945337148E-2</v>
      </c>
      <c r="AY66" s="99"/>
      <c r="AZ66" s="94">
        <f t="shared" si="13"/>
        <v>-197.93016741071429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ref="AF67:AF104" si="45">IF(AA67=0,0,AE67/AA67)</f>
        <v>0</v>
      </c>
      <c r="AG67" s="93">
        <v>0</v>
      </c>
      <c r="AH67" s="93"/>
      <c r="AI67" s="93"/>
      <c r="AJ67" s="93"/>
      <c r="AK67" s="93"/>
      <c r="AL67" s="122">
        <f t="shared" ref="AL67:AL104" si="46">IFERROR($AL$127*H67/$H$127,0)</f>
        <v>0</v>
      </c>
      <c r="AM67" s="93">
        <v>0</v>
      </c>
      <c r="AN67" s="94">
        <f t="shared" si="22"/>
        <v>0</v>
      </c>
      <c r="AO67" s="95">
        <f t="shared" si="23"/>
        <v>0</v>
      </c>
      <c r="AP67" s="96"/>
      <c r="AQ67" s="97">
        <f t="shared" si="7"/>
        <v>0</v>
      </c>
      <c r="AR67" s="98">
        <f t="shared" si="34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7">N68/7</f>
        <v>0</v>
      </c>
      <c r="R68" s="92">
        <f t="shared" ref="R68:R104" si="48">U68/7</f>
        <v>0</v>
      </c>
      <c r="S68" s="93">
        <v>0</v>
      </c>
      <c r="T68" s="93">
        <v>0</v>
      </c>
      <c r="U68" s="92">
        <f t="shared" ref="U68:U104" si="49">S68+T68</f>
        <v>0</v>
      </c>
      <c r="V68" s="93">
        <v>0</v>
      </c>
      <c r="W68" s="93">
        <v>0</v>
      </c>
      <c r="X68" s="92">
        <f t="shared" ref="X68:X104" si="50">V68+W68</f>
        <v>0</v>
      </c>
      <c r="Y68" s="93">
        <v>0</v>
      </c>
      <c r="Z68" s="93">
        <v>0</v>
      </c>
      <c r="AA68" s="92">
        <f t="shared" ref="AA68:AA104" si="51">Y68+Z68</f>
        <v>0</v>
      </c>
      <c r="AB68" s="92">
        <f t="shared" ref="AB68:AB104" si="52">N68*O68*P68/100</f>
        <v>0</v>
      </c>
      <c r="AC68" s="234">
        <f t="shared" ref="AC68:AC104" si="53">AA68/$AA$127</f>
        <v>0</v>
      </c>
      <c r="AD68" s="92">
        <f t="shared" ref="AD68:AD104" si="54">U68*K68</f>
        <v>0</v>
      </c>
      <c r="AE68" s="93">
        <v>0</v>
      </c>
      <c r="AF68" s="234">
        <f t="shared" si="45"/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4" si="55">X68*5.71%</f>
        <v>0</v>
      </c>
      <c r="AO68" s="95">
        <f t="shared" ref="AO68:AO104" si="56">AA68-AD68-AE68-AG68-AH68-AI68-AJ68-AK68-AL68-AN68-AM68</f>
        <v>0</v>
      </c>
      <c r="AP68" s="96"/>
      <c r="AQ68" s="97">
        <f t="shared" si="7"/>
        <v>0</v>
      </c>
      <c r="AR68" s="98">
        <f t="shared" si="34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4</v>
      </c>
      <c r="F69" s="93">
        <v>1</v>
      </c>
      <c r="G69" s="93">
        <v>1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562.55999999999995</v>
      </c>
      <c r="M69" s="89">
        <v>44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45"/>
        <v>0</v>
      </c>
      <c r="AG69" s="93">
        <v>234.56</v>
      </c>
      <c r="AH69" s="93"/>
      <c r="AI69" s="93"/>
      <c r="AJ69" s="93"/>
      <c r="AK69" s="93"/>
      <c r="AL69" s="122">
        <f t="shared" si="46"/>
        <v>1.0417377232142857</v>
      </c>
      <c r="AM69" s="93">
        <v>0</v>
      </c>
      <c r="AN69" s="94">
        <f t="shared" si="55"/>
        <v>0</v>
      </c>
      <c r="AO69" s="95">
        <f t="shared" si="56"/>
        <v>-235.60173772321428</v>
      </c>
      <c r="AP69" s="96"/>
      <c r="AQ69" s="97">
        <f t="shared" si="7"/>
        <v>0</v>
      </c>
      <c r="AR69" s="98">
        <f t="shared" si="34"/>
        <v>140.63999999999999</v>
      </c>
      <c r="AS69" s="98">
        <f t="shared" si="9"/>
        <v>0</v>
      </c>
      <c r="AT69" s="98">
        <f t="shared" si="10"/>
        <v>234.56</v>
      </c>
      <c r="AU69" s="98">
        <f t="shared" si="24"/>
        <v>0</v>
      </c>
      <c r="AV69" s="98">
        <f t="array" ref="AV69">_xlfn.IFS(U69=0,AO69,U69&lt;0,AO69/-U69,U69&gt;0,AO69/U69)</f>
        <v>-235.60173772321428</v>
      </c>
      <c r="AW69" s="234">
        <f t="shared" si="42"/>
        <v>0</v>
      </c>
      <c r="AX69" s="234">
        <f t="shared" si="43"/>
        <v>-1.6752114456997604</v>
      </c>
      <c r="AY69" s="99"/>
      <c r="AZ69" s="94">
        <f t="shared" si="13"/>
        <v>-942.40695089285714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4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7"/>
        <v>0</v>
      </c>
      <c r="AR70" s="98">
        <f t="shared" si="34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3</v>
      </c>
      <c r="G71" s="93" t="s">
        <v>100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2</v>
      </c>
      <c r="O71" s="89">
        <v>702</v>
      </c>
      <c r="P71" s="89">
        <v>0</v>
      </c>
      <c r="Q71" s="233">
        <f t="shared" si="47"/>
        <v>0.2857142857142857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45"/>
        <v>0</v>
      </c>
      <c r="AG71" s="93">
        <v>0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5"/>
        <v>0</v>
      </c>
      <c r="AO71" s="95">
        <f t="shared" si="56"/>
        <v>0</v>
      </c>
      <c r="AP71" s="96"/>
      <c r="AQ71" s="97">
        <f t="shared" si="7"/>
        <v>0</v>
      </c>
      <c r="AR71" s="98">
        <f t="shared" si="34"/>
        <v>123.09</v>
      </c>
      <c r="AS71" s="98">
        <f t="shared" si="9"/>
        <v>0</v>
      </c>
      <c r="AT71" s="98">
        <f t="shared" si="10"/>
        <v>0</v>
      </c>
      <c r="AU71" s="98">
        <f t="shared" ref="AU71:AU104" si="57">IF(S71=0,0,(AH71+AI71+AJ71)/S71)</f>
        <v>0</v>
      </c>
      <c r="AV71" s="98">
        <f t="array" ref="AV71">_xlfn.IFS(U71=0,AO71,U71&lt;0,AO71/-U71,U71&gt;0,AO71/U71)</f>
        <v>0</v>
      </c>
      <c r="AW71" s="234">
        <f t="shared" si="42"/>
        <v>0</v>
      </c>
      <c r="AX71" s="234">
        <f t="shared" si="43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4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7"/>
        <v>0</v>
      </c>
      <c r="AR72" s="98">
        <f t="shared" si="34"/>
        <v>123.09</v>
      </c>
      <c r="AS72" s="98">
        <f t="shared" si="9"/>
        <v>0</v>
      </c>
      <c r="AT72" s="98">
        <f t="shared" si="10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1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45"/>
        <v>0</v>
      </c>
      <c r="AG73" s="93">
        <v>0</v>
      </c>
      <c r="AH73" s="93"/>
      <c r="AI73" s="93"/>
      <c r="AJ73" s="93"/>
      <c r="AK73" s="93"/>
      <c r="AL73" s="122">
        <f t="shared" si="46"/>
        <v>1.0417377232142857</v>
      </c>
      <c r="AM73" s="93">
        <v>0</v>
      </c>
      <c r="AN73" s="94">
        <f t="shared" si="55"/>
        <v>0</v>
      </c>
      <c r="AO73" s="95">
        <f t="shared" si="56"/>
        <v>-1.0417377232142857</v>
      </c>
      <c r="AP73" s="96"/>
      <c r="AQ73" s="97">
        <f t="shared" si="7"/>
        <v>0</v>
      </c>
      <c r="AR73" s="98">
        <f t="shared" si="34"/>
        <v>123.09</v>
      </c>
      <c r="AS73" s="98">
        <f t="shared" si="9"/>
        <v>0</v>
      </c>
      <c r="AT73" s="98">
        <f t="shared" si="10"/>
        <v>0</v>
      </c>
      <c r="AU73" s="98">
        <f t="shared" si="57"/>
        <v>0</v>
      </c>
      <c r="AV73" s="98">
        <f t="array" ref="AV73">_xlfn.IFS(U73=0,AO73,U73&lt;0,AO73/-U73,U73&gt;0,AO73/U73)</f>
        <v>-1.0417377232142857</v>
      </c>
      <c r="AW73" s="234">
        <f t="shared" si="42"/>
        <v>0</v>
      </c>
      <c r="AX73" s="234">
        <f t="shared" si="43"/>
        <v>-8.4632197840140196E-3</v>
      </c>
      <c r="AY73" s="99"/>
      <c r="AZ73" s="94">
        <f t="shared" si="13"/>
        <v>-2.0834754464285714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45"/>
        <v>0</v>
      </c>
      <c r="AG74" s="93">
        <v>1.01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5"/>
        <v>0</v>
      </c>
      <c r="AO74" s="95">
        <f t="shared" si="56"/>
        <v>-1.01</v>
      </c>
      <c r="AP74" s="96"/>
      <c r="AQ74" s="97">
        <f t="shared" si="7"/>
        <v>0</v>
      </c>
      <c r="AR74" s="98">
        <f t="shared" si="34"/>
        <v>134.79</v>
      </c>
      <c r="AS74" s="98">
        <f t="shared" si="9"/>
        <v>0</v>
      </c>
      <c r="AT74" s="98">
        <f t="shared" si="10"/>
        <v>1.01</v>
      </c>
      <c r="AU74" s="98">
        <f t="shared" si="57"/>
        <v>0</v>
      </c>
      <c r="AV74" s="98">
        <f t="array" ref="AV74">_xlfn.IFS(U74=0,AO74,U74&lt;0,AO74/-U74,U74&gt;0,AO74/U74)</f>
        <v>-1.01</v>
      </c>
      <c r="AW74" s="234">
        <f t="shared" si="42"/>
        <v>0</v>
      </c>
      <c r="AX74" s="234">
        <f t="shared" si="43"/>
        <v>-7.4931374731063141E-3</v>
      </c>
      <c r="AY74" s="99"/>
      <c r="AZ74" s="94">
        <f t="shared" si="13"/>
        <v>-2.02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8</v>
      </c>
      <c r="F75" s="93">
        <v>3</v>
      </c>
      <c r="G75" s="93">
        <v>1</v>
      </c>
      <c r="H75" s="93">
        <v>3</v>
      </c>
      <c r="I75" s="93">
        <v>0</v>
      </c>
      <c r="J75" s="93">
        <v>1</v>
      </c>
      <c r="K75" s="93">
        <v>134.79</v>
      </c>
      <c r="L75" s="92">
        <f t="shared" si="41"/>
        <v>1078.32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7"/>
        <v>0.14285714285714285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547</v>
      </c>
      <c r="W75" s="93">
        <v>0</v>
      </c>
      <c r="X75" s="92">
        <f t="shared" si="50"/>
        <v>547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0</v>
      </c>
      <c r="AC75" s="234">
        <f t="shared" si="53"/>
        <v>3.532293049419933E-4</v>
      </c>
      <c r="AD75" s="92">
        <f t="shared" si="54"/>
        <v>134.79</v>
      </c>
      <c r="AE75" s="93">
        <v>290.83</v>
      </c>
      <c r="AF75" s="234">
        <f t="shared" si="45"/>
        <v>0.38116644823066842</v>
      </c>
      <c r="AG75" s="93">
        <v>353.58</v>
      </c>
      <c r="AH75" s="93"/>
      <c r="AI75" s="93"/>
      <c r="AJ75" s="93"/>
      <c r="AK75" s="93"/>
      <c r="AL75" s="122">
        <f t="shared" si="46"/>
        <v>3.1252131696428567</v>
      </c>
      <c r="AM75" s="93">
        <v>0</v>
      </c>
      <c r="AN75" s="94">
        <f t="shared" si="55"/>
        <v>31.233699999999999</v>
      </c>
      <c r="AO75" s="95">
        <f t="shared" si="56"/>
        <v>-50.558913169642786</v>
      </c>
      <c r="AP75" s="96"/>
      <c r="AQ75" s="97">
        <f t="shared" si="7"/>
        <v>763</v>
      </c>
      <c r="AR75" s="98">
        <f t="shared" si="34"/>
        <v>134.79</v>
      </c>
      <c r="AS75" s="98">
        <f t="shared" si="9"/>
        <v>290.83</v>
      </c>
      <c r="AT75" s="98">
        <f t="shared" si="10"/>
        <v>353.58</v>
      </c>
      <c r="AU75" s="98">
        <f t="shared" si="57"/>
        <v>0</v>
      </c>
      <c r="AV75" s="98">
        <f t="array" ref="AV75">_xlfn.IFS(U75=0,AO75,U75&lt;0,AO75/-U75,U75&gt;0,AO75/U75)</f>
        <v>-50.558913169642786</v>
      </c>
      <c r="AW75" s="234">
        <f t="shared" si="42"/>
        <v>-6.6263320012637988E-2</v>
      </c>
      <c r="AX75" s="234">
        <f t="shared" si="43"/>
        <v>-0.37509394739700858</v>
      </c>
      <c r="AY75" s="99"/>
      <c r="AZ75" s="94">
        <f t="shared" si="13"/>
        <v>-404.47130535714228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38</v>
      </c>
      <c r="F76" s="93">
        <v>5</v>
      </c>
      <c r="G76" s="93">
        <v>1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1"/>
        <v>4677.42</v>
      </c>
      <c r="M76" s="89">
        <v>999</v>
      </c>
      <c r="N76" s="89">
        <v>5</v>
      </c>
      <c r="O76" s="89">
        <v>1050</v>
      </c>
      <c r="P76" s="89">
        <v>50</v>
      </c>
      <c r="Q76" s="233">
        <f t="shared" si="47"/>
        <v>0.7142857142857143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719</v>
      </c>
      <c r="W76" s="93">
        <v>0</v>
      </c>
      <c r="X76" s="92">
        <f t="shared" si="50"/>
        <v>719</v>
      </c>
      <c r="Y76" s="93">
        <v>1026</v>
      </c>
      <c r="Z76" s="93">
        <v>0</v>
      </c>
      <c r="AA76" s="92">
        <f t="shared" si="51"/>
        <v>1026</v>
      </c>
      <c r="AB76" s="92">
        <f t="shared" si="52"/>
        <v>2625</v>
      </c>
      <c r="AC76" s="234">
        <f t="shared" si="53"/>
        <v>4.7498462237285076E-4</v>
      </c>
      <c r="AD76" s="92">
        <f t="shared" si="54"/>
        <v>123.09</v>
      </c>
      <c r="AE76" s="93">
        <v>390.42999999999995</v>
      </c>
      <c r="AF76" s="234">
        <f t="shared" si="45"/>
        <v>0.38053606237816762</v>
      </c>
      <c r="AG76" s="93">
        <v>420.12</v>
      </c>
      <c r="AH76" s="93"/>
      <c r="AI76" s="93">
        <v>191</v>
      </c>
      <c r="AJ76" s="93">
        <v>990</v>
      </c>
      <c r="AK76" s="93"/>
      <c r="AL76" s="122">
        <f t="shared" si="46"/>
        <v>32.29386941964286</v>
      </c>
      <c r="AM76" s="93">
        <v>0</v>
      </c>
      <c r="AN76" s="94">
        <f t="shared" si="55"/>
        <v>41.054899999999996</v>
      </c>
      <c r="AO76" s="95">
        <f t="shared" si="56"/>
        <v>-1161.9887694196427</v>
      </c>
      <c r="AP76" s="96"/>
      <c r="AQ76" s="97">
        <f t="shared" si="7"/>
        <v>1026</v>
      </c>
      <c r="AR76" s="98">
        <f t="shared" si="34"/>
        <v>123.09</v>
      </c>
      <c r="AS76" s="98">
        <f t="shared" si="9"/>
        <v>390.42999999999995</v>
      </c>
      <c r="AT76" s="98">
        <f t="shared" si="10"/>
        <v>420.12</v>
      </c>
      <c r="AU76" s="98">
        <f t="shared" si="57"/>
        <v>1181</v>
      </c>
      <c r="AV76" s="98">
        <f t="array" ref="AV76">_xlfn.IFS(U76=0,AO76,U76&lt;0,AO76/-U76,U76&gt;0,AO76/U76)</f>
        <v>-1161.9887694196427</v>
      </c>
      <c r="AW76" s="234">
        <f t="shared" si="42"/>
        <v>-1.132542660253063</v>
      </c>
      <c r="AX76" s="234">
        <f t="shared" si="43"/>
        <v>-9.440155734987755</v>
      </c>
      <c r="AY76" s="99"/>
      <c r="AZ76" s="94">
        <f t="shared" si="13"/>
        <v>-44155.573237946424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29</v>
      </c>
      <c r="F77" s="93">
        <v>5</v>
      </c>
      <c r="G77" s="93">
        <v>2</v>
      </c>
      <c r="H77" s="93">
        <v>18</v>
      </c>
      <c r="I77" s="93">
        <v>0</v>
      </c>
      <c r="J77" s="93">
        <v>4</v>
      </c>
      <c r="K77" s="93">
        <v>123.09</v>
      </c>
      <c r="L77" s="92">
        <f t="shared" si="41"/>
        <v>3569.61</v>
      </c>
      <c r="M77" s="89">
        <v>105</v>
      </c>
      <c r="N77" s="89">
        <v>6</v>
      </c>
      <c r="O77" s="89">
        <v>1150</v>
      </c>
      <c r="P77" s="89">
        <v>0</v>
      </c>
      <c r="Q77" s="233">
        <f t="shared" si="47"/>
        <v>0.8571428571428571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45"/>
        <v>0</v>
      </c>
      <c r="AG77" s="93">
        <v>413.11999999999995</v>
      </c>
      <c r="AH77" s="93"/>
      <c r="AI77" s="93">
        <v>1010</v>
      </c>
      <c r="AJ77" s="93">
        <v>990</v>
      </c>
      <c r="AK77" s="93"/>
      <c r="AL77" s="122">
        <f t="shared" si="46"/>
        <v>18.751279017857144</v>
      </c>
      <c r="AM77" s="93">
        <v>0</v>
      </c>
      <c r="AN77" s="94">
        <f t="shared" si="55"/>
        <v>0</v>
      </c>
      <c r="AO77" s="95">
        <f t="shared" si="56"/>
        <v>-2431.871279017857</v>
      </c>
      <c r="AP77" s="96"/>
      <c r="AQ77" s="97">
        <f t="shared" si="7"/>
        <v>0</v>
      </c>
      <c r="AR77" s="98">
        <f t="shared" si="34"/>
        <v>123.09</v>
      </c>
      <c r="AS77" s="98">
        <f t="shared" si="9"/>
        <v>0</v>
      </c>
      <c r="AT77" s="98">
        <f t="shared" si="10"/>
        <v>413.11999999999995</v>
      </c>
      <c r="AU77" s="98">
        <f t="shared" si="57"/>
        <v>0</v>
      </c>
      <c r="AV77" s="98">
        <f t="array" ref="AV77">_xlfn.IFS(U77=0,AO77,U77&lt;0,AO77/-U77,U77&gt;0,AO77/U77)</f>
        <v>-2431.871279017857</v>
      </c>
      <c r="AW77" s="234">
        <f t="shared" si="42"/>
        <v>0</v>
      </c>
      <c r="AX77" s="234">
        <f t="shared" si="43"/>
        <v>-19.756854976178868</v>
      </c>
      <c r="AY77" s="99"/>
      <c r="AZ77" s="94">
        <f t="shared" si="13"/>
        <v>-70524.267091517846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4</v>
      </c>
      <c r="G78" s="93">
        <v>2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999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45"/>
        <v>0</v>
      </c>
      <c r="AG78" s="93">
        <v>231.47</v>
      </c>
      <c r="AH78" s="93"/>
      <c r="AI78" s="93"/>
      <c r="AJ78" s="93"/>
      <c r="AK78" s="93"/>
      <c r="AL78" s="122">
        <f t="shared" si="46"/>
        <v>9.3756395089285718</v>
      </c>
      <c r="AM78" s="93">
        <v>0</v>
      </c>
      <c r="AN78" s="94">
        <f t="shared" si="55"/>
        <v>0</v>
      </c>
      <c r="AO78" s="95">
        <f t="shared" si="56"/>
        <v>-240.84563950892857</v>
      </c>
      <c r="AP78" s="96"/>
      <c r="AQ78" s="97">
        <f t="shared" si="7"/>
        <v>0</v>
      </c>
      <c r="AR78" s="98">
        <f t="shared" si="34"/>
        <v>123.09</v>
      </c>
      <c r="AS78" s="98">
        <f t="shared" si="9"/>
        <v>0</v>
      </c>
      <c r="AT78" s="98">
        <f t="shared" si="10"/>
        <v>231.47</v>
      </c>
      <c r="AU78" s="98">
        <f t="shared" si="57"/>
        <v>0</v>
      </c>
      <c r="AV78" s="98">
        <f t="array" ref="AV78">_xlfn.IFS(U78=0,AO78,U78&lt;0,AO78/-U78,U78&gt;0,AO78/U78)</f>
        <v>-240.84563950892857</v>
      </c>
      <c r="AW78" s="234">
        <f t="shared" si="42"/>
        <v>0</v>
      </c>
      <c r="AX78" s="234">
        <f t="shared" si="43"/>
        <v>-1.9566629255742023</v>
      </c>
      <c r="AY78" s="99"/>
      <c r="AZ78" s="94">
        <f t="shared" si="13"/>
        <v>-3853.5302321428571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32</v>
      </c>
      <c r="F79" s="93">
        <v>21</v>
      </c>
      <c r="G79" s="93">
        <v>5</v>
      </c>
      <c r="H79" s="93">
        <v>5</v>
      </c>
      <c r="I79" s="93">
        <v>0</v>
      </c>
      <c r="J79" s="93">
        <v>1</v>
      </c>
      <c r="K79" s="93">
        <v>164.04</v>
      </c>
      <c r="L79" s="92">
        <f t="shared" si="41"/>
        <v>5249.28</v>
      </c>
      <c r="M79" s="89">
        <v>26</v>
      </c>
      <c r="N79" s="89">
        <v>20</v>
      </c>
      <c r="O79" s="89">
        <v>1300</v>
      </c>
      <c r="P79" s="89">
        <v>20</v>
      </c>
      <c r="Q79" s="233">
        <f t="shared" si="47"/>
        <v>2.8571428571428572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3001.92</v>
      </c>
      <c r="W79" s="93">
        <v>0</v>
      </c>
      <c r="X79" s="92">
        <f t="shared" si="50"/>
        <v>3001.92</v>
      </c>
      <c r="Y79" s="93">
        <v>3900.48</v>
      </c>
      <c r="Z79" s="93">
        <v>0</v>
      </c>
      <c r="AA79" s="92">
        <f t="shared" si="51"/>
        <v>3900.48</v>
      </c>
      <c r="AB79" s="92">
        <f t="shared" si="52"/>
        <v>5200</v>
      </c>
      <c r="AC79" s="234">
        <f t="shared" si="53"/>
        <v>1.8057193176148703E-3</v>
      </c>
      <c r="AD79" s="92">
        <f t="shared" si="54"/>
        <v>492.12</v>
      </c>
      <c r="AE79" s="93">
        <v>1442.9900000000002</v>
      </c>
      <c r="AF79" s="234">
        <f t="shared" si="45"/>
        <v>0.3699519033554845</v>
      </c>
      <c r="AG79" s="93">
        <v>1025.0999999999999</v>
      </c>
      <c r="AH79" s="93"/>
      <c r="AI79" s="93">
        <v>198</v>
      </c>
      <c r="AJ79" s="93">
        <v>1105</v>
      </c>
      <c r="AK79" s="93"/>
      <c r="AL79" s="122">
        <f t="shared" si="46"/>
        <v>5.2086886160714281</v>
      </c>
      <c r="AM79" s="93">
        <v>0</v>
      </c>
      <c r="AN79" s="94">
        <f t="shared" si="55"/>
        <v>171.40963199999999</v>
      </c>
      <c r="AO79" s="95">
        <f t="shared" si="56"/>
        <v>-539.34832061607142</v>
      </c>
      <c r="AP79" s="96"/>
      <c r="AQ79" s="97">
        <f t="shared" si="7"/>
        <v>1300.1600000000001</v>
      </c>
      <c r="AR79" s="98">
        <f t="shared" si="34"/>
        <v>164.04</v>
      </c>
      <c r="AS79" s="98">
        <f t="shared" si="9"/>
        <v>480.99666666666673</v>
      </c>
      <c r="AT79" s="98">
        <f t="shared" si="10"/>
        <v>341.7</v>
      </c>
      <c r="AU79" s="98">
        <f t="shared" si="57"/>
        <v>434.33333333333331</v>
      </c>
      <c r="AV79" s="98">
        <f t="array" ref="AV79">_xlfn.IFS(U79=0,AO79,U79&lt;0,AO79/-U79,U79&gt;0,AO79/U79)</f>
        <v>-179.78277353869046</v>
      </c>
      <c r="AW79" s="234">
        <f t="shared" si="42"/>
        <v>-0.1382774224239251</v>
      </c>
      <c r="AX79" s="234">
        <f t="shared" si="43"/>
        <v>-1.0959691144762891</v>
      </c>
      <c r="AY79" s="99"/>
      <c r="AZ79" s="94">
        <f t="shared" si="13"/>
        <v>-5753.0487532380948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23</v>
      </c>
      <c r="F80" s="93">
        <v>2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1"/>
        <v>3772.9199999999996</v>
      </c>
      <c r="M80" s="89">
        <v>88</v>
      </c>
      <c r="N80" s="89">
        <v>5</v>
      </c>
      <c r="O80" s="89">
        <v>987</v>
      </c>
      <c r="P80" s="89">
        <v>33</v>
      </c>
      <c r="Q80" s="233">
        <f t="shared" si="47"/>
        <v>0.7142857142857143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1479</v>
      </c>
      <c r="W80" s="93">
        <v>0</v>
      </c>
      <c r="X80" s="92">
        <f t="shared" si="50"/>
        <v>1479</v>
      </c>
      <c r="Y80" s="93">
        <v>1974</v>
      </c>
      <c r="Z80" s="93">
        <v>0</v>
      </c>
      <c r="AA80" s="92">
        <f t="shared" si="51"/>
        <v>1974</v>
      </c>
      <c r="AB80" s="92">
        <f t="shared" si="52"/>
        <v>1628.55</v>
      </c>
      <c r="AC80" s="234">
        <f t="shared" si="53"/>
        <v>9.1385930269396434E-4</v>
      </c>
      <c r="AD80" s="92">
        <f t="shared" si="54"/>
        <v>328.08</v>
      </c>
      <c r="AE80" s="93">
        <v>754.98</v>
      </c>
      <c r="AF80" s="234">
        <f t="shared" si="45"/>
        <v>0.38246200607902736</v>
      </c>
      <c r="AG80" s="93">
        <v>531.11999999999989</v>
      </c>
      <c r="AH80" s="93"/>
      <c r="AI80" s="93"/>
      <c r="AJ80" s="93"/>
      <c r="AK80" s="93"/>
      <c r="AL80" s="122">
        <f t="shared" si="46"/>
        <v>17.709541294642857</v>
      </c>
      <c r="AM80" s="93">
        <v>0</v>
      </c>
      <c r="AN80" s="94">
        <f t="shared" si="55"/>
        <v>84.45089999999999</v>
      </c>
      <c r="AO80" s="95">
        <f t="shared" si="56"/>
        <v>257.65955870535731</v>
      </c>
      <c r="AP80" s="96"/>
      <c r="AQ80" s="97">
        <f t="shared" si="7"/>
        <v>987</v>
      </c>
      <c r="AR80" s="98">
        <f t="shared" si="34"/>
        <v>164.04</v>
      </c>
      <c r="AS80" s="98">
        <f t="shared" si="9"/>
        <v>377.49</v>
      </c>
      <c r="AT80" s="98">
        <f t="shared" si="10"/>
        <v>265.55999999999995</v>
      </c>
      <c r="AU80" s="98">
        <f t="shared" si="57"/>
        <v>0</v>
      </c>
      <c r="AV80" s="98">
        <f t="array" ref="AV80">_xlfn.IFS(U80=0,AO80,U80&lt;0,AO80/-U80,U80&gt;0,AO80/U80)</f>
        <v>128.82977935267866</v>
      </c>
      <c r="AW80" s="234">
        <f t="shared" si="42"/>
        <v>0.13052662548397026</v>
      </c>
      <c r="AX80" s="234">
        <f t="shared" si="43"/>
        <v>0.785355884861489</v>
      </c>
      <c r="AY80" s="99"/>
      <c r="AZ80" s="94">
        <f t="shared" si="13"/>
        <v>2963.0849251116092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7"/>
        <v>0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45"/>
        <v>0</v>
      </c>
      <c r="AG81" s="93">
        <v>0</v>
      </c>
      <c r="AH81" s="93"/>
      <c r="AI81" s="93"/>
      <c r="AJ81" s="93"/>
      <c r="AK81" s="93"/>
      <c r="AL81" s="122">
        <f t="shared" si="46"/>
        <v>13.542590401785713</v>
      </c>
      <c r="AM81" s="93">
        <v>0</v>
      </c>
      <c r="AN81" s="94">
        <f t="shared" si="55"/>
        <v>0</v>
      </c>
      <c r="AO81" s="95">
        <f t="shared" si="56"/>
        <v>-13.542590401785713</v>
      </c>
      <c r="AP81" s="96"/>
      <c r="AQ81" s="97">
        <f t="shared" si="7"/>
        <v>0</v>
      </c>
      <c r="AR81" s="98">
        <f t="shared" si="34"/>
        <v>128.94</v>
      </c>
      <c r="AS81" s="98">
        <f t="shared" si="9"/>
        <v>0</v>
      </c>
      <c r="AT81" s="98">
        <f t="shared" si="10"/>
        <v>0</v>
      </c>
      <c r="AU81" s="98">
        <f t="shared" si="57"/>
        <v>0</v>
      </c>
      <c r="AV81" s="98">
        <f t="array" ref="AV81">_xlfn.IFS(U81=0,AO81,U81&lt;0,AO81/-U81,U81&gt;0,AO81/U81)</f>
        <v>-13.542590401785713</v>
      </c>
      <c r="AW81" s="234">
        <f t="shared" si="42"/>
        <v>0</v>
      </c>
      <c r="AX81" s="234">
        <f t="shared" si="43"/>
        <v>-0.10503017218695294</v>
      </c>
      <c r="AY81" s="99"/>
      <c r="AZ81" s="94">
        <f t="shared" si="13"/>
        <v>-189.59626562499997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42</v>
      </c>
      <c r="F82" s="93" t="s">
        <v>100</v>
      </c>
      <c r="G82" s="93" t="s">
        <v>100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1"/>
        <v>5415.48</v>
      </c>
      <c r="M82" s="89">
        <v>409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871</v>
      </c>
      <c r="W82" s="93">
        <v>0</v>
      </c>
      <c r="X82" s="92">
        <f t="shared" si="50"/>
        <v>871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5.43500922676147E-4</v>
      </c>
      <c r="AD82" s="92">
        <f t="shared" si="54"/>
        <v>128.94</v>
      </c>
      <c r="AE82" s="93">
        <v>456.34000000000003</v>
      </c>
      <c r="AF82" s="234">
        <f t="shared" si="45"/>
        <v>0.38870528109028962</v>
      </c>
      <c r="AG82" s="93">
        <v>416.97999999999996</v>
      </c>
      <c r="AH82" s="93"/>
      <c r="AI82" s="93">
        <v>10</v>
      </c>
      <c r="AJ82" s="93">
        <v>990</v>
      </c>
      <c r="AK82" s="93"/>
      <c r="AL82" s="122">
        <f t="shared" si="46"/>
        <v>42.711246651785707</v>
      </c>
      <c r="AM82" s="93">
        <v>0</v>
      </c>
      <c r="AN82" s="94">
        <f t="shared" si="55"/>
        <v>49.734099999999998</v>
      </c>
      <c r="AO82" s="95">
        <f t="shared" si="56"/>
        <v>-920.7053466517857</v>
      </c>
      <c r="AP82" s="96"/>
      <c r="AQ82" s="97">
        <f t="shared" si="7"/>
        <v>1174</v>
      </c>
      <c r="AR82" s="98">
        <f t="shared" si="34"/>
        <v>128.94</v>
      </c>
      <c r="AS82" s="98">
        <f t="shared" si="9"/>
        <v>456.34000000000003</v>
      </c>
      <c r="AT82" s="98">
        <f t="shared" si="10"/>
        <v>416.97999999999996</v>
      </c>
      <c r="AU82" s="98">
        <f t="shared" si="57"/>
        <v>1000</v>
      </c>
      <c r="AV82" s="98">
        <f t="array" ref="AV82">_xlfn.IFS(U82=0,AO82,U82&lt;0,AO82/-U82,U82&gt;0,AO82/U82)</f>
        <v>-920.7053466517857</v>
      </c>
      <c r="AW82" s="234">
        <f t="shared" si="42"/>
        <v>-0.78424646222468974</v>
      </c>
      <c r="AX82" s="234">
        <f t="shared" si="43"/>
        <v>-7.1405719454923666</v>
      </c>
      <c r="AY82" s="99"/>
      <c r="AZ82" s="94">
        <f t="shared" si="13"/>
        <v>-38669.624559374999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 t="s">
        <v>100</v>
      </c>
      <c r="G83" s="93">
        <v>1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7"/>
        <v>0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45"/>
        <v>0</v>
      </c>
      <c r="AG83" s="93">
        <v>100.48</v>
      </c>
      <c r="AH83" s="93"/>
      <c r="AI83" s="93"/>
      <c r="AJ83" s="93"/>
      <c r="AK83" s="93"/>
      <c r="AL83" s="122">
        <f t="shared" si="46"/>
        <v>42.711246651785707</v>
      </c>
      <c r="AM83" s="93">
        <v>0</v>
      </c>
      <c r="AN83" s="94">
        <f t="shared" si="55"/>
        <v>0</v>
      </c>
      <c r="AO83" s="95">
        <f t="shared" si="56"/>
        <v>-143.19124665178572</v>
      </c>
      <c r="AP83" s="96"/>
      <c r="AQ83" s="97">
        <f t="shared" si="7"/>
        <v>0</v>
      </c>
      <c r="AR83" s="98">
        <f t="shared" si="34"/>
        <v>123.09</v>
      </c>
      <c r="AS83" s="98">
        <f t="shared" si="9"/>
        <v>0</v>
      </c>
      <c r="AT83" s="98">
        <f t="shared" si="10"/>
        <v>100.48</v>
      </c>
      <c r="AU83" s="98">
        <f t="shared" si="57"/>
        <v>0</v>
      </c>
      <c r="AV83" s="98">
        <f t="array" ref="AV83">_xlfn.IFS(U83=0,AO83,U83&lt;0,AO83/-U83,U83&gt;0,AO83/U83)</f>
        <v>-143.19124665178572</v>
      </c>
      <c r="AW83" s="234">
        <f t="shared" si="42"/>
        <v>0</v>
      </c>
      <c r="AX83" s="234">
        <f t="shared" si="43"/>
        <v>-1.1633052778599864</v>
      </c>
      <c r="AY83" s="99"/>
      <c r="AZ83" s="94">
        <f t="shared" si="13"/>
        <v>-6157.223606026786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41</v>
      </c>
      <c r="F84" s="93">
        <v>1</v>
      </c>
      <c r="G84" s="93">
        <v>1</v>
      </c>
      <c r="H84" s="93">
        <v>38</v>
      </c>
      <c r="I84" s="93">
        <v>0</v>
      </c>
      <c r="J84" s="93">
        <v>1</v>
      </c>
      <c r="K84" s="93">
        <v>146.49</v>
      </c>
      <c r="L84" s="92">
        <f t="shared" si="41"/>
        <v>6006.09</v>
      </c>
      <c r="M84" s="89">
        <v>999</v>
      </c>
      <c r="N84" s="89">
        <v>2</v>
      </c>
      <c r="O84" s="89">
        <v>1201</v>
      </c>
      <c r="P84" s="89">
        <v>0</v>
      </c>
      <c r="Q84" s="233">
        <f t="shared" si="47"/>
        <v>0.2857142857142857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45"/>
        <v>0</v>
      </c>
      <c r="AG84" s="93">
        <v>195.93</v>
      </c>
      <c r="AH84" s="93"/>
      <c r="AI84" s="93">
        <v>461</v>
      </c>
      <c r="AJ84" s="93"/>
      <c r="AK84" s="93"/>
      <c r="AL84" s="122">
        <f t="shared" si="46"/>
        <v>39.586033482142852</v>
      </c>
      <c r="AM84" s="93">
        <v>0</v>
      </c>
      <c r="AN84" s="94">
        <f t="shared" si="55"/>
        <v>0</v>
      </c>
      <c r="AO84" s="95">
        <f t="shared" si="56"/>
        <v>-696.51603348214292</v>
      </c>
      <c r="AP84" s="96"/>
      <c r="AQ84" s="97">
        <f t="shared" si="7"/>
        <v>0</v>
      </c>
      <c r="AR84" s="98">
        <f t="shared" si="34"/>
        <v>146.49</v>
      </c>
      <c r="AS84" s="98">
        <f t="shared" si="9"/>
        <v>0</v>
      </c>
      <c r="AT84" s="98">
        <f t="shared" si="10"/>
        <v>195.93</v>
      </c>
      <c r="AU84" s="98">
        <f t="shared" si="57"/>
        <v>0</v>
      </c>
      <c r="AV84" s="98">
        <f t="array" ref="AV84">_xlfn.IFS(U84=0,AO84,U84&lt;0,AO84/-U84,U84&gt;0,AO84/U84)</f>
        <v>-696.51603348214292</v>
      </c>
      <c r="AW84" s="234">
        <f t="shared" si="42"/>
        <v>0</v>
      </c>
      <c r="AX84" s="234">
        <f t="shared" si="43"/>
        <v>-4.7547002080834382</v>
      </c>
      <c r="AY84" s="99"/>
      <c r="AZ84" s="94">
        <f t="shared" si="13"/>
        <v>-28557.157372767859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34</v>
      </c>
      <c r="F85" s="93">
        <v>1</v>
      </c>
      <c r="G85" s="93">
        <v>1</v>
      </c>
      <c r="H85" s="93">
        <v>31</v>
      </c>
      <c r="I85" s="93">
        <v>0</v>
      </c>
      <c r="J85" s="93">
        <v>1</v>
      </c>
      <c r="K85" s="93">
        <v>103.2</v>
      </c>
      <c r="L85" s="92">
        <f t="shared" si="41"/>
        <v>3508.8</v>
      </c>
      <c r="M85" s="89">
        <v>999</v>
      </c>
      <c r="N85" s="89">
        <v>2</v>
      </c>
      <c r="O85" s="89">
        <v>900</v>
      </c>
      <c r="P85" s="89">
        <v>100</v>
      </c>
      <c r="Q85" s="233">
        <f t="shared" si="47"/>
        <v>0.2857142857142857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661</v>
      </c>
      <c r="W85" s="93">
        <v>0</v>
      </c>
      <c r="X85" s="92">
        <f t="shared" si="50"/>
        <v>661</v>
      </c>
      <c r="Y85" s="93">
        <v>900</v>
      </c>
      <c r="Z85" s="93">
        <v>0</v>
      </c>
      <c r="AA85" s="92">
        <f t="shared" si="51"/>
        <v>900</v>
      </c>
      <c r="AB85" s="92">
        <f t="shared" si="52"/>
        <v>1800</v>
      </c>
      <c r="AC85" s="234">
        <f t="shared" si="53"/>
        <v>4.1665317752004452E-4</v>
      </c>
      <c r="AD85" s="92">
        <f t="shared" si="54"/>
        <v>103.2</v>
      </c>
      <c r="AE85" s="93">
        <v>343.69000000000005</v>
      </c>
      <c r="AF85" s="234">
        <f t="shared" si="45"/>
        <v>0.38187777777777782</v>
      </c>
      <c r="AG85" s="93">
        <v>260.52</v>
      </c>
      <c r="AH85" s="93"/>
      <c r="AI85" s="93"/>
      <c r="AJ85" s="93"/>
      <c r="AK85" s="93"/>
      <c r="AL85" s="122">
        <f t="shared" si="46"/>
        <v>32.29386941964286</v>
      </c>
      <c r="AM85" s="93">
        <v>50</v>
      </c>
      <c r="AN85" s="94">
        <f t="shared" si="55"/>
        <v>37.743099999999998</v>
      </c>
      <c r="AO85" s="95">
        <f t="shared" si="56"/>
        <v>72.553030580357046</v>
      </c>
      <c r="AP85" s="96"/>
      <c r="AQ85" s="97">
        <f t="shared" si="7"/>
        <v>900</v>
      </c>
      <c r="AR85" s="98">
        <f t="shared" si="34"/>
        <v>103.2</v>
      </c>
      <c r="AS85" s="98">
        <f t="shared" si="9"/>
        <v>343.69000000000005</v>
      </c>
      <c r="AT85" s="98">
        <f t="shared" si="10"/>
        <v>260.52</v>
      </c>
      <c r="AU85" s="98">
        <f t="shared" si="57"/>
        <v>0</v>
      </c>
      <c r="AV85" s="98">
        <f t="array" ref="AV85">_xlfn.IFS(U85=0,AO85,U85&lt;0,AO85/-U85,U85&gt;0,AO85/U85)</f>
        <v>72.553030580357046</v>
      </c>
      <c r="AW85" s="234">
        <f t="shared" si="42"/>
        <v>8.0614478422618943E-2</v>
      </c>
      <c r="AX85" s="234">
        <f t="shared" si="43"/>
        <v>0.70303324205772333</v>
      </c>
      <c r="AY85" s="99"/>
      <c r="AZ85" s="94">
        <f t="shared" si="13"/>
        <v>2466.8030397321395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36</v>
      </c>
      <c r="F86" s="93">
        <v>8</v>
      </c>
      <c r="G86" s="93">
        <v>1</v>
      </c>
      <c r="H86" s="93">
        <v>26</v>
      </c>
      <c r="I86" s="93">
        <v>0</v>
      </c>
      <c r="J86" s="93">
        <v>1</v>
      </c>
      <c r="K86" s="93">
        <v>150</v>
      </c>
      <c r="L86" s="92">
        <f t="shared" si="41"/>
        <v>5400</v>
      </c>
      <c r="M86" s="89">
        <v>107</v>
      </c>
      <c r="N86" s="89">
        <v>9</v>
      </c>
      <c r="O86" s="89">
        <v>1064</v>
      </c>
      <c r="P86" s="89">
        <v>50</v>
      </c>
      <c r="Q86" s="233">
        <f t="shared" si="47"/>
        <v>1.2857142857142858</v>
      </c>
      <c r="R86" s="92">
        <f t="shared" si="48"/>
        <v>0.7142857142857143</v>
      </c>
      <c r="S86" s="93">
        <v>5</v>
      </c>
      <c r="T86" s="93">
        <v>0</v>
      </c>
      <c r="U86" s="92">
        <f t="shared" si="49"/>
        <v>5</v>
      </c>
      <c r="V86" s="93">
        <v>3861</v>
      </c>
      <c r="W86" s="93">
        <v>0</v>
      </c>
      <c r="X86" s="92">
        <f t="shared" si="50"/>
        <v>3861</v>
      </c>
      <c r="Y86" s="93">
        <v>5320</v>
      </c>
      <c r="Z86" s="93">
        <v>0</v>
      </c>
      <c r="AA86" s="92">
        <f t="shared" si="51"/>
        <v>5320</v>
      </c>
      <c r="AB86" s="92">
        <f t="shared" si="52"/>
        <v>4788</v>
      </c>
      <c r="AC86" s="234">
        <f t="shared" si="53"/>
        <v>2.4628832271184854E-3</v>
      </c>
      <c r="AD86" s="92">
        <f t="shared" si="54"/>
        <v>750</v>
      </c>
      <c r="AE86" s="93">
        <v>2043.3899999999999</v>
      </c>
      <c r="AF86" s="234">
        <f t="shared" si="45"/>
        <v>0.38409586466165413</v>
      </c>
      <c r="AG86" s="93">
        <v>1024.5600000000002</v>
      </c>
      <c r="AH86" s="93"/>
      <c r="AI86" s="93">
        <v>940</v>
      </c>
      <c r="AJ86" s="93">
        <v>931</v>
      </c>
      <c r="AK86" s="93"/>
      <c r="AL86" s="122">
        <f t="shared" si="46"/>
        <v>27.085180803571426</v>
      </c>
      <c r="AM86" s="93">
        <v>0</v>
      </c>
      <c r="AN86" s="94">
        <f t="shared" si="55"/>
        <v>220.4631</v>
      </c>
      <c r="AO86" s="95">
        <f t="shared" si="56"/>
        <v>-616.49828080357145</v>
      </c>
      <c r="AP86" s="96"/>
      <c r="AQ86" s="97">
        <f t="shared" si="7"/>
        <v>1064</v>
      </c>
      <c r="AR86" s="98">
        <f t="shared" si="34"/>
        <v>150</v>
      </c>
      <c r="AS86" s="98">
        <f t="shared" si="9"/>
        <v>408.678</v>
      </c>
      <c r="AT86" s="98">
        <f t="shared" si="10"/>
        <v>204.91200000000003</v>
      </c>
      <c r="AU86" s="98">
        <f t="shared" si="57"/>
        <v>374.2</v>
      </c>
      <c r="AV86" s="98">
        <f t="array" ref="AV86">_xlfn.IFS(U86=0,AO86,U86&lt;0,AO86/-U86,U86&gt;0,AO86/U86)</f>
        <v>-123.29965616071429</v>
      </c>
      <c r="AW86" s="234">
        <f t="shared" si="42"/>
        <v>-0.11588313548939314</v>
      </c>
      <c r="AX86" s="234">
        <f t="shared" si="43"/>
        <v>-0.82199770773809533</v>
      </c>
      <c r="AY86" s="99"/>
      <c r="AZ86" s="94">
        <f t="shared" si="13"/>
        <v>-4438.7876217857147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5</v>
      </c>
      <c r="F87" s="93">
        <v>1</v>
      </c>
      <c r="G87" s="93">
        <v>2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1"/>
        <v>750</v>
      </c>
      <c r="M87" s="89">
        <v>999</v>
      </c>
      <c r="N87" s="89">
        <v>3</v>
      </c>
      <c r="O87" s="89">
        <v>1056</v>
      </c>
      <c r="P87" s="89">
        <v>50</v>
      </c>
      <c r="Q87" s="233">
        <f t="shared" si="47"/>
        <v>0.42857142857142855</v>
      </c>
      <c r="R87" s="92">
        <f t="shared" si="48"/>
        <v>0.2857142857142857</v>
      </c>
      <c r="S87" s="93">
        <v>3</v>
      </c>
      <c r="T87" s="93">
        <v>-1</v>
      </c>
      <c r="U87" s="92">
        <f t="shared" si="49"/>
        <v>2</v>
      </c>
      <c r="V87" s="93">
        <v>2213.38</v>
      </c>
      <c r="W87" s="93">
        <v>-687</v>
      </c>
      <c r="X87" s="92">
        <f t="shared" si="50"/>
        <v>1526.38</v>
      </c>
      <c r="Y87" s="93">
        <v>3145.0299999999997</v>
      </c>
      <c r="Z87" s="93">
        <v>-1056</v>
      </c>
      <c r="AA87" s="92">
        <f t="shared" si="51"/>
        <v>2089.0299999999997</v>
      </c>
      <c r="AB87" s="92">
        <f t="shared" si="52"/>
        <v>1584</v>
      </c>
      <c r="AC87" s="234">
        <f t="shared" si="53"/>
        <v>9.6711220826077614E-4</v>
      </c>
      <c r="AD87" s="92">
        <f t="shared" si="54"/>
        <v>300</v>
      </c>
      <c r="AE87" s="93">
        <v>784.60999999999967</v>
      </c>
      <c r="AF87" s="234">
        <f t="shared" si="45"/>
        <v>0.37558579819341981</v>
      </c>
      <c r="AG87" s="93">
        <v>331.88</v>
      </c>
      <c r="AH87" s="93"/>
      <c r="AI87" s="93"/>
      <c r="AJ87" s="93"/>
      <c r="AK87" s="93"/>
      <c r="AL87" s="122">
        <f t="shared" si="46"/>
        <v>1.0417377232142857</v>
      </c>
      <c r="AM87" s="93">
        <v>0</v>
      </c>
      <c r="AN87" s="94">
        <f t="shared" si="55"/>
        <v>87.156298000000007</v>
      </c>
      <c r="AO87" s="95">
        <f t="shared" si="56"/>
        <v>584.3419642767858</v>
      </c>
      <c r="AP87" s="96"/>
      <c r="AQ87" s="97">
        <f t="shared" si="7"/>
        <v>1044.5149999999999</v>
      </c>
      <c r="AR87" s="98">
        <f t="shared" si="34"/>
        <v>150</v>
      </c>
      <c r="AS87" s="98">
        <f t="shared" si="9"/>
        <v>392.30499999999984</v>
      </c>
      <c r="AT87" s="98">
        <f t="shared" si="10"/>
        <v>110.62666666666667</v>
      </c>
      <c r="AU87" s="98">
        <f t="shared" si="57"/>
        <v>0</v>
      </c>
      <c r="AV87" s="98">
        <f t="array" ref="AV87">_xlfn.IFS(U87=0,AO87,U87&lt;0,AO87/-U87,U87&gt;0,AO87/U87)</f>
        <v>292.1709821383929</v>
      </c>
      <c r="AW87" s="234">
        <f t="shared" si="42"/>
        <v>0.27971927845784211</v>
      </c>
      <c r="AX87" s="234">
        <f t="shared" si="43"/>
        <v>1.9478065475892861</v>
      </c>
      <c r="AY87" s="99"/>
      <c r="AZ87" s="94">
        <f t="shared" si="13"/>
        <v>1460.8549106919645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2</v>
      </c>
      <c r="O88" s="89">
        <v>1257</v>
      </c>
      <c r="P88" s="89">
        <v>0</v>
      </c>
      <c r="Q88" s="233">
        <f t="shared" si="47"/>
        <v>0.2857142857142857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45"/>
        <v>0</v>
      </c>
      <c r="AG88" s="93">
        <v>1.75</v>
      </c>
      <c r="AH88" s="93"/>
      <c r="AI88" s="93"/>
      <c r="AJ88" s="93"/>
      <c r="AK88" s="93"/>
      <c r="AL88" s="122">
        <f t="shared" si="46"/>
        <v>0</v>
      </c>
      <c r="AM88" s="93">
        <v>0</v>
      </c>
      <c r="AN88" s="94">
        <f t="shared" si="55"/>
        <v>0</v>
      </c>
      <c r="AO88" s="95">
        <f t="shared" si="56"/>
        <v>-1.75</v>
      </c>
      <c r="AP88" s="96"/>
      <c r="AQ88" s="97">
        <f t="shared" si="7"/>
        <v>0</v>
      </c>
      <c r="AR88" s="98">
        <f t="shared" si="34"/>
        <v>150</v>
      </c>
      <c r="AS88" s="98">
        <f t="shared" si="9"/>
        <v>0</v>
      </c>
      <c r="AT88" s="98">
        <f t="shared" si="10"/>
        <v>1.75</v>
      </c>
      <c r="AU88" s="98">
        <f t="shared" si="57"/>
        <v>0</v>
      </c>
      <c r="AV88" s="98">
        <f t="array" ref="AV88">_xlfn.IFS(U88=0,AO88,U88&lt;0,AO88/-U88,U88&gt;0,AO88/U88)</f>
        <v>-1.75</v>
      </c>
      <c r="AW88" s="234">
        <f t="shared" si="42"/>
        <v>0</v>
      </c>
      <c r="AX88" s="234">
        <f t="shared" si="43"/>
        <v>-1.1666666666666667E-2</v>
      </c>
      <c r="AY88" s="99"/>
      <c r="AZ88" s="94">
        <f t="shared" si="13"/>
        <v>-5.25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7</v>
      </c>
      <c r="F89" s="93">
        <v>2</v>
      </c>
      <c r="G89" s="93">
        <v>2</v>
      </c>
      <c r="H89" s="93">
        <v>2</v>
      </c>
      <c r="I89" s="93">
        <v>0</v>
      </c>
      <c r="J89" s="93">
        <v>1</v>
      </c>
      <c r="K89" s="93">
        <v>169.89</v>
      </c>
      <c r="L89" s="92">
        <f t="shared" si="41"/>
        <v>1189.23</v>
      </c>
      <c r="M89" s="89">
        <v>29</v>
      </c>
      <c r="N89" s="89">
        <v>1</v>
      </c>
      <c r="O89" s="89">
        <v>1504</v>
      </c>
      <c r="P89" s="89">
        <v>0</v>
      </c>
      <c r="Q89" s="233">
        <f t="shared" si="47"/>
        <v>0.14285714285714285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45"/>
        <v>0</v>
      </c>
      <c r="AG89" s="93">
        <v>158.29</v>
      </c>
      <c r="AH89" s="93"/>
      <c r="AI89" s="93"/>
      <c r="AJ89" s="93"/>
      <c r="AK89" s="93"/>
      <c r="AL89" s="122">
        <f t="shared" si="46"/>
        <v>2.0834754464285714</v>
      </c>
      <c r="AM89" s="93">
        <v>0</v>
      </c>
      <c r="AN89" s="94">
        <f t="shared" si="55"/>
        <v>0</v>
      </c>
      <c r="AO89" s="95">
        <f t="shared" si="56"/>
        <v>-160.37347544642856</v>
      </c>
      <c r="AP89" s="96"/>
      <c r="AQ89" s="97">
        <f t="shared" si="7"/>
        <v>0</v>
      </c>
      <c r="AR89" s="98">
        <f t="shared" si="34"/>
        <v>169.89</v>
      </c>
      <c r="AS89" s="98">
        <f t="shared" si="9"/>
        <v>0</v>
      </c>
      <c r="AT89" s="98">
        <f t="shared" si="10"/>
        <v>158.29</v>
      </c>
      <c r="AU89" s="98">
        <f t="shared" si="57"/>
        <v>0</v>
      </c>
      <c r="AV89" s="98">
        <f t="array" ref="AV89">_xlfn.IFS(U89=0,AO89,U89&lt;0,AO89/-U89,U89&gt;0,AO89/U89)</f>
        <v>-160.37347544642856</v>
      </c>
      <c r="AW89" s="234">
        <f t="shared" si="42"/>
        <v>0</v>
      </c>
      <c r="AX89" s="234">
        <f t="shared" si="43"/>
        <v>-0.94398419828376345</v>
      </c>
      <c r="AY89" s="99"/>
      <c r="AZ89" s="94">
        <f t="shared" si="13"/>
        <v>-1122.6143281249999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45"/>
        <v>0</v>
      </c>
      <c r="AG90" s="93">
        <v>0</v>
      </c>
      <c r="AH90" s="93"/>
      <c r="AI90" s="93"/>
      <c r="AJ90" s="93"/>
      <c r="AK90" s="93"/>
      <c r="AL90" s="122">
        <f t="shared" si="46"/>
        <v>50.003410714285707</v>
      </c>
      <c r="AM90" s="93">
        <v>0</v>
      </c>
      <c r="AN90" s="94">
        <f t="shared" si="55"/>
        <v>0</v>
      </c>
      <c r="AO90" s="95">
        <f t="shared" si="56"/>
        <v>-50.003410714285707</v>
      </c>
      <c r="AP90" s="96"/>
      <c r="AQ90" s="97">
        <f t="shared" si="7"/>
        <v>0</v>
      </c>
      <c r="AR90" s="98">
        <f t="shared" si="34"/>
        <v>107.88</v>
      </c>
      <c r="AS90" s="98">
        <f t="shared" si="9"/>
        <v>0</v>
      </c>
      <c r="AT90" s="98">
        <f t="shared" si="10"/>
        <v>0</v>
      </c>
      <c r="AU90" s="98">
        <f t="shared" si="57"/>
        <v>0</v>
      </c>
      <c r="AV90" s="98">
        <f t="array" ref="AV90">_xlfn.IFS(U90=0,AO90,U90&lt;0,AO90/-U90,U90&gt;0,AO90/U90)</f>
        <v>-50.003410714285707</v>
      </c>
      <c r="AW90" s="234">
        <f t="shared" si="42"/>
        <v>0</v>
      </c>
      <c r="AX90" s="234">
        <f t="shared" si="43"/>
        <v>-0.46350955426664542</v>
      </c>
      <c r="AY90" s="99"/>
      <c r="AZ90" s="94">
        <f t="shared" si="13"/>
        <v>-2450.1671249999995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32</v>
      </c>
      <c r="F91" s="93">
        <v>3</v>
      </c>
      <c r="G91" s="93">
        <v>1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1"/>
        <v>3002.88</v>
      </c>
      <c r="M91" s="89">
        <v>999</v>
      </c>
      <c r="N91" s="89">
        <v>6</v>
      </c>
      <c r="O91" s="89">
        <v>1075</v>
      </c>
      <c r="P91" s="89">
        <v>0</v>
      </c>
      <c r="Q91" s="233">
        <f t="shared" si="47"/>
        <v>0.8571428571428571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784</v>
      </c>
      <c r="W91" s="93">
        <v>0</v>
      </c>
      <c r="X91" s="92">
        <f t="shared" si="50"/>
        <v>784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0</v>
      </c>
      <c r="AC91" s="234">
        <f t="shared" si="53"/>
        <v>4.9766907314894204E-4</v>
      </c>
      <c r="AD91" s="92">
        <f t="shared" si="54"/>
        <v>93.84</v>
      </c>
      <c r="AE91" s="93">
        <v>410.28999999999996</v>
      </c>
      <c r="AF91" s="234">
        <f t="shared" si="45"/>
        <v>0.38166511627906974</v>
      </c>
      <c r="AG91" s="93">
        <v>504.71</v>
      </c>
      <c r="AH91" s="93"/>
      <c r="AI91" s="93"/>
      <c r="AJ91" s="93"/>
      <c r="AK91" s="93"/>
      <c r="AL91" s="122">
        <f t="shared" si="46"/>
        <v>22.918229910714285</v>
      </c>
      <c r="AM91" s="93">
        <v>0</v>
      </c>
      <c r="AN91" s="94">
        <f t="shared" si="55"/>
        <v>44.766399999999997</v>
      </c>
      <c r="AO91" s="95">
        <f t="shared" si="56"/>
        <v>-1.5246299107142605</v>
      </c>
      <c r="AP91" s="96"/>
      <c r="AQ91" s="97">
        <f t="shared" si="7"/>
        <v>1075</v>
      </c>
      <c r="AR91" s="98">
        <f t="shared" si="34"/>
        <v>93.84</v>
      </c>
      <c r="AS91" s="98">
        <f t="shared" si="9"/>
        <v>410.28999999999996</v>
      </c>
      <c r="AT91" s="98">
        <f t="shared" si="10"/>
        <v>504.71</v>
      </c>
      <c r="AU91" s="98">
        <f t="shared" si="57"/>
        <v>0</v>
      </c>
      <c r="AV91" s="98">
        <f t="array" ref="AV91">_xlfn.IFS(U91=0,AO91,U91&lt;0,AO91/-U91,U91&gt;0,AO91/U91)</f>
        <v>-1.5246299107142605</v>
      </c>
      <c r="AW91" s="234">
        <f t="shared" si="42"/>
        <v>-1.4182603820597772E-3</v>
      </c>
      <c r="AX91" s="234">
        <f t="shared" si="43"/>
        <v>-1.6247121810680526E-2</v>
      </c>
      <c r="AY91" s="99"/>
      <c r="AZ91" s="94">
        <f t="shared" si="13"/>
        <v>-48.788157142856335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46</v>
      </c>
      <c r="F92" s="93">
        <v>2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1"/>
        <v>6415.62</v>
      </c>
      <c r="M92" s="89">
        <v>999</v>
      </c>
      <c r="N92" s="89">
        <v>5</v>
      </c>
      <c r="O92" s="89">
        <v>1250</v>
      </c>
      <c r="P92" s="89">
        <v>25</v>
      </c>
      <c r="Q92" s="233">
        <f t="shared" si="47"/>
        <v>0.7142857142857143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912</v>
      </c>
      <c r="W92" s="93">
        <v>0</v>
      </c>
      <c r="X92" s="92">
        <f t="shared" si="50"/>
        <v>912</v>
      </c>
      <c r="Y92" s="93">
        <v>1250</v>
      </c>
      <c r="Z92" s="93">
        <v>0</v>
      </c>
      <c r="AA92" s="92">
        <f t="shared" si="51"/>
        <v>1250</v>
      </c>
      <c r="AB92" s="92">
        <f t="shared" si="52"/>
        <v>1562.5</v>
      </c>
      <c r="AC92" s="234">
        <f t="shared" si="53"/>
        <v>5.7868496877783962E-4</v>
      </c>
      <c r="AD92" s="92">
        <f t="shared" si="54"/>
        <v>139.47</v>
      </c>
      <c r="AE92" s="93">
        <v>477.11</v>
      </c>
      <c r="AF92" s="234">
        <f t="shared" si="45"/>
        <v>0.38168800000000003</v>
      </c>
      <c r="AG92" s="93">
        <v>418.59</v>
      </c>
      <c r="AH92" s="93"/>
      <c r="AI92" s="93">
        <v>236</v>
      </c>
      <c r="AJ92" s="93">
        <v>359</v>
      </c>
      <c r="AK92" s="93"/>
      <c r="AL92" s="122">
        <f t="shared" si="46"/>
        <v>43.752984374999997</v>
      </c>
      <c r="AM92" s="93">
        <v>0</v>
      </c>
      <c r="AN92" s="94">
        <f t="shared" si="55"/>
        <v>52.075199999999995</v>
      </c>
      <c r="AO92" s="95">
        <f t="shared" si="56"/>
        <v>-475.99818437499999</v>
      </c>
      <c r="AP92" s="96"/>
      <c r="AQ92" s="97">
        <f t="shared" si="7"/>
        <v>1250</v>
      </c>
      <c r="AR92" s="98">
        <f t="shared" si="34"/>
        <v>139.47</v>
      </c>
      <c r="AS92" s="98">
        <f t="shared" si="9"/>
        <v>477.11</v>
      </c>
      <c r="AT92" s="98">
        <f t="shared" si="10"/>
        <v>418.59</v>
      </c>
      <c r="AU92" s="98">
        <f t="shared" si="57"/>
        <v>595</v>
      </c>
      <c r="AV92" s="98">
        <f t="array" ref="AV92">_xlfn.IFS(U92=0,AO92,U92&lt;0,AO92/-U92,U92&gt;0,AO92/U92)</f>
        <v>-475.99818437499999</v>
      </c>
      <c r="AW92" s="234">
        <f t="shared" si="42"/>
        <v>-0.38079854749999997</v>
      </c>
      <c r="AX92" s="234">
        <f t="shared" si="43"/>
        <v>-3.4129073232594824</v>
      </c>
      <c r="AY92" s="99"/>
      <c r="AZ92" s="94">
        <f t="shared" si="13"/>
        <v>-21895.916481249998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>
        <v>1</v>
      </c>
      <c r="G93" s="93" t="s">
        <v>100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7"/>
        <v>0.14285714285714285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45"/>
        <v>0</v>
      </c>
      <c r="AG93" s="93">
        <v>1.81</v>
      </c>
      <c r="AH93" s="93"/>
      <c r="AI93" s="93"/>
      <c r="AJ93" s="93"/>
      <c r="AK93" s="93"/>
      <c r="AL93" s="122">
        <f t="shared" si="46"/>
        <v>39.586033482142852</v>
      </c>
      <c r="AM93" s="93">
        <v>0</v>
      </c>
      <c r="AN93" s="94">
        <f t="shared" si="55"/>
        <v>0</v>
      </c>
      <c r="AO93" s="95">
        <f t="shared" si="56"/>
        <v>-41.396033482142855</v>
      </c>
      <c r="AP93" s="96"/>
      <c r="AQ93" s="97">
        <f t="shared" si="7"/>
        <v>0</v>
      </c>
      <c r="AR93" s="98">
        <f t="shared" si="34"/>
        <v>139.47</v>
      </c>
      <c r="AS93" s="98">
        <f t="shared" si="9"/>
        <v>0</v>
      </c>
      <c r="AT93" s="98">
        <f t="shared" si="10"/>
        <v>1.81</v>
      </c>
      <c r="AU93" s="98">
        <f t="shared" si="57"/>
        <v>0</v>
      </c>
      <c r="AV93" s="98">
        <f t="array" ref="AV93">_xlfn.IFS(U93=0,AO93,U93&lt;0,AO93/-U93,U93&gt;0,AO93/U93)</f>
        <v>-41.396033482142855</v>
      </c>
      <c r="AW93" s="234">
        <f t="shared" si="42"/>
        <v>0</v>
      </c>
      <c r="AX93" s="234">
        <f t="shared" si="43"/>
        <v>-0.29680958974792326</v>
      </c>
      <c r="AY93" s="99"/>
      <c r="AZ93" s="94">
        <f t="shared" si="13"/>
        <v>-1655.8413392857142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4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7"/>
        <v>0</v>
      </c>
      <c r="AR94" s="98">
        <f t="shared" si="34"/>
        <v>400.08</v>
      </c>
      <c r="AS94" s="98">
        <f t="shared" si="9"/>
        <v>0</v>
      </c>
      <c r="AT94" s="98">
        <f t="shared" si="10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4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7"/>
        <v>0</v>
      </c>
      <c r="AR95" s="98">
        <f t="shared" si="34"/>
        <v>400.08</v>
      </c>
      <c r="AS95" s="98">
        <f t="shared" si="9"/>
        <v>0</v>
      </c>
      <c r="AT95" s="98">
        <f t="shared" si="10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4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7"/>
        <v>0</v>
      </c>
      <c r="AR96" s="98">
        <f t="shared" si="34"/>
        <v>300.08</v>
      </c>
      <c r="AS96" s="98">
        <f t="shared" si="9"/>
        <v>0</v>
      </c>
      <c r="AT96" s="98">
        <f t="shared" si="10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>
        <v>1</v>
      </c>
      <c r="G97" s="93">
        <v>1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45"/>
        <v>0</v>
      </c>
      <c r="AG97" s="93">
        <v>79.47</v>
      </c>
      <c r="AH97" s="93"/>
      <c r="AI97" s="93"/>
      <c r="AJ97" s="93"/>
      <c r="AK97" s="93"/>
      <c r="AL97" s="122">
        <f t="shared" si="46"/>
        <v>0</v>
      </c>
      <c r="AM97" s="93">
        <v>0</v>
      </c>
      <c r="AN97" s="94">
        <f t="shared" si="55"/>
        <v>0</v>
      </c>
      <c r="AO97" s="95">
        <f t="shared" si="56"/>
        <v>-79.47</v>
      </c>
      <c r="AP97" s="96"/>
      <c r="AQ97" s="97">
        <f t="shared" si="7"/>
        <v>0</v>
      </c>
      <c r="AR97" s="98">
        <f t="shared" si="34"/>
        <v>400.08</v>
      </c>
      <c r="AS97" s="98">
        <f t="shared" si="9"/>
        <v>0</v>
      </c>
      <c r="AT97" s="98">
        <f t="shared" si="10"/>
        <v>79.47</v>
      </c>
      <c r="AU97" s="98">
        <f t="shared" si="57"/>
        <v>0</v>
      </c>
      <c r="AV97" s="98">
        <f t="array" ref="AV97">_xlfn.IFS(U97=0,AO97,U97&lt;0,AO97/-U97,U97&gt;0,AO97/U97)</f>
        <v>-79.47</v>
      </c>
      <c r="AW97" s="234">
        <f t="shared" si="42"/>
        <v>0</v>
      </c>
      <c r="AX97" s="234">
        <f t="shared" si="43"/>
        <v>-0.19863527294541092</v>
      </c>
      <c r="AY97" s="99"/>
      <c r="AZ97" s="94">
        <f t="shared" si="13"/>
        <v>-158.94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6</v>
      </c>
      <c r="F98" s="93" t="s">
        <v>100</v>
      </c>
      <c r="G98" s="93" t="s">
        <v>100</v>
      </c>
      <c r="H98" s="93">
        <v>6</v>
      </c>
      <c r="I98" s="93">
        <v>0</v>
      </c>
      <c r="J98" s="93">
        <v>0</v>
      </c>
      <c r="K98" s="93">
        <v>300.08</v>
      </c>
      <c r="L98" s="92">
        <f t="shared" si="41"/>
        <v>1800.48</v>
      </c>
      <c r="M98" s="89">
        <v>54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640</v>
      </c>
      <c r="W98" s="93">
        <v>0</v>
      </c>
      <c r="X98" s="92">
        <f t="shared" si="50"/>
        <v>640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4.0646832206955451E-4</v>
      </c>
      <c r="AD98" s="92">
        <f t="shared" si="54"/>
        <v>300.08</v>
      </c>
      <c r="AE98" s="93">
        <v>335.1</v>
      </c>
      <c r="AF98" s="234">
        <f t="shared" si="45"/>
        <v>0.38166287015945333</v>
      </c>
      <c r="AG98" s="93">
        <v>121.34</v>
      </c>
      <c r="AH98" s="93"/>
      <c r="AI98" s="93"/>
      <c r="AJ98" s="93"/>
      <c r="AK98" s="93"/>
      <c r="AL98" s="122">
        <f t="shared" si="46"/>
        <v>6.2504263392857133</v>
      </c>
      <c r="AM98" s="93">
        <v>0</v>
      </c>
      <c r="AN98" s="94">
        <f t="shared" si="55"/>
        <v>36.543999999999997</v>
      </c>
      <c r="AO98" s="95">
        <f t="shared" si="56"/>
        <v>78.68557366071434</v>
      </c>
      <c r="AP98" s="96"/>
      <c r="AQ98" s="97">
        <f t="shared" ref="AQ98:AQ104" si="58">IF(U98=0,0,AA98/U98)</f>
        <v>878</v>
      </c>
      <c r="AR98" s="98">
        <f t="shared" si="34"/>
        <v>300.08</v>
      </c>
      <c r="AS98" s="98">
        <f t="shared" ref="AS98:AS104" si="59">IF(U98=0,0,AE98/U98)</f>
        <v>335.1</v>
      </c>
      <c r="AT98" s="98">
        <f t="shared" ref="AT98:AT104" si="60">IF(S98=0,AG98/1,AG98/S98)</f>
        <v>121.34</v>
      </c>
      <c r="AU98" s="98">
        <f t="shared" si="57"/>
        <v>0</v>
      </c>
      <c r="AV98" s="98">
        <f t="array" ref="AV98">_xlfn.IFS(U98=0,AO98,U98&lt;0,AO98/-U98,U98&gt;0,AO98/U98)</f>
        <v>78.68557366071434</v>
      </c>
      <c r="AW98" s="234">
        <f t="shared" si="42"/>
        <v>8.9619104397168955E-2</v>
      </c>
      <c r="AX98" s="234">
        <f t="shared" si="43"/>
        <v>0.26221532144999449</v>
      </c>
      <c r="AY98" s="99"/>
      <c r="AZ98" s="94">
        <f t="shared" ref="AZ98:AZ104" si="61">AV98*E98</f>
        <v>472.11344196428604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4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4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4" si="64">IF(AQ99=0,0,AV99/AQ99)</f>
        <v>0</v>
      </c>
      <c r="AX99" s="234">
        <f t="shared" ref="AX99:AX104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32</v>
      </c>
      <c r="F100" s="93">
        <v>2</v>
      </c>
      <c r="G100" s="93">
        <v>1</v>
      </c>
      <c r="H100" s="93">
        <v>29</v>
      </c>
      <c r="I100" s="93">
        <v>0</v>
      </c>
      <c r="J100" s="93">
        <v>0</v>
      </c>
      <c r="K100" s="93">
        <v>142.97999999999999</v>
      </c>
      <c r="L100" s="92">
        <f t="shared" si="62"/>
        <v>4575.3599999999997</v>
      </c>
      <c r="M100" s="89">
        <v>190</v>
      </c>
      <c r="N100" s="89">
        <v>3</v>
      </c>
      <c r="O100" s="89">
        <v>1300</v>
      </c>
      <c r="P100" s="89">
        <v>50</v>
      </c>
      <c r="Q100" s="233">
        <f t="shared" si="47"/>
        <v>0.42857142857142855</v>
      </c>
      <c r="R100" s="92">
        <f t="shared" si="48"/>
        <v>0.14285714285714285</v>
      </c>
      <c r="S100" s="93">
        <v>2</v>
      </c>
      <c r="T100" s="93">
        <v>-1</v>
      </c>
      <c r="U100" s="92">
        <f t="shared" si="49"/>
        <v>1</v>
      </c>
      <c r="V100" s="93">
        <v>1826</v>
      </c>
      <c r="W100" s="93">
        <v>-834</v>
      </c>
      <c r="X100" s="92">
        <f t="shared" si="50"/>
        <v>992</v>
      </c>
      <c r="Y100" s="93">
        <v>2600</v>
      </c>
      <c r="Z100" s="93">
        <v>-1300</v>
      </c>
      <c r="AA100" s="92">
        <f t="shared" si="51"/>
        <v>1300</v>
      </c>
      <c r="AB100" s="92">
        <f t="shared" si="52"/>
        <v>1950</v>
      </c>
      <c r="AC100" s="234">
        <f t="shared" si="53"/>
        <v>6.0183236752895319E-4</v>
      </c>
      <c r="AD100" s="92">
        <f t="shared" si="54"/>
        <v>142.97999999999999</v>
      </c>
      <c r="AE100" s="93">
        <v>505.7700000000001</v>
      </c>
      <c r="AF100" s="234">
        <f t="shared" si="45"/>
        <v>0.38905384615384625</v>
      </c>
      <c r="AG100" s="93">
        <v>314.08000000000004</v>
      </c>
      <c r="AH100" s="93"/>
      <c r="AI100" s="93"/>
      <c r="AJ100" s="93"/>
      <c r="AK100" s="93"/>
      <c r="AL100" s="122">
        <f t="shared" si="46"/>
        <v>30.210393973214288</v>
      </c>
      <c r="AM100" s="93">
        <v>0</v>
      </c>
      <c r="AN100" s="94">
        <f t="shared" si="55"/>
        <v>56.6432</v>
      </c>
      <c r="AO100" s="95">
        <f t="shared" si="56"/>
        <v>250.31640602678553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505.7700000000001</v>
      </c>
      <c r="AT100" s="98">
        <f t="shared" si="60"/>
        <v>157.04000000000002</v>
      </c>
      <c r="AU100" s="98">
        <f t="shared" si="57"/>
        <v>0</v>
      </c>
      <c r="AV100" s="98">
        <f t="array" ref="AV100">_xlfn.IFS(U100=0,AO100,U100&lt;0,AO100/-U100,U100&gt;0,AO100/U100)</f>
        <v>250.31640602678553</v>
      </c>
      <c r="AW100" s="234">
        <f t="shared" si="64"/>
        <v>0.19255108155906578</v>
      </c>
      <c r="AX100" s="234">
        <f t="shared" si="65"/>
        <v>1.7507092322477658</v>
      </c>
      <c r="AY100" s="99"/>
      <c r="AZ100" s="94">
        <f t="shared" si="61"/>
        <v>8010.1249928571369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4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122</v>
      </c>
      <c r="F102" s="93">
        <v>5</v>
      </c>
      <c r="G102" s="93">
        <v>1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2"/>
        <v>15016.98</v>
      </c>
      <c r="M102" s="89">
        <v>999</v>
      </c>
      <c r="N102" s="89">
        <v>8</v>
      </c>
      <c r="O102" s="89">
        <v>1300</v>
      </c>
      <c r="P102" s="89">
        <v>0</v>
      </c>
      <c r="Q102" s="233">
        <f t="shared" si="47"/>
        <v>1.1428571428571428</v>
      </c>
      <c r="R102" s="92">
        <f t="shared" si="48"/>
        <v>0.2857142857142857</v>
      </c>
      <c r="S102" s="93">
        <v>2</v>
      </c>
      <c r="T102" s="93">
        <v>0</v>
      </c>
      <c r="U102" s="92">
        <f t="shared" si="49"/>
        <v>2</v>
      </c>
      <c r="V102" s="93">
        <v>1802</v>
      </c>
      <c r="W102" s="93">
        <v>0</v>
      </c>
      <c r="X102" s="92">
        <f t="shared" si="50"/>
        <v>1802</v>
      </c>
      <c r="Y102" s="93">
        <v>2600</v>
      </c>
      <c r="Z102" s="93">
        <v>0</v>
      </c>
      <c r="AA102" s="92">
        <f t="shared" si="51"/>
        <v>2600</v>
      </c>
      <c r="AB102" s="92">
        <f t="shared" si="52"/>
        <v>0</v>
      </c>
      <c r="AC102" s="234">
        <f t="shared" si="53"/>
        <v>1.2036647350579064E-3</v>
      </c>
      <c r="AD102" s="92">
        <f t="shared" si="54"/>
        <v>246.18</v>
      </c>
      <c r="AE102" s="93">
        <v>988.57999999999993</v>
      </c>
      <c r="AF102" s="234">
        <f t="shared" si="45"/>
        <v>0.38022307692307689</v>
      </c>
      <c r="AG102" s="93">
        <v>559.78999999999985</v>
      </c>
      <c r="AH102" s="93"/>
      <c r="AI102" s="93"/>
      <c r="AJ102" s="93"/>
      <c r="AK102" s="93"/>
      <c r="AL102" s="122">
        <f t="shared" si="46"/>
        <v>120.84157589285715</v>
      </c>
      <c r="AM102" s="93">
        <v>0</v>
      </c>
      <c r="AN102" s="94">
        <f t="shared" si="55"/>
        <v>102.8942</v>
      </c>
      <c r="AO102" s="95">
        <f t="shared" si="56"/>
        <v>581.71422410714331</v>
      </c>
      <c r="AP102" s="96"/>
      <c r="AQ102" s="97">
        <f t="shared" si="58"/>
        <v>1300</v>
      </c>
      <c r="AR102" s="98">
        <f t="shared" si="63"/>
        <v>123.09</v>
      </c>
      <c r="AS102" s="98">
        <f t="shared" si="59"/>
        <v>494.28999999999996</v>
      </c>
      <c r="AT102" s="98">
        <f t="shared" si="60"/>
        <v>279.89499999999992</v>
      </c>
      <c r="AU102" s="98">
        <f t="shared" si="57"/>
        <v>0</v>
      </c>
      <c r="AV102" s="98">
        <f t="array" ref="AV102">_xlfn.IFS(U102=0,AO102,U102&lt;0,AO102/-U102,U102&gt;0,AO102/U102)</f>
        <v>290.85711205357165</v>
      </c>
      <c r="AW102" s="234">
        <f t="shared" si="64"/>
        <v>0.22373624004120896</v>
      </c>
      <c r="AX102" s="234">
        <f t="shared" si="65"/>
        <v>2.3629629706196411</v>
      </c>
      <c r="AY102" s="99"/>
      <c r="AZ102" s="94">
        <f t="shared" si="61"/>
        <v>35484.56767053574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4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4"/>
        <v>290</v>
      </c>
      <c r="F104" s="93">
        <v>26</v>
      </c>
      <c r="G104" s="93">
        <v>3</v>
      </c>
      <c r="H104" s="93">
        <v>61</v>
      </c>
      <c r="I104" s="93">
        <v>0</v>
      </c>
      <c r="J104" s="93">
        <v>200</v>
      </c>
      <c r="K104" s="93">
        <v>142.97999999999999</v>
      </c>
      <c r="L104" s="93">
        <f t="shared" si="62"/>
        <v>41464.199999999997</v>
      </c>
      <c r="M104" s="500">
        <v>42</v>
      </c>
      <c r="N104" s="500">
        <v>38</v>
      </c>
      <c r="O104" s="500">
        <v>1962</v>
      </c>
      <c r="P104" s="500">
        <v>92</v>
      </c>
      <c r="Q104" s="242">
        <f t="shared" si="47"/>
        <v>5.4285714285714288</v>
      </c>
      <c r="R104" s="93">
        <f t="shared" si="48"/>
        <v>2.1428571428571428</v>
      </c>
      <c r="S104" s="93">
        <v>15</v>
      </c>
      <c r="T104" s="93">
        <v>0</v>
      </c>
      <c r="U104" s="92">
        <f t="shared" si="49"/>
        <v>15</v>
      </c>
      <c r="V104" s="93">
        <v>27765.88</v>
      </c>
      <c r="W104" s="93">
        <v>0</v>
      </c>
      <c r="X104" s="92">
        <f t="shared" si="50"/>
        <v>27765.88</v>
      </c>
      <c r="Y104" s="93">
        <v>29799.87</v>
      </c>
      <c r="Z104" s="93">
        <v>0</v>
      </c>
      <c r="AA104" s="92">
        <f t="shared" si="51"/>
        <v>29799.87</v>
      </c>
      <c r="AB104" s="92">
        <f t="shared" si="52"/>
        <v>68591.520000000004</v>
      </c>
      <c r="AC104" s="234">
        <f t="shared" si="53"/>
        <v>1.3795789472426942E-2</v>
      </c>
      <c r="AD104" s="92">
        <f t="shared" si="54"/>
        <v>2144.6999999999998</v>
      </c>
      <c r="AE104" s="93">
        <v>4925.7400000000052</v>
      </c>
      <c r="AF104" s="243">
        <f t="shared" si="45"/>
        <v>0.16529400967185445</v>
      </c>
      <c r="AG104" s="93">
        <v>717.34</v>
      </c>
      <c r="AH104" s="93"/>
      <c r="AI104" s="93">
        <v>211</v>
      </c>
      <c r="AJ104" s="93">
        <v>6930</v>
      </c>
      <c r="AK104" s="93"/>
      <c r="AL104" s="122">
        <f t="shared" si="46"/>
        <v>63.546001116071423</v>
      </c>
      <c r="AM104" s="93">
        <v>0</v>
      </c>
      <c r="AN104" s="123">
        <f t="shared" si="55"/>
        <v>1585.431748</v>
      </c>
      <c r="AO104" s="95">
        <f t="shared" si="56"/>
        <v>13222.112250883922</v>
      </c>
      <c r="AP104" s="123"/>
      <c r="AQ104" s="502">
        <f t="shared" si="58"/>
        <v>1986.6579999999999</v>
      </c>
      <c r="AR104" s="503">
        <f t="shared" si="63"/>
        <v>142.97999999999999</v>
      </c>
      <c r="AS104" s="503">
        <f t="shared" si="59"/>
        <v>328.38266666666703</v>
      </c>
      <c r="AT104" s="503">
        <f t="shared" si="60"/>
        <v>47.82266666666667</v>
      </c>
      <c r="AU104" s="503">
        <f t="shared" si="57"/>
        <v>476.06666666666666</v>
      </c>
      <c r="AV104" s="503">
        <f t="array" ref="AV104">_xlfn.IFS(U104=0,AO104,U104&lt;0,AO104/-U104,U104&gt;0,AO104/U104)</f>
        <v>881.4741500589281</v>
      </c>
      <c r="AW104" s="243">
        <f t="shared" si="64"/>
        <v>0.44369697756681226</v>
      </c>
      <c r="AX104" s="243">
        <f t="shared" si="65"/>
        <v>6.1650171356758161</v>
      </c>
      <c r="AY104" s="504"/>
      <c r="AZ104" s="123">
        <f t="shared" si="61"/>
        <v>255627.50351708915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6">AVERAGE(AQ7:AQ98)</f>
        <v>524.25433348107401</v>
      </c>
      <c r="AR105" s="111">
        <f t="shared" si="66"/>
        <v>141.22217391304349</v>
      </c>
      <c r="AS105" s="111">
        <f t="shared" si="66"/>
        <v>194.31942359332353</v>
      </c>
      <c r="AT105" s="111">
        <f t="shared" si="66"/>
        <v>107.02195535763131</v>
      </c>
      <c r="AU105" s="111">
        <f t="shared" si="66"/>
        <v>80.015090187241285</v>
      </c>
      <c r="AV105" s="111">
        <f t="shared" si="66"/>
        <v>8.3909591481215209</v>
      </c>
      <c r="AW105" s="112">
        <f t="shared" si="66"/>
        <v>4.5209177253049772E-2</v>
      </c>
      <c r="AX105" s="112">
        <f t="shared" si="66"/>
        <v>8.6089459347083896E-2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7">SUM(E3:E104)</f>
        <v>60317</v>
      </c>
      <c r="F106" s="116">
        <f t="shared" si="67"/>
        <v>2018</v>
      </c>
      <c r="G106" s="116">
        <f t="shared" si="67"/>
        <v>523</v>
      </c>
      <c r="H106" s="116">
        <f t="shared" si="67"/>
        <v>8960</v>
      </c>
      <c r="I106" s="116">
        <f t="shared" si="67"/>
        <v>1461</v>
      </c>
      <c r="J106" s="116">
        <f t="shared" si="67"/>
        <v>47355</v>
      </c>
      <c r="K106" s="116"/>
      <c r="L106" s="116">
        <f>SUM(L3:L104)</f>
        <v>7476750.2700000042</v>
      </c>
      <c r="M106" s="116"/>
      <c r="N106" s="116">
        <f>SUM(N3:N104)</f>
        <v>2848</v>
      </c>
      <c r="O106" s="116"/>
      <c r="P106" s="116"/>
      <c r="Q106" s="294">
        <f>SUM(Q3:Q104)</f>
        <v>406.85714285714306</v>
      </c>
      <c r="R106" s="116"/>
      <c r="S106" s="116">
        <f t="shared" ref="S106:AE106" si="68">SUM(S3:S104)</f>
        <v>1619</v>
      </c>
      <c r="T106" s="116">
        <f t="shared" si="68"/>
        <v>-25</v>
      </c>
      <c r="U106" s="116">
        <f t="shared" si="68"/>
        <v>1594</v>
      </c>
      <c r="V106" s="116">
        <f t="shared" si="68"/>
        <v>1568485.2099999993</v>
      </c>
      <c r="W106" s="116">
        <f t="shared" si="68"/>
        <v>-24497.18</v>
      </c>
      <c r="X106" s="116">
        <f t="shared" si="68"/>
        <v>1543988.0299999996</v>
      </c>
      <c r="Y106" s="116">
        <f t="shared" si="68"/>
        <v>2195247.4699999997</v>
      </c>
      <c r="Z106" s="116">
        <f t="shared" si="68"/>
        <v>-35177.54</v>
      </c>
      <c r="AA106" s="116">
        <f t="shared" si="68"/>
        <v>2160069.9299999997</v>
      </c>
      <c r="AB106" s="116">
        <f t="shared" si="68"/>
        <v>2300693.7999999993</v>
      </c>
      <c r="AC106" s="239">
        <f t="shared" si="68"/>
        <v>1.0000000000000004</v>
      </c>
      <c r="AD106" s="117">
        <f t="shared" si="68"/>
        <v>198027.46999999997</v>
      </c>
      <c r="AE106" s="116">
        <f t="shared" si="68"/>
        <v>811495.47</v>
      </c>
      <c r="AF106" s="239">
        <f>AE106/AA106</f>
        <v>0.37568018457624658</v>
      </c>
      <c r="AG106" s="116">
        <f t="shared" ref="AG106:AO106" si="69">SUM(AG3:AG104)</f>
        <v>200716.59000000008</v>
      </c>
      <c r="AH106" s="117">
        <f t="shared" si="69"/>
        <v>977</v>
      </c>
      <c r="AI106" s="117">
        <f t="shared" si="69"/>
        <v>26624</v>
      </c>
      <c r="AJ106" s="117">
        <f t="shared" si="69"/>
        <v>194266</v>
      </c>
      <c r="AK106" s="117">
        <f t="shared" si="69"/>
        <v>0</v>
      </c>
      <c r="AL106" s="117">
        <f t="shared" si="69"/>
        <v>9333.9700000000103</v>
      </c>
      <c r="AM106" s="116">
        <f t="shared" si="69"/>
        <v>1585</v>
      </c>
      <c r="AN106" s="117">
        <f t="shared" si="69"/>
        <v>88161.716512999992</v>
      </c>
      <c r="AO106" s="117">
        <f t="shared" si="69"/>
        <v>628882.71348699997</v>
      </c>
      <c r="AP106" s="118"/>
      <c r="AQ106" s="116"/>
      <c r="AR106" s="116"/>
      <c r="AS106" s="116"/>
      <c r="AT106" s="116"/>
      <c r="AU106" s="240">
        <f>(AH106+AI106+AJ106)/S106</f>
        <v>137.03953057442865</v>
      </c>
      <c r="AV106" s="116"/>
      <c r="AW106" s="116"/>
      <c r="AX106" s="116"/>
      <c r="AY106" s="119"/>
      <c r="AZ106" s="116">
        <f>SUM(AZ3:AZ104)</f>
        <v>22072649.816669494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91"/>
      <c r="AI107" s="591"/>
      <c r="AJ107" s="487"/>
      <c r="AK107" s="48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87"/>
      <c r="AI113" s="487"/>
      <c r="AJ113" s="487"/>
      <c r="AK113" s="48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0">AVERAGE(AS108:AS112)</f>
        <v>#DIV/0!</v>
      </c>
      <c r="AT113" s="245" t="e">
        <f t="shared" si="70"/>
        <v>#DIV/0!</v>
      </c>
      <c r="AU113" s="245" t="e">
        <f t="shared" si="70"/>
        <v>#DIV/0!</v>
      </c>
      <c r="AV113" s="245" t="e">
        <f t="shared" si="70"/>
        <v>#DIV/0!</v>
      </c>
      <c r="AW113" s="246" t="e">
        <f t="shared" si="70"/>
        <v>#DIV/0!</v>
      </c>
      <c r="AX113" s="246" t="e">
        <f t="shared" si="70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1">SUM(E108:E112)</f>
        <v>0</v>
      </c>
      <c r="F114" s="249">
        <f t="shared" si="71"/>
        <v>0</v>
      </c>
      <c r="G114" s="249">
        <f t="shared" si="71"/>
        <v>0</v>
      </c>
      <c r="H114" s="249">
        <f t="shared" si="71"/>
        <v>0</v>
      </c>
      <c r="I114" s="249">
        <f t="shared" si="71"/>
        <v>0</v>
      </c>
      <c r="J114" s="249">
        <f t="shared" si="71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2">SUM(S108:S112)</f>
        <v>0</v>
      </c>
      <c r="T114" s="249">
        <f t="shared" si="72"/>
        <v>0</v>
      </c>
      <c r="U114" s="249">
        <f t="shared" si="72"/>
        <v>0</v>
      </c>
      <c r="V114" s="249">
        <f t="shared" si="72"/>
        <v>0</v>
      </c>
      <c r="W114" s="249">
        <f t="shared" si="72"/>
        <v>0</v>
      </c>
      <c r="X114" s="249">
        <f t="shared" si="72"/>
        <v>0</v>
      </c>
      <c r="Y114" s="249">
        <f t="shared" si="72"/>
        <v>0</v>
      </c>
      <c r="Z114" s="249">
        <f t="shared" si="72"/>
        <v>0</v>
      </c>
      <c r="AA114" s="249">
        <f t="shared" si="72"/>
        <v>0</v>
      </c>
      <c r="AB114" s="249">
        <f t="shared" si="72"/>
        <v>0</v>
      </c>
      <c r="AC114" s="252">
        <f t="shared" si="72"/>
        <v>0</v>
      </c>
      <c r="AD114" s="253">
        <f t="shared" si="72"/>
        <v>0</v>
      </c>
      <c r="AE114" s="249">
        <f t="shared" si="72"/>
        <v>0</v>
      </c>
      <c r="AF114" s="252" t="e">
        <f>AE114/AA114</f>
        <v>#DIV/0!</v>
      </c>
      <c r="AG114" s="249">
        <f t="shared" ref="AG114:AO114" si="73">SUM(AG108:AG112)</f>
        <v>0</v>
      </c>
      <c r="AH114" s="253">
        <f t="shared" si="73"/>
        <v>0</v>
      </c>
      <c r="AI114" s="253">
        <f t="shared" si="73"/>
        <v>0</v>
      </c>
      <c r="AJ114" s="253">
        <f t="shared" si="73"/>
        <v>0</v>
      </c>
      <c r="AK114" s="253">
        <f t="shared" si="73"/>
        <v>0</v>
      </c>
      <c r="AL114" s="253">
        <f t="shared" si="73"/>
        <v>0</v>
      </c>
      <c r="AM114" s="249">
        <f t="shared" si="73"/>
        <v>0</v>
      </c>
      <c r="AN114" s="253">
        <f t="shared" si="73"/>
        <v>0</v>
      </c>
      <c r="AO114" s="253">
        <f t="shared" si="73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92"/>
      <c r="AI115" s="593"/>
      <c r="AJ115" s="48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4">AVERAGE(AQ116:AQ123)</f>
        <v>#DIV/0!</v>
      </c>
      <c r="AR124" s="130" t="e">
        <f t="shared" si="74"/>
        <v>#DIV/0!</v>
      </c>
      <c r="AS124" s="130" t="e">
        <f t="shared" si="74"/>
        <v>#DIV/0!</v>
      </c>
      <c r="AT124" s="130" t="e">
        <f t="shared" si="74"/>
        <v>#DIV/0!</v>
      </c>
      <c r="AU124" s="130" t="e">
        <f t="shared" si="74"/>
        <v>#DIV/0!</v>
      </c>
      <c r="AV124" s="130" t="e">
        <f t="shared" si="74"/>
        <v>#DIV/0!</v>
      </c>
      <c r="AW124" s="131" t="e">
        <f t="shared" si="74"/>
        <v>#DIV/0!</v>
      </c>
      <c r="AX124" s="131" t="e">
        <f t="shared" si="74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5">SUM(E116:E123)</f>
        <v>0</v>
      </c>
      <c r="F125" s="134">
        <f t="shared" si="75"/>
        <v>0</v>
      </c>
      <c r="G125" s="134">
        <f t="shared" si="75"/>
        <v>0</v>
      </c>
      <c r="H125" s="134">
        <f t="shared" si="75"/>
        <v>0</v>
      </c>
      <c r="I125" s="134">
        <f t="shared" si="75"/>
        <v>0</v>
      </c>
      <c r="J125" s="134">
        <f t="shared" si="75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6">SUM(S116:S123)</f>
        <v>0</v>
      </c>
      <c r="T125" s="134">
        <f t="shared" si="76"/>
        <v>0</v>
      </c>
      <c r="U125" s="134">
        <f t="shared" si="76"/>
        <v>0</v>
      </c>
      <c r="V125" s="134">
        <f t="shared" si="76"/>
        <v>0</v>
      </c>
      <c r="W125" s="134">
        <f t="shared" si="76"/>
        <v>0</v>
      </c>
      <c r="X125" s="134">
        <f t="shared" si="76"/>
        <v>0</v>
      </c>
      <c r="Y125" s="134">
        <f t="shared" si="76"/>
        <v>0</v>
      </c>
      <c r="Z125" s="134">
        <f t="shared" si="76"/>
        <v>0</v>
      </c>
      <c r="AA125" s="134">
        <f t="shared" si="76"/>
        <v>0</v>
      </c>
      <c r="AB125" s="134">
        <f t="shared" si="76"/>
        <v>0</v>
      </c>
      <c r="AC125" s="265">
        <f t="shared" si="76"/>
        <v>0</v>
      </c>
      <c r="AD125" s="135">
        <f t="shared" si="76"/>
        <v>0</v>
      </c>
      <c r="AE125" s="134">
        <f t="shared" si="76"/>
        <v>0</v>
      </c>
      <c r="AF125" s="265" t="e">
        <f>AE125/AA125</f>
        <v>#DIV/0!</v>
      </c>
      <c r="AG125" s="134">
        <f t="shared" ref="AG125:AO125" si="77">SUM(AG116:AG123)</f>
        <v>0</v>
      </c>
      <c r="AH125" s="134">
        <f t="shared" si="77"/>
        <v>0</v>
      </c>
      <c r="AI125" s="134">
        <f t="shared" si="77"/>
        <v>0</v>
      </c>
      <c r="AJ125" s="134">
        <f t="shared" si="77"/>
        <v>0</v>
      </c>
      <c r="AK125" s="134">
        <f t="shared" si="77"/>
        <v>0</v>
      </c>
      <c r="AL125" s="136">
        <f t="shared" si="77"/>
        <v>0</v>
      </c>
      <c r="AM125" s="134">
        <f t="shared" si="77"/>
        <v>0</v>
      </c>
      <c r="AN125" s="134">
        <f t="shared" si="77"/>
        <v>0</v>
      </c>
      <c r="AO125" s="134">
        <f t="shared" si="77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53802</v>
      </c>
      <c r="F126" s="431">
        <f>SUM(F3:F18)+F28+F45+F47+F48+F49+F50</f>
        <v>1843</v>
      </c>
      <c r="G126" s="431">
        <f t="shared" ref="G126:AO126" si="78">SUM(G3:G18)+G28+G45+G47+G48+G49+G50</f>
        <v>468</v>
      </c>
      <c r="H126" s="431">
        <f t="shared" si="78"/>
        <v>6932</v>
      </c>
      <c r="I126" s="431">
        <f t="shared" si="78"/>
        <v>13</v>
      </c>
      <c r="J126" s="431">
        <f t="shared" si="78"/>
        <v>44546</v>
      </c>
      <c r="K126" s="431"/>
      <c r="L126" s="431">
        <f t="shared" si="78"/>
        <v>6632185.1399999987</v>
      </c>
      <c r="M126" s="431">
        <f t="shared" si="78"/>
        <v>1627</v>
      </c>
      <c r="N126" s="431">
        <f t="shared" si="78"/>
        <v>2619</v>
      </c>
      <c r="O126" s="431"/>
      <c r="P126" s="431"/>
      <c r="Q126" s="483">
        <f t="shared" si="78"/>
        <v>374.14285714285717</v>
      </c>
      <c r="R126" s="483">
        <f t="shared" si="78"/>
        <v>216.71428571428569</v>
      </c>
      <c r="S126" s="431">
        <f t="shared" si="78"/>
        <v>1536</v>
      </c>
      <c r="T126" s="431">
        <f>SUM(T3:T18)+T28+T45+T47+T48+T49+T50</f>
        <v>-19</v>
      </c>
      <c r="U126" s="431">
        <f t="shared" si="78"/>
        <v>1517</v>
      </c>
      <c r="V126" s="431">
        <f t="shared" si="78"/>
        <v>1484555.9699999995</v>
      </c>
      <c r="W126" s="431">
        <f t="shared" si="78"/>
        <v>-19493.18</v>
      </c>
      <c r="X126" s="431">
        <f t="shared" si="78"/>
        <v>1465062.7899999998</v>
      </c>
      <c r="Y126" s="431">
        <f t="shared" si="78"/>
        <v>2086963.8199999998</v>
      </c>
      <c r="Z126" s="431">
        <f t="shared" si="78"/>
        <v>-27710.54</v>
      </c>
      <c r="AA126" s="431">
        <f t="shared" si="78"/>
        <v>2059253.2799999998</v>
      </c>
      <c r="AB126" s="431">
        <f t="shared" si="78"/>
        <v>2152911.3699999996</v>
      </c>
      <c r="AC126" s="434">
        <f t="shared" si="78"/>
        <v>0.95332713603397101</v>
      </c>
      <c r="AD126" s="435">
        <f t="shared" si="78"/>
        <v>187888.16999999998</v>
      </c>
      <c r="AE126" s="431">
        <f t="shared" si="78"/>
        <v>779957.46000000008</v>
      </c>
      <c r="AF126" s="434">
        <f t="shared" ref="AF126" si="79">AE126/AA126</f>
        <v>0.37875742026255271</v>
      </c>
      <c r="AG126" s="431">
        <f t="shared" si="78"/>
        <v>184328.48000000004</v>
      </c>
      <c r="AH126" s="435">
        <f t="shared" si="78"/>
        <v>440</v>
      </c>
      <c r="AI126" s="435">
        <f t="shared" si="78"/>
        <v>22859</v>
      </c>
      <c r="AJ126" s="435">
        <f t="shared" si="78"/>
        <v>179991</v>
      </c>
      <c r="AK126" s="435">
        <f t="shared" si="78"/>
        <v>0</v>
      </c>
      <c r="AL126" s="435">
        <f t="shared" si="78"/>
        <v>7221.3258973214261</v>
      </c>
      <c r="AM126" s="431">
        <f t="shared" si="78"/>
        <v>1495</v>
      </c>
      <c r="AN126" s="435">
        <f t="shared" si="78"/>
        <v>83655.085309000002</v>
      </c>
      <c r="AO126" s="435">
        <f t="shared" si="78"/>
        <v>611417.75879367848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0">E106+E114+E125</f>
        <v>60317</v>
      </c>
      <c r="F127" s="267">
        <f>F106+F114+F125</f>
        <v>2018</v>
      </c>
      <c r="G127" s="267">
        <f t="shared" si="80"/>
        <v>523</v>
      </c>
      <c r="H127" s="267">
        <f t="shared" si="80"/>
        <v>8960</v>
      </c>
      <c r="I127" s="267">
        <f t="shared" si="80"/>
        <v>1461</v>
      </c>
      <c r="J127" s="267">
        <f t="shared" si="80"/>
        <v>47355</v>
      </c>
      <c r="K127" s="267">
        <f t="shared" si="80"/>
        <v>0</v>
      </c>
      <c r="L127" s="267">
        <f t="shared" si="80"/>
        <v>7476750.2700000042</v>
      </c>
      <c r="M127" s="267">
        <f t="shared" si="80"/>
        <v>0</v>
      </c>
      <c r="N127" s="267">
        <f t="shared" si="80"/>
        <v>2848</v>
      </c>
      <c r="O127" s="267">
        <f t="shared" si="80"/>
        <v>0</v>
      </c>
      <c r="P127" s="267">
        <f t="shared" si="80"/>
        <v>0</v>
      </c>
      <c r="Q127" s="215">
        <f t="shared" si="80"/>
        <v>406.85714285714306</v>
      </c>
      <c r="R127" s="267">
        <f t="shared" si="80"/>
        <v>0</v>
      </c>
      <c r="S127" s="267">
        <f t="shared" si="80"/>
        <v>1619</v>
      </c>
      <c r="T127" s="267">
        <f t="shared" si="80"/>
        <v>-25</v>
      </c>
      <c r="U127" s="267">
        <f t="shared" si="80"/>
        <v>1594</v>
      </c>
      <c r="V127" s="267">
        <f t="shared" si="80"/>
        <v>1568485.2099999993</v>
      </c>
      <c r="W127" s="267">
        <f t="shared" si="80"/>
        <v>-24497.18</v>
      </c>
      <c r="X127" s="267">
        <f t="shared" si="80"/>
        <v>1543988.0299999996</v>
      </c>
      <c r="Y127" s="267">
        <f t="shared" si="80"/>
        <v>2195247.4699999997</v>
      </c>
      <c r="Z127" s="267">
        <f t="shared" si="80"/>
        <v>-35177.54</v>
      </c>
      <c r="AA127" s="267">
        <f t="shared" si="80"/>
        <v>2160069.9299999997</v>
      </c>
      <c r="AB127" s="267">
        <f t="shared" si="80"/>
        <v>2300693.7999999993</v>
      </c>
      <c r="AC127" s="267">
        <f t="shared" si="80"/>
        <v>1.0000000000000004</v>
      </c>
      <c r="AD127" s="267">
        <f t="shared" si="80"/>
        <v>198027.46999999997</v>
      </c>
      <c r="AE127" s="267">
        <f t="shared" si="80"/>
        <v>811495.47</v>
      </c>
      <c r="AF127" s="268">
        <f>AE127/AA127</f>
        <v>0.37568018457624658</v>
      </c>
      <c r="AG127" s="267">
        <f>AG106+AG114+AG125+AG126</f>
        <v>385045.07000000012</v>
      </c>
      <c r="AH127" s="267">
        <f>AH106+AH114+AH125</f>
        <v>977</v>
      </c>
      <c r="AI127" s="267">
        <f>AI106+AI114+AI125</f>
        <v>26624</v>
      </c>
      <c r="AJ127" s="267">
        <f>AJ106+AJ114+AJ125</f>
        <v>194266</v>
      </c>
      <c r="AK127" s="267">
        <f>AK106+AK114+AK125</f>
        <v>0</v>
      </c>
      <c r="AL127" s="156">
        <v>9333.9699999999993</v>
      </c>
      <c r="AM127" s="267">
        <f>AM106+AM114+AM125</f>
        <v>1585</v>
      </c>
      <c r="AN127" s="267">
        <f>AN106+AN114+AN125</f>
        <v>88161.716512999992</v>
      </c>
      <c r="AO127" s="267">
        <f>AO106+AO114+AO125</f>
        <v>628882.71348699997</v>
      </c>
      <c r="AP127" s="155"/>
      <c r="AQ127" s="155"/>
      <c r="AR127" s="155"/>
      <c r="AS127" s="155"/>
      <c r="AT127" s="155"/>
      <c r="AU127" s="155">
        <f>(AH127+AI127)/S127</f>
        <v>17.048177887584927</v>
      </c>
      <c r="AV127" s="155"/>
      <c r="AW127" s="155"/>
      <c r="AX127" s="155"/>
      <c r="AY127" s="157"/>
      <c r="AZ127" s="155">
        <f>AZ106+AZ125</f>
        <v>22072649.816669494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89"/>
      <c r="AK128" s="48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2" priority="15" operator="greaterThan">
      <formula>0.23</formula>
    </cfRule>
  </conditionalFormatting>
  <conditionalFormatting sqref="M124:O124 M107:M113 M3:M105">
    <cfRule type="cellIs" dxfId="111" priority="26" operator="greaterThan">
      <formula>120</formula>
    </cfRule>
  </conditionalFormatting>
  <conditionalFormatting sqref="AC128">
    <cfRule type="cellIs" dxfId="110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{9D38E47F-5313-48C3-870B-E3EF1B4BC876}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{869A4B96-4888-45EC-9A2F-A8BDD23EA88E}</x14:id>
        </ext>
      </extLst>
    </cfRule>
  </conditionalFormatting>
  <conditionalFormatting sqref="AC1">
    <cfRule type="cellIs" dxfId="109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{29D5E3A0-EDAD-47E3-9C19-F6089773D179}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{25CD75E0-C964-4489-8486-3CD1795B30B8}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{E74D0402-1C9E-4336-8552-31B70CA7EDF3}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{8E62EE56-B812-458E-828D-DF9AACF033B4}</x14:id>
        </ext>
      </extLst>
    </cfRule>
  </conditionalFormatting>
  <conditionalFormatting sqref="Q124">
    <cfRule type="cellIs" dxfId="10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{DC5DDD58-061E-4AD8-B22B-93148008CCA8}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{9B7799C5-8776-4EE6-825E-48F408B099CF}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{F378CDAD-8B90-452B-832C-F5BEA292D944}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{F9915668-C7D4-4B86-92F3-3C93FF73FF94}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{6EE4B18E-4822-46EC-83F8-63077D7BD638}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{835ACDBF-8DD8-4ED4-8D27-5FA5F4418AED}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{865E9493-563B-4310-97B3-55F954E8C395}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{B9413339-ADFB-4F72-A0F5-7F6F11D74CD4}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{A75ADDDF-27B2-4698-BDB3-1953A5B32861}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{4EF3A6AE-E3F9-4D29-88DE-116C07FAC9E2}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{A51E4847-3B66-4C02-83DC-F4EE34366781}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{8E2E410E-96DF-4413-BE30-223283B43C7C}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{AD6E5C5B-3D0F-4A54-ACAF-2B5CE07889AD}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{5AD7C39D-DB42-427B-AA07-462B89D12E25}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{6034DDBF-7703-4EB3-B096-5306AD0A04B6}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{823F828E-FDA7-41CB-86D3-B41C5081A450}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{8F74E171-0EC3-4F1E-9FD0-7D0F45A287B8}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{A78A011D-8EAC-44F9-ABD9-B278DB0356AE}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{F0D70B22-2172-42B9-9BA2-AF1E5664E2EF}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{7B6CF4DD-43F1-4381-B62C-59E6BFEF23B0}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{008A023F-ABEF-44BE-A8EC-312404858E61}</x14:id>
        </ext>
      </extLst>
    </cfRule>
  </conditionalFormatting>
  <conditionalFormatting sqref="M116:M123">
    <cfRule type="cellIs" dxfId="107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{BC808660-DD91-4C57-9B9E-F60B32143F79}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{549D7F86-7FD6-4B44-AF41-2740852DFFF1}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{2BAD5E85-DEAF-4968-BC96-8D4EAAA1E334}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{8956CE7E-E24A-4726-B2DC-358410B5A90C}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{789508D6-8CB8-482F-9364-C25841C6BDFF}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{2F3C470E-36BC-4C1E-AA50-B4892C123083}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8E47F-5313-48C3-870B-E3EF1B4BC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869A4B96-4888-45EC-9A2F-A8BDD23EA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29D5E3A0-EDAD-47E3-9C19-F6089773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25CD75E0-C964-4489-8486-3CD1795B3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74D0402-1C9E-4336-8552-31B70CA7E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8E62EE56-B812-458E-828D-DF9AACF03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C5DDD58-061E-4AD8-B22B-93148008C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9B7799C5-8776-4EE6-825E-48F408B099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378CDAD-8B90-452B-832C-F5BEA292D9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9915668-C7D4-4B86-92F3-3C93FF73F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EE4B18E-4822-46EC-83F8-63077D7BD6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5ACDBF-8DD8-4ED4-8D27-5FA5F4418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65E9493-563B-4310-97B3-55F954E8C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B9413339-ADFB-4F72-A0F5-7F6F11D74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75ADDDF-27B2-4698-BDB3-1953A5B3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4EF3A6AE-E3F9-4D29-88DE-116C07FAC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A51E4847-3B66-4C02-83DC-F4EE34366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8E2E410E-96DF-4413-BE30-223283B43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D6E5C5B-3D0F-4A54-ACAF-2B5CE0788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5AD7C39D-DB42-427B-AA07-462B89D12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6034DDBF-7703-4EB3-B096-5306AD0A0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823F828E-FDA7-41CB-86D3-B41C5081A4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8F74E171-0EC3-4F1E-9FD0-7D0F45A287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78A011D-8EAC-44F9-ABD9-B278DB0356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F0D70B22-2172-42B9-9BA2-AF1E5664E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7B6CF4DD-43F1-4381-B62C-59E6BFEF2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008A023F-ABEF-44BE-A8EC-312404858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BC808660-DD91-4C57-9B9E-F60B32143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49D7F86-7FD6-4B44-AF41-2740852DF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2BAD5E85-DEAF-4968-BC96-8D4EAAA1E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956CE7E-E24A-4726-B2DC-358410B5A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789508D6-8CB8-482F-9364-C25841C6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2F3C470E-36BC-4C1E-AA50-B4892C123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703-357A-4D18-83C2-0353DADC71D4}">
  <sheetPr codeName="Лист25"/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A104" sqref="A104:XFD10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336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46" t="s">
        <v>43</v>
      </c>
      <c r="N1" s="585" t="s">
        <v>351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/>
      <c r="AK1" s="445"/>
      <c r="AL1" s="447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2612</v>
      </c>
      <c r="F3" s="93">
        <v>113</v>
      </c>
      <c r="G3" s="93">
        <v>30</v>
      </c>
      <c r="H3" s="93">
        <v>779</v>
      </c>
      <c r="I3" s="93">
        <v>1</v>
      </c>
      <c r="J3" s="93">
        <v>1689</v>
      </c>
      <c r="K3" s="92">
        <v>142.97999999999999</v>
      </c>
      <c r="L3" s="92">
        <f t="shared" ref="L3" si="0">E3*K3</f>
        <v>373463.75999999995</v>
      </c>
      <c r="M3" s="89">
        <v>47</v>
      </c>
      <c r="N3" s="89">
        <v>151</v>
      </c>
      <c r="O3" s="89">
        <v>1363</v>
      </c>
      <c r="P3" s="89">
        <v>74</v>
      </c>
      <c r="Q3" s="233">
        <f>N3/7</f>
        <v>21.571428571428573</v>
      </c>
      <c r="R3" s="92">
        <f>U3/7</f>
        <v>14.428571428571429</v>
      </c>
      <c r="S3" s="93">
        <v>101</v>
      </c>
      <c r="T3" s="93">
        <v>0</v>
      </c>
      <c r="U3" s="92">
        <f t="shared" ref="U3" si="1">S3+T3</f>
        <v>101</v>
      </c>
      <c r="V3" s="93">
        <v>99529.590000000011</v>
      </c>
      <c r="W3" s="93">
        <v>0</v>
      </c>
      <c r="X3" s="92">
        <f t="shared" ref="X3" si="2">V3+W3</f>
        <v>99529.590000000011</v>
      </c>
      <c r="Y3" s="93">
        <v>145752.84</v>
      </c>
      <c r="Z3" s="93">
        <v>0</v>
      </c>
      <c r="AA3" s="92">
        <f>Y3+Z3</f>
        <v>145752.84</v>
      </c>
      <c r="AB3" s="92">
        <f>N3*O3*P3/100</f>
        <v>152301.62</v>
      </c>
      <c r="AC3" s="234">
        <f t="shared" ref="AC3" si="3">AA3/$AA$127</f>
        <v>6.0419766971116541E-2</v>
      </c>
      <c r="AD3" s="92">
        <f t="shared" ref="AD3" si="4">U3*K3</f>
        <v>14440.98</v>
      </c>
      <c r="AE3" s="93">
        <v>55182.880000000048</v>
      </c>
      <c r="AF3" s="234">
        <f t="shared" ref="AF3" si="5">IF(AA3=0,0,AE3/AA3)</f>
        <v>0.37860586455811118</v>
      </c>
      <c r="AG3" s="93">
        <v>10905.970000000005</v>
      </c>
      <c r="AH3" s="93"/>
      <c r="AI3" s="93">
        <f>9252+2484</f>
        <v>11736</v>
      </c>
      <c r="AJ3" s="93">
        <v>20401</v>
      </c>
      <c r="AK3" s="93"/>
      <c r="AL3" s="122">
        <f t="shared" ref="AL3:AL34" si="6">IFERROR($AL$127*H3/$H$127,0)</f>
        <v>808.5349536858356</v>
      </c>
      <c r="AM3" s="93">
        <v>20</v>
      </c>
      <c r="AN3" s="94">
        <f>X3*5.71%</f>
        <v>5683.1395890000003</v>
      </c>
      <c r="AO3" s="95">
        <f>AA3-AD3-AE3-AG3-AH3-AI3-AJ3-AK3-AL3-AN3-AM3</f>
        <v>26574.335457314104</v>
      </c>
      <c r="AP3" s="96"/>
      <c r="AQ3" s="97">
        <f t="shared" ref="AQ3:AQ97" si="7">IF(U3=0,0,AA3/U3)</f>
        <v>1443.0974257425742</v>
      </c>
      <c r="AR3" s="98">
        <f t="shared" ref="AR3:AR19" si="8">K3</f>
        <v>142.97999999999999</v>
      </c>
      <c r="AS3" s="98">
        <f t="shared" ref="AS3:AS97" si="9">IF(U3=0,0,AE3/U3)</f>
        <v>546.36514851485197</v>
      </c>
      <c r="AT3" s="98">
        <f t="shared" ref="AT3:AT97" si="10">IF(S3=0,AG3/1,AG3/S3)</f>
        <v>107.97990099009905</v>
      </c>
      <c r="AU3" s="98">
        <f>IF(S3=0,0,(AH3+AI3+AJ3)/S3)</f>
        <v>318.18811881188117</v>
      </c>
      <c r="AV3" s="98">
        <f>_xlfn.IFS(U3=0,AO3,U3&lt;0,AO3/-U3,U3&gt;0,AO3/U3)</f>
        <v>263.11223225063469</v>
      </c>
      <c r="AW3" s="234">
        <f t="shared" ref="AW3" si="11">IF(AQ3=0,0,AV3/AQ3)</f>
        <v>0.18232464943608717</v>
      </c>
      <c r="AX3" s="234">
        <f t="shared" ref="AX3" si="12">IF(AR3=0,0,AV3/AR3)</f>
        <v>1.8402030511304708</v>
      </c>
      <c r="AY3" s="99"/>
      <c r="AZ3" s="94">
        <f t="shared" ref="AZ3:AZ97" si="13">AV3*E3</f>
        <v>687249.15063865785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916</v>
      </c>
      <c r="F4" s="93">
        <v>385</v>
      </c>
      <c r="G4" s="93">
        <v>102</v>
      </c>
      <c r="H4" s="93">
        <v>363</v>
      </c>
      <c r="I4" s="93">
        <v>0</v>
      </c>
      <c r="J4" s="93">
        <v>66</v>
      </c>
      <c r="K4" s="92">
        <v>123.09</v>
      </c>
      <c r="L4" s="92">
        <f>E4*K4</f>
        <v>112750.44</v>
      </c>
      <c r="M4" s="89">
        <v>18</v>
      </c>
      <c r="N4" s="89">
        <v>596</v>
      </c>
      <c r="O4" s="89">
        <v>1327</v>
      </c>
      <c r="P4" s="89">
        <v>64</v>
      </c>
      <c r="Q4" s="233">
        <f t="shared" ref="Q4:Q67" si="14">N4/7</f>
        <v>85.142857142857139</v>
      </c>
      <c r="R4" s="92">
        <f t="shared" ref="R4:R67" si="15">U4/7</f>
        <v>46.714285714285715</v>
      </c>
      <c r="S4" s="93">
        <v>331</v>
      </c>
      <c r="T4" s="93">
        <v>-4</v>
      </c>
      <c r="U4" s="92">
        <f t="shared" ref="U4:U67" si="16">S4+T4</f>
        <v>327</v>
      </c>
      <c r="V4" s="93">
        <v>323351.06000000017</v>
      </c>
      <c r="W4" s="93">
        <v>-4023</v>
      </c>
      <c r="X4" s="92">
        <f t="shared" ref="X4:X67" si="17">V4+W4</f>
        <v>319328.06000000017</v>
      </c>
      <c r="Y4" s="93">
        <v>468819.74999999994</v>
      </c>
      <c r="Z4" s="93">
        <v>-6088</v>
      </c>
      <c r="AA4" s="92">
        <f t="shared" ref="AA4:AA67" si="18">Y4+Z4</f>
        <v>462731.74999999994</v>
      </c>
      <c r="AB4" s="92">
        <f t="shared" ref="AB4:AB67" si="19">N4*O4*P4/100</f>
        <v>506170.88</v>
      </c>
      <c r="AC4" s="234">
        <f t="shared" ref="AC4:AC67" si="20">AA4/$AA$127</f>
        <v>0.1918188661376132</v>
      </c>
      <c r="AD4" s="92">
        <f t="shared" ref="AD4:AD67" si="21">U4*K4</f>
        <v>40250.43</v>
      </c>
      <c r="AE4" s="93">
        <v>175247.85000000024</v>
      </c>
      <c r="AF4" s="234">
        <f t="shared" ref="AF4:AF67" si="22">IF(AA4=0,0,AE4/AA4)</f>
        <v>0.37872449858908591</v>
      </c>
      <c r="AG4" s="93">
        <v>38512.439999999769</v>
      </c>
      <c r="AH4" s="93">
        <v>1853</v>
      </c>
      <c r="AI4" s="93">
        <f>18503+3222</f>
        <v>21725</v>
      </c>
      <c r="AJ4" s="93">
        <v>42674</v>
      </c>
      <c r="AK4" s="93"/>
      <c r="AL4" s="122">
        <f t="shared" si="6"/>
        <v>376.7627576225396</v>
      </c>
      <c r="AM4" s="93">
        <v>20</v>
      </c>
      <c r="AN4" s="94">
        <f t="shared" ref="AN4:AN67" si="23">X4*5.71%</f>
        <v>18233.632226000009</v>
      </c>
      <c r="AO4" s="95">
        <f t="shared" ref="AO4:AO67" si="24">AA4-AD4-AE4-AG4-AH4-AI4-AJ4-AK4-AL4-AN4-AM4</f>
        <v>123838.63501637737</v>
      </c>
      <c r="AP4" s="96"/>
      <c r="AQ4" s="97">
        <f t="shared" si="7"/>
        <v>1415.0818042813453</v>
      </c>
      <c r="AR4" s="98">
        <f t="shared" si="8"/>
        <v>123.09</v>
      </c>
      <c r="AS4" s="98">
        <f t="shared" si="9"/>
        <v>535.92614678899156</v>
      </c>
      <c r="AT4" s="98">
        <f t="shared" si="10"/>
        <v>116.35178247734069</v>
      </c>
      <c r="AU4" s="98">
        <f t="shared" ref="AU4:AU70" si="25">IF(S4=0,0,(AH4+AI4+AJ4)/S4)</f>
        <v>200.1570996978852</v>
      </c>
      <c r="AV4" s="98">
        <f t="array" ref="AV4">_xlfn.IFS(U4=0,AO4,U4&lt;0,AO4/-U4,U4&gt;0,AO4/U4)</f>
        <v>378.71142206843234</v>
      </c>
      <c r="AW4" s="234">
        <f>IF(AQ4=0,0,AV4/AQ4)</f>
        <v>0.26762510896729563</v>
      </c>
      <c r="AX4" s="234">
        <f>IF(AR4=0,0,AV4/AR4)</f>
        <v>3.0767034045692774</v>
      </c>
      <c r="AY4" s="99"/>
      <c r="AZ4" s="94">
        <f t="shared" si="13"/>
        <v>346899.66261468403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3423</v>
      </c>
      <c r="F5" s="93">
        <v>108</v>
      </c>
      <c r="G5" s="93">
        <v>33</v>
      </c>
      <c r="H5" s="93">
        <v>524</v>
      </c>
      <c r="I5" s="93">
        <v>0</v>
      </c>
      <c r="J5" s="93">
        <v>2758</v>
      </c>
      <c r="K5" s="92">
        <v>123.09</v>
      </c>
      <c r="L5" s="92">
        <f>E5*K5</f>
        <v>421337.07</v>
      </c>
      <c r="M5" s="89">
        <v>37</v>
      </c>
      <c r="N5" s="89">
        <v>147</v>
      </c>
      <c r="O5" s="89">
        <v>1327</v>
      </c>
      <c r="P5" s="89">
        <v>67</v>
      </c>
      <c r="Q5" s="233">
        <f t="shared" si="14"/>
        <v>21</v>
      </c>
      <c r="R5" s="92">
        <f t="shared" si="15"/>
        <v>12.714285714285714</v>
      </c>
      <c r="S5" s="93">
        <v>92</v>
      </c>
      <c r="T5" s="93">
        <v>-3</v>
      </c>
      <c r="U5" s="92">
        <f t="shared" si="16"/>
        <v>89</v>
      </c>
      <c r="V5" s="93">
        <v>89035.08</v>
      </c>
      <c r="W5" s="93">
        <v>-2970</v>
      </c>
      <c r="X5" s="92">
        <f t="shared" si="17"/>
        <v>86065.08</v>
      </c>
      <c r="Y5" s="93">
        <v>131541.49000000002</v>
      </c>
      <c r="Z5" s="93">
        <v>-4500</v>
      </c>
      <c r="AA5" s="92">
        <f t="shared" si="18"/>
        <v>127041.49000000002</v>
      </c>
      <c r="AB5" s="92">
        <f t="shared" si="19"/>
        <v>130696.23</v>
      </c>
      <c r="AC5" s="234">
        <f t="shared" si="20"/>
        <v>5.266324293553E-2</v>
      </c>
      <c r="AD5" s="92">
        <f t="shared" si="21"/>
        <v>10955.01</v>
      </c>
      <c r="AE5" s="93">
        <v>48110.98000000001</v>
      </c>
      <c r="AF5" s="234">
        <f t="shared" si="22"/>
        <v>0.37870289462127688</v>
      </c>
      <c r="AG5" s="93">
        <v>9888.98</v>
      </c>
      <c r="AH5" s="93"/>
      <c r="AI5" s="93">
        <f>5984+2203</f>
        <v>8187</v>
      </c>
      <c r="AJ5" s="93">
        <v>11180</v>
      </c>
      <c r="AK5" s="93"/>
      <c r="AL5" s="122">
        <f t="shared" si="6"/>
        <v>543.8669008104979</v>
      </c>
      <c r="AM5" s="93">
        <v>20</v>
      </c>
      <c r="AN5" s="94">
        <f t="shared" si="23"/>
        <v>4914.3160680000001</v>
      </c>
      <c r="AO5" s="95">
        <f t="shared" si="24"/>
        <v>33241.33703118952</v>
      </c>
      <c r="AP5" s="96"/>
      <c r="AQ5" s="97">
        <f t="shared" si="7"/>
        <v>1427.4324719101126</v>
      </c>
      <c r="AR5" s="98">
        <f t="shared" si="8"/>
        <v>123.09</v>
      </c>
      <c r="AS5" s="98">
        <f t="shared" si="9"/>
        <v>540.57280898876411</v>
      </c>
      <c r="AT5" s="98">
        <f t="shared" si="10"/>
        <v>107.48891304347826</v>
      </c>
      <c r="AU5" s="98">
        <f t="shared" si="25"/>
        <v>210.5108695652174</v>
      </c>
      <c r="AV5" s="98">
        <f t="array" ref="AV5">_xlfn.IFS(U5=0,AO5,U5&lt;0,AO5/-U5,U5&gt;0,AO5/U5)</f>
        <v>373.49816888976989</v>
      </c>
      <c r="AW5" s="234">
        <f>IF(AQ5=0,0,AV5/AQ5)</f>
        <v>0.26165732967386884</v>
      </c>
      <c r="AX5" s="234">
        <f>IF(AR5=0,0,AV5/AR5)</f>
        <v>3.0343502225182375</v>
      </c>
      <c r="AY5" s="99"/>
      <c r="AZ5" s="94">
        <f t="shared" si="13"/>
        <v>1278484.2321096824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8734</v>
      </c>
      <c r="F6" s="93">
        <v>52</v>
      </c>
      <c r="G6" s="93">
        <v>7</v>
      </c>
      <c r="H6" s="93">
        <v>476</v>
      </c>
      <c r="I6" s="93">
        <v>0</v>
      </c>
      <c r="J6" s="93">
        <v>8199</v>
      </c>
      <c r="K6" s="92">
        <v>123.09</v>
      </c>
      <c r="L6" s="92">
        <f t="shared" ref="L6" si="27">E6*K6</f>
        <v>1075068.06</v>
      </c>
      <c r="M6" s="89">
        <v>74</v>
      </c>
      <c r="N6" s="89">
        <v>78</v>
      </c>
      <c r="O6" s="89">
        <v>1317</v>
      </c>
      <c r="P6" s="89">
        <v>75</v>
      </c>
      <c r="Q6" s="233">
        <f t="shared" si="14"/>
        <v>11.142857142857142</v>
      </c>
      <c r="R6" s="92">
        <f t="shared" si="15"/>
        <v>7.1428571428571432</v>
      </c>
      <c r="S6" s="93">
        <v>51</v>
      </c>
      <c r="T6" s="93">
        <v>-1</v>
      </c>
      <c r="U6" s="92">
        <f t="shared" si="16"/>
        <v>50</v>
      </c>
      <c r="V6" s="93">
        <v>46934.96</v>
      </c>
      <c r="W6" s="93">
        <v>-985</v>
      </c>
      <c r="X6" s="92">
        <f t="shared" si="17"/>
        <v>45949.96</v>
      </c>
      <c r="Y6" s="93">
        <v>68049.91</v>
      </c>
      <c r="Z6" s="93">
        <v>-1434</v>
      </c>
      <c r="AA6" s="92">
        <f t="shared" si="18"/>
        <v>66615.91</v>
      </c>
      <c r="AB6" s="92">
        <f t="shared" si="19"/>
        <v>77044.5</v>
      </c>
      <c r="AC6" s="234">
        <f t="shared" si="20"/>
        <v>2.7614678100055357E-2</v>
      </c>
      <c r="AD6" s="92">
        <f t="shared" si="21"/>
        <v>6154.5</v>
      </c>
      <c r="AE6" s="93">
        <v>25242.19000000001</v>
      </c>
      <c r="AF6" s="234">
        <f t="shared" si="22"/>
        <v>0.3789213417635518</v>
      </c>
      <c r="AG6" s="93">
        <v>5401.5000000000009</v>
      </c>
      <c r="AH6" s="93">
        <f>335+140</f>
        <v>475</v>
      </c>
      <c r="AI6" s="93">
        <f>2422+391</f>
        <v>2813</v>
      </c>
      <c r="AJ6" s="93">
        <v>817</v>
      </c>
      <c r="AK6" s="93"/>
      <c r="AL6" s="122">
        <f t="shared" si="6"/>
        <v>494.04703203396377</v>
      </c>
      <c r="AM6" s="93">
        <v>20</v>
      </c>
      <c r="AN6" s="94">
        <f t="shared" si="23"/>
        <v>2623.7427159999997</v>
      </c>
      <c r="AO6" s="95">
        <f t="shared" si="24"/>
        <v>22574.93025196603</v>
      </c>
      <c r="AP6" s="96"/>
      <c r="AQ6" s="97">
        <f t="shared" si="7"/>
        <v>1332.3182000000002</v>
      </c>
      <c r="AR6" s="98">
        <f t="shared" si="8"/>
        <v>123.09</v>
      </c>
      <c r="AS6" s="98">
        <f t="shared" si="9"/>
        <v>504.84380000000021</v>
      </c>
      <c r="AT6" s="98">
        <f t="shared" si="10"/>
        <v>105.91176470588238</v>
      </c>
      <c r="AU6" s="98">
        <f t="shared" si="25"/>
        <v>80.490196078431367</v>
      </c>
      <c r="AV6" s="98">
        <f t="array" ref="AV6">_xlfn.IFS(U6=0,AO6,U6&lt;0,AO6/-U6,U6&gt;0,AO6/U6)</f>
        <v>451.49860503932064</v>
      </c>
      <c r="AW6" s="234">
        <f t="shared" ref="AW6" si="28">IF(AQ6=0,0,AV6/AQ6)</f>
        <v>0.33888196156092487</v>
      </c>
      <c r="AX6" s="234">
        <f t="shared" ref="AX6" si="29">IF(AR6=0,0,AV6/AR6)</f>
        <v>3.6680364370730412</v>
      </c>
      <c r="AY6" s="99"/>
      <c r="AZ6" s="94">
        <f t="shared" si="13"/>
        <v>3943388.8164134263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646</v>
      </c>
      <c r="F7" s="93">
        <v>80</v>
      </c>
      <c r="G7" s="93">
        <v>33</v>
      </c>
      <c r="H7" s="93">
        <v>450</v>
      </c>
      <c r="I7" s="93">
        <v>3</v>
      </c>
      <c r="J7" s="93">
        <v>80</v>
      </c>
      <c r="K7" s="92">
        <v>117.24</v>
      </c>
      <c r="L7" s="92">
        <f>E7*K7</f>
        <v>75737.039999999994</v>
      </c>
      <c r="M7" s="89">
        <v>40</v>
      </c>
      <c r="N7" s="89">
        <v>117</v>
      </c>
      <c r="O7" s="89">
        <v>1473</v>
      </c>
      <c r="P7" s="89">
        <v>56</v>
      </c>
      <c r="Q7" s="233">
        <f t="shared" si="14"/>
        <v>16.714285714285715</v>
      </c>
      <c r="R7" s="92">
        <f t="shared" si="15"/>
        <v>10.571428571428571</v>
      </c>
      <c r="S7" s="93">
        <v>78</v>
      </c>
      <c r="T7" s="93">
        <v>-4</v>
      </c>
      <c r="U7" s="92">
        <f t="shared" si="16"/>
        <v>74</v>
      </c>
      <c r="V7" s="93">
        <v>78171.750000000015</v>
      </c>
      <c r="W7" s="93">
        <v>-3902</v>
      </c>
      <c r="X7" s="92">
        <f t="shared" si="17"/>
        <v>74269.750000000015</v>
      </c>
      <c r="Y7" s="93">
        <v>114436.97</v>
      </c>
      <c r="Z7" s="93">
        <v>-5847.8099999999995</v>
      </c>
      <c r="AA7" s="92">
        <f t="shared" si="18"/>
        <v>108589.16</v>
      </c>
      <c r="AB7" s="92">
        <f t="shared" si="19"/>
        <v>96510.96</v>
      </c>
      <c r="AC7" s="234">
        <f t="shared" si="20"/>
        <v>4.5014091957242756E-2</v>
      </c>
      <c r="AD7" s="92">
        <f t="shared" si="21"/>
        <v>8675.76</v>
      </c>
      <c r="AE7" s="93">
        <v>41088.520000000019</v>
      </c>
      <c r="AF7" s="234">
        <f t="shared" si="22"/>
        <v>0.37838509847575963</v>
      </c>
      <c r="AG7" s="93">
        <v>11150.229999999996</v>
      </c>
      <c r="AH7" s="93"/>
      <c r="AI7" s="93">
        <f>3634+2041</f>
        <v>5675</v>
      </c>
      <c r="AJ7" s="93">
        <v>5209</v>
      </c>
      <c r="AK7" s="93"/>
      <c r="AL7" s="122">
        <f t="shared" si="6"/>
        <v>467.06126978000771</v>
      </c>
      <c r="AM7" s="93">
        <v>0</v>
      </c>
      <c r="AN7" s="94">
        <f t="shared" si="23"/>
        <v>4240.8027250000005</v>
      </c>
      <c r="AO7" s="95">
        <f t="shared" si="24"/>
        <v>32082.786005219983</v>
      </c>
      <c r="AP7" s="96"/>
      <c r="AQ7" s="97">
        <f t="shared" si="7"/>
        <v>1467.4210810810812</v>
      </c>
      <c r="AR7" s="98">
        <f t="shared" si="8"/>
        <v>117.24</v>
      </c>
      <c r="AS7" s="98">
        <f t="shared" si="9"/>
        <v>555.25027027027056</v>
      </c>
      <c r="AT7" s="98">
        <f t="shared" si="10"/>
        <v>142.95166666666663</v>
      </c>
      <c r="AU7" s="98">
        <f t="shared" si="25"/>
        <v>139.53846153846155</v>
      </c>
      <c r="AV7" s="98">
        <f t="array" ref="AV7">_xlfn.IFS(U7=0,AO7,U7&lt;0,AO7/-U7,U7&gt;0,AO7/U7)</f>
        <v>433.5511622327025</v>
      </c>
      <c r="AW7" s="234">
        <f>IF(AQ7=0,0,AV7/AQ7)</f>
        <v>0.29545109295642386</v>
      </c>
      <c r="AX7" s="234">
        <f>IF(AR7=0,0,AV7/AR7)</f>
        <v>3.6979798893952789</v>
      </c>
      <c r="AY7" s="99"/>
      <c r="AZ7" s="94">
        <f t="shared" si="13"/>
        <v>280074.05080232583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119</v>
      </c>
      <c r="F8" s="93">
        <v>28</v>
      </c>
      <c r="G8" s="93">
        <v>9</v>
      </c>
      <c r="H8" s="93">
        <v>82</v>
      </c>
      <c r="I8" s="93">
        <v>0</v>
      </c>
      <c r="J8" s="93">
        <v>0</v>
      </c>
      <c r="K8" s="92">
        <v>169.89</v>
      </c>
      <c r="L8" s="92">
        <f>E8*K8</f>
        <v>20216.91</v>
      </c>
      <c r="M8" s="89">
        <v>37</v>
      </c>
      <c r="N8" s="89">
        <v>34</v>
      </c>
      <c r="O8" s="89">
        <v>1464</v>
      </c>
      <c r="P8" s="89">
        <v>53</v>
      </c>
      <c r="Q8" s="233">
        <f t="shared" si="14"/>
        <v>4.8571428571428568</v>
      </c>
      <c r="R8" s="92">
        <f t="shared" si="15"/>
        <v>3.1428571428571428</v>
      </c>
      <c r="S8" s="93">
        <v>22</v>
      </c>
      <c r="T8" s="93">
        <v>0</v>
      </c>
      <c r="U8" s="92">
        <f t="shared" si="16"/>
        <v>22</v>
      </c>
      <c r="V8" s="93">
        <v>21917</v>
      </c>
      <c r="W8" s="93">
        <v>0</v>
      </c>
      <c r="X8" s="92">
        <f t="shared" si="17"/>
        <v>21917</v>
      </c>
      <c r="Y8" s="93">
        <v>32208</v>
      </c>
      <c r="Z8" s="93">
        <v>0</v>
      </c>
      <c r="AA8" s="92">
        <f t="shared" si="18"/>
        <v>32208</v>
      </c>
      <c r="AB8" s="92">
        <f t="shared" si="19"/>
        <v>26381.279999999999</v>
      </c>
      <c r="AC8" s="234">
        <f t="shared" si="20"/>
        <v>1.3351368347990486E-2</v>
      </c>
      <c r="AD8" s="92">
        <f t="shared" si="21"/>
        <v>3737.58</v>
      </c>
      <c r="AE8" s="93">
        <v>12272.009999999998</v>
      </c>
      <c r="AF8" s="234">
        <f t="shared" si="22"/>
        <v>0.38102365871833083</v>
      </c>
      <c r="AG8" s="93">
        <v>3114.7699999999995</v>
      </c>
      <c r="AH8" s="93"/>
      <c r="AI8" s="93">
        <f>1694+235</f>
        <v>1929</v>
      </c>
      <c r="AJ8" s="93">
        <v>418</v>
      </c>
      <c r="AK8" s="93"/>
      <c r="AL8" s="122">
        <f t="shared" si="6"/>
        <v>85.108942493245863</v>
      </c>
      <c r="AM8" s="93">
        <v>50</v>
      </c>
      <c r="AN8" s="94">
        <f t="shared" si="23"/>
        <v>1251.4606999999999</v>
      </c>
      <c r="AO8" s="95">
        <f t="shared" si="24"/>
        <v>9350.0703575067546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557.8186363636363</v>
      </c>
      <c r="AT8" s="98">
        <f t="shared" si="10"/>
        <v>141.58045454545453</v>
      </c>
      <c r="AU8" s="98">
        <f t="shared" si="25"/>
        <v>106.68181818181819</v>
      </c>
      <c r="AV8" s="98">
        <f t="array" ref="AV8">_xlfn.IFS(U8=0,AO8,U8&lt;0,AO8/-U8,U8&gt;0,AO8/U8)</f>
        <v>425.00319806848887</v>
      </c>
      <c r="AW8" s="234">
        <f>IF(AQ8=0,0,AV8/AQ8)</f>
        <v>0.29030273092109893</v>
      </c>
      <c r="AX8" s="234">
        <f>IF(AR8=0,0,AV8/AR8)</f>
        <v>2.5016375187973918</v>
      </c>
      <c r="AY8" s="99"/>
      <c r="AZ8" s="94">
        <f t="shared" si="13"/>
        <v>50575.380570150177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9252</v>
      </c>
      <c r="F9" s="93">
        <v>234</v>
      </c>
      <c r="G9" s="93">
        <v>88</v>
      </c>
      <c r="H9" s="93">
        <v>548</v>
      </c>
      <c r="I9" s="93">
        <v>0</v>
      </c>
      <c r="J9" s="93">
        <v>8382</v>
      </c>
      <c r="K9" s="92">
        <v>123.09</v>
      </c>
      <c r="L9" s="92">
        <f>E9*K9</f>
        <v>1138828.68</v>
      </c>
      <c r="M9" s="89">
        <v>23</v>
      </c>
      <c r="N9" s="89">
        <v>357</v>
      </c>
      <c r="O9" s="89">
        <v>1341</v>
      </c>
      <c r="P9" s="89">
        <v>51</v>
      </c>
      <c r="Q9" s="233">
        <f t="shared" si="14"/>
        <v>51</v>
      </c>
      <c r="R9" s="92">
        <f t="shared" si="15"/>
        <v>22.285714285714285</v>
      </c>
      <c r="S9" s="93">
        <v>161</v>
      </c>
      <c r="T9" s="93">
        <v>-5</v>
      </c>
      <c r="U9" s="92">
        <f t="shared" si="16"/>
        <v>156</v>
      </c>
      <c r="V9" s="93">
        <v>163492.53000000003</v>
      </c>
      <c r="W9" s="93">
        <v>-5371</v>
      </c>
      <c r="X9" s="92">
        <f t="shared" si="17"/>
        <v>158121.53000000003</v>
      </c>
      <c r="Y9" s="93">
        <v>238950.40000000002</v>
      </c>
      <c r="Z9" s="93">
        <v>-7750.32</v>
      </c>
      <c r="AA9" s="92">
        <f t="shared" si="18"/>
        <v>231200.08000000002</v>
      </c>
      <c r="AB9" s="92">
        <f t="shared" si="19"/>
        <v>244155.87</v>
      </c>
      <c r="AC9" s="234">
        <f t="shared" si="20"/>
        <v>9.5840705109440774E-2</v>
      </c>
      <c r="AD9" s="92">
        <f t="shared" si="21"/>
        <v>19202.04</v>
      </c>
      <c r="AE9" s="93">
        <v>87312.410000000149</v>
      </c>
      <c r="AF9" s="234">
        <f t="shared" si="22"/>
        <v>0.37764870150564023</v>
      </c>
      <c r="AG9" s="93">
        <v>24573.149999999976</v>
      </c>
      <c r="AH9" s="93"/>
      <c r="AI9" s="93">
        <f>16594+2696</f>
        <v>19290</v>
      </c>
      <c r="AJ9" s="93">
        <v>31214</v>
      </c>
      <c r="AK9" s="93"/>
      <c r="AL9" s="122">
        <f t="shared" si="6"/>
        <v>568.77683519876496</v>
      </c>
      <c r="AM9" s="93">
        <v>140</v>
      </c>
      <c r="AN9" s="94">
        <f t="shared" si="23"/>
        <v>9028.7393630000006</v>
      </c>
      <c r="AO9" s="95">
        <f t="shared" si="24"/>
        <v>39870.963801801117</v>
      </c>
      <c r="AP9" s="96"/>
      <c r="AQ9" s="97">
        <f t="shared" si="7"/>
        <v>1482.051794871795</v>
      </c>
      <c r="AR9" s="98">
        <f t="shared" si="8"/>
        <v>123.09</v>
      </c>
      <c r="AS9" s="98">
        <f t="shared" si="9"/>
        <v>559.69493589743684</v>
      </c>
      <c r="AT9" s="98">
        <f t="shared" si="10"/>
        <v>152.62826086956508</v>
      </c>
      <c r="AU9" s="98">
        <f t="shared" si="25"/>
        <v>313.68944099378882</v>
      </c>
      <c r="AV9" s="98">
        <f t="array" ref="AV9">_xlfn.IFS(U9=0,AO9,U9&lt;0,AO9/-U9,U9&gt;0,AO9/U9)</f>
        <v>255.58310129359691</v>
      </c>
      <c r="AW9" s="234">
        <f>IF(AQ9=0,0,AV9/AQ9)</f>
        <v>0.17245220590668098</v>
      </c>
      <c r="AX9" s="234">
        <f>IF(AR9=0,0,AV9/AR9)</f>
        <v>2.0763920813518313</v>
      </c>
      <c r="AY9" s="99"/>
      <c r="AZ9" s="94">
        <f t="shared" si="13"/>
        <v>2364654.8531683586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7632</v>
      </c>
      <c r="F10" s="93">
        <v>105</v>
      </c>
      <c r="G10" s="93">
        <v>41</v>
      </c>
      <c r="H10" s="93">
        <v>538</v>
      </c>
      <c r="I10" s="93">
        <v>0</v>
      </c>
      <c r="J10" s="93">
        <v>6948</v>
      </c>
      <c r="K10" s="92">
        <v>123.09</v>
      </c>
      <c r="L10" s="92">
        <f>E10*K10</f>
        <v>939422.88</v>
      </c>
      <c r="M10" s="89">
        <v>35</v>
      </c>
      <c r="N10" s="89">
        <v>161</v>
      </c>
      <c r="O10" s="89">
        <v>1310</v>
      </c>
      <c r="P10" s="89">
        <v>67</v>
      </c>
      <c r="Q10" s="233">
        <f t="shared" si="14"/>
        <v>23</v>
      </c>
      <c r="R10" s="92">
        <f t="shared" si="15"/>
        <v>15.714285714285714</v>
      </c>
      <c r="S10" s="93">
        <v>111</v>
      </c>
      <c r="T10" s="93">
        <v>-1</v>
      </c>
      <c r="U10" s="92">
        <f t="shared" si="16"/>
        <v>110</v>
      </c>
      <c r="V10" s="93">
        <v>100290.49</v>
      </c>
      <c r="W10" s="93">
        <v>-909</v>
      </c>
      <c r="X10" s="92">
        <f t="shared" si="17"/>
        <v>99381.49</v>
      </c>
      <c r="Y10" s="93">
        <v>147143.94000000003</v>
      </c>
      <c r="Z10" s="93">
        <v>-1300</v>
      </c>
      <c r="AA10" s="92">
        <f t="shared" si="18"/>
        <v>145843.94000000003</v>
      </c>
      <c r="AB10" s="92">
        <f t="shared" si="19"/>
        <v>141309.70000000001</v>
      </c>
      <c r="AC10" s="234">
        <f t="shared" si="20"/>
        <v>6.0457531180521114E-2</v>
      </c>
      <c r="AD10" s="92">
        <f t="shared" si="21"/>
        <v>13539.9</v>
      </c>
      <c r="AE10" s="93">
        <v>55281.410000000047</v>
      </c>
      <c r="AF10" s="234">
        <f t="shared" si="22"/>
        <v>0.37904495723305359</v>
      </c>
      <c r="AG10" s="93">
        <v>14441.429999999978</v>
      </c>
      <c r="AH10" s="93"/>
      <c r="AI10" s="93">
        <v>16160</v>
      </c>
      <c r="AJ10" s="93">
        <f>13339+3027</f>
        <v>16366</v>
      </c>
      <c r="AK10" s="93"/>
      <c r="AL10" s="122">
        <f t="shared" si="6"/>
        <v>558.39769587032038</v>
      </c>
      <c r="AM10" s="93">
        <v>40</v>
      </c>
      <c r="AN10" s="94">
        <f t="shared" si="23"/>
        <v>5674.6830790000004</v>
      </c>
      <c r="AO10" s="95">
        <f t="shared" si="24"/>
        <v>23782.119225129689</v>
      </c>
      <c r="AP10" s="96"/>
      <c r="AQ10" s="97">
        <f t="shared" si="7"/>
        <v>1325.8540000000003</v>
      </c>
      <c r="AR10" s="98">
        <f t="shared" si="8"/>
        <v>123.09</v>
      </c>
      <c r="AS10" s="98">
        <f t="shared" si="9"/>
        <v>502.55827272727316</v>
      </c>
      <c r="AT10" s="98">
        <f t="shared" si="10"/>
        <v>130.10297297297276</v>
      </c>
      <c r="AU10" s="98">
        <f t="shared" si="25"/>
        <v>293.02702702702703</v>
      </c>
      <c r="AV10" s="98">
        <f t="array" ref="AV10">_xlfn.IFS(U10=0,AO10,U10&lt;0,AO10/-U10,U10&gt;0,AO10/U10)</f>
        <v>216.20108386481536</v>
      </c>
      <c r="AW10" s="234">
        <f>IF(AQ10=0,0,AV10/AQ10)</f>
        <v>0.16306552898344412</v>
      </c>
      <c r="AX10" s="234">
        <f>IF(AR10=0,0,AV10/AR10)</f>
        <v>1.7564471838883366</v>
      </c>
      <c r="AY10" s="99"/>
      <c r="AZ10" s="94">
        <f t="shared" si="13"/>
        <v>1650046.6720562708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634</v>
      </c>
      <c r="F11" s="93">
        <v>57</v>
      </c>
      <c r="G11" s="93">
        <v>17</v>
      </c>
      <c r="H11" s="93">
        <v>253</v>
      </c>
      <c r="I11" s="93">
        <v>0</v>
      </c>
      <c r="J11" s="93">
        <v>307</v>
      </c>
      <c r="K11" s="92">
        <v>123.09</v>
      </c>
      <c r="L11" s="92">
        <f t="shared" ref="L11" si="31">E11*K11</f>
        <v>78039.06</v>
      </c>
      <c r="M11" s="89">
        <v>26</v>
      </c>
      <c r="N11" s="89">
        <v>83</v>
      </c>
      <c r="O11" s="89">
        <v>1301</v>
      </c>
      <c r="P11" s="89">
        <v>63</v>
      </c>
      <c r="Q11" s="233">
        <f t="shared" si="14"/>
        <v>11.857142857142858</v>
      </c>
      <c r="R11" s="92">
        <f t="shared" si="15"/>
        <v>8.5714285714285712</v>
      </c>
      <c r="S11" s="93">
        <v>60</v>
      </c>
      <c r="T11" s="93">
        <v>0</v>
      </c>
      <c r="U11" s="92">
        <f t="shared" si="16"/>
        <v>60</v>
      </c>
      <c r="V11" s="93">
        <v>53444.639999999999</v>
      </c>
      <c r="W11" s="93">
        <v>0</v>
      </c>
      <c r="X11" s="92">
        <f t="shared" si="17"/>
        <v>53444.639999999999</v>
      </c>
      <c r="Y11" s="93">
        <v>78355.48</v>
      </c>
      <c r="Z11" s="93">
        <v>0</v>
      </c>
      <c r="AA11" s="92">
        <f t="shared" si="18"/>
        <v>78355.48</v>
      </c>
      <c r="AB11" s="92">
        <f t="shared" si="19"/>
        <v>68029.289999999994</v>
      </c>
      <c r="AC11" s="234">
        <f t="shared" si="20"/>
        <v>3.2481149887096418E-2</v>
      </c>
      <c r="AD11" s="92">
        <f t="shared" si="21"/>
        <v>7385.4000000000005</v>
      </c>
      <c r="AE11" s="93">
        <v>29779.820000000007</v>
      </c>
      <c r="AF11" s="234">
        <f t="shared" si="22"/>
        <v>0.3800604629057216</v>
      </c>
      <c r="AG11" s="93">
        <v>6097.5000000000082</v>
      </c>
      <c r="AH11" s="93">
        <v>244</v>
      </c>
      <c r="AI11" s="93">
        <f>3591+1652</f>
        <v>5243</v>
      </c>
      <c r="AJ11" s="93">
        <v>5616</v>
      </c>
      <c r="AK11" s="93"/>
      <c r="AL11" s="122">
        <f t="shared" si="6"/>
        <v>262.59222500964881</v>
      </c>
      <c r="AM11" s="93">
        <v>50</v>
      </c>
      <c r="AN11" s="94">
        <f t="shared" si="23"/>
        <v>3051.688944</v>
      </c>
      <c r="AO11" s="95">
        <f t="shared" si="24"/>
        <v>20625.478830990338</v>
      </c>
      <c r="AP11" s="96"/>
      <c r="AQ11" s="97">
        <f t="shared" si="7"/>
        <v>1305.9246666666666</v>
      </c>
      <c r="AR11" s="98">
        <f t="shared" si="8"/>
        <v>123.09</v>
      </c>
      <c r="AS11" s="98">
        <f t="shared" si="9"/>
        <v>496.33033333333344</v>
      </c>
      <c r="AT11" s="98">
        <f t="shared" si="10"/>
        <v>101.62500000000014</v>
      </c>
      <c r="AU11" s="98">
        <f t="shared" si="25"/>
        <v>185.05</v>
      </c>
      <c r="AV11" s="98">
        <f t="array" ref="AV11">_xlfn.IFS(U11=0,AO11,U11&lt;0,AO11/-U11,U11&gt;0,AO11/U11)</f>
        <v>343.75798051650565</v>
      </c>
      <c r="AW11" s="234">
        <f t="shared" ref="AW11:AW28" si="32">IF(AQ11=0,0,AV11/AQ11)</f>
        <v>0.2632295639180609</v>
      </c>
      <c r="AX11" s="234">
        <f t="shared" ref="AX11:AX28" si="33">IF(AR11=0,0,AV11/AR11)</f>
        <v>2.7927368634048717</v>
      </c>
      <c r="AY11" s="99"/>
      <c r="AZ11" s="94">
        <f t="shared" si="13"/>
        <v>217942.55964746457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5906</v>
      </c>
      <c r="F12" s="93">
        <v>82</v>
      </c>
      <c r="G12" s="93">
        <v>31</v>
      </c>
      <c r="H12" s="93">
        <v>604</v>
      </c>
      <c r="I12" s="93">
        <v>1</v>
      </c>
      <c r="J12" s="93">
        <v>5188</v>
      </c>
      <c r="K12" s="92">
        <v>117.24</v>
      </c>
      <c r="L12" s="92">
        <f>E12*K12</f>
        <v>692419.44</v>
      </c>
      <c r="M12" s="89">
        <v>39</v>
      </c>
      <c r="N12" s="89">
        <v>116</v>
      </c>
      <c r="O12" s="89">
        <v>1312</v>
      </c>
      <c r="P12" s="89">
        <v>57</v>
      </c>
      <c r="Q12" s="233">
        <f t="shared" si="14"/>
        <v>16.571428571428573</v>
      </c>
      <c r="R12" s="92">
        <f t="shared" si="15"/>
        <v>11</v>
      </c>
      <c r="S12" s="93">
        <v>77</v>
      </c>
      <c r="T12" s="93">
        <v>0</v>
      </c>
      <c r="U12" s="92">
        <f t="shared" si="16"/>
        <v>77</v>
      </c>
      <c r="V12" s="93">
        <v>69577.319999999992</v>
      </c>
      <c r="W12" s="93">
        <v>0</v>
      </c>
      <c r="X12" s="92">
        <f t="shared" si="17"/>
        <v>69577.319999999992</v>
      </c>
      <c r="Y12" s="93">
        <v>102749.82</v>
      </c>
      <c r="Z12" s="93">
        <v>0</v>
      </c>
      <c r="AA12" s="92">
        <f t="shared" si="18"/>
        <v>102749.82</v>
      </c>
      <c r="AB12" s="92">
        <f t="shared" si="19"/>
        <v>86749.440000000002</v>
      </c>
      <c r="AC12" s="234">
        <f t="shared" si="20"/>
        <v>4.2593476605493043E-2</v>
      </c>
      <c r="AD12" s="92">
        <f t="shared" si="21"/>
        <v>9027.48</v>
      </c>
      <c r="AE12" s="93">
        <v>38974.500000000015</v>
      </c>
      <c r="AF12" s="234">
        <f t="shared" si="22"/>
        <v>0.37931453310575153</v>
      </c>
      <c r="AG12" s="93">
        <v>9902.9700000000048</v>
      </c>
      <c r="AH12" s="93">
        <f>5+516</f>
        <v>521</v>
      </c>
      <c r="AI12" s="93">
        <f>3866+1792</f>
        <v>5658</v>
      </c>
      <c r="AJ12" s="93">
        <v>2824</v>
      </c>
      <c r="AK12" s="93"/>
      <c r="AL12" s="122">
        <f t="shared" si="6"/>
        <v>626.90001543805488</v>
      </c>
      <c r="AM12" s="93">
        <v>0</v>
      </c>
      <c r="AN12" s="94">
        <f t="shared" si="23"/>
        <v>3972.8649719999994</v>
      </c>
      <c r="AO12" s="95">
        <f t="shared" si="24"/>
        <v>31242.10501256194</v>
      </c>
      <c r="AP12" s="96"/>
      <c r="AQ12" s="97">
        <f t="shared" si="7"/>
        <v>1334.4132467532468</v>
      </c>
      <c r="AR12" s="98">
        <f t="shared" si="8"/>
        <v>117.24</v>
      </c>
      <c r="AS12" s="98">
        <f t="shared" si="9"/>
        <v>506.16233766233785</v>
      </c>
      <c r="AT12" s="98">
        <f t="shared" si="10"/>
        <v>128.61000000000007</v>
      </c>
      <c r="AU12" s="98">
        <f t="shared" si="25"/>
        <v>116.92207792207792</v>
      </c>
      <c r="AV12" s="98">
        <f t="array" ref="AV12">_xlfn.IFS(U12=0,AO12,U12&lt;0,AO12/-U12,U12&gt;0,AO12/U12)</f>
        <v>405.74162353976544</v>
      </c>
      <c r="AW12" s="234">
        <f t="shared" si="32"/>
        <v>0.30405994884041587</v>
      </c>
      <c r="AX12" s="234">
        <f t="shared" si="33"/>
        <v>3.4607780922873204</v>
      </c>
      <c r="AY12" s="99"/>
      <c r="AZ12" s="94">
        <f t="shared" si="13"/>
        <v>2396310.0286258548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2139</v>
      </c>
      <c r="F13" s="93">
        <v>212</v>
      </c>
      <c r="G13" s="93">
        <v>66</v>
      </c>
      <c r="H13" s="93">
        <v>697</v>
      </c>
      <c r="I13" s="93">
        <v>1</v>
      </c>
      <c r="J13" s="93">
        <v>1163</v>
      </c>
      <c r="K13" s="92">
        <v>123.09</v>
      </c>
      <c r="L13" s="92">
        <f t="shared" ref="L13:L28" si="34">E13*K13</f>
        <v>263289.51</v>
      </c>
      <c r="M13" s="89">
        <v>30</v>
      </c>
      <c r="N13" s="89">
        <v>333</v>
      </c>
      <c r="O13" s="89">
        <v>1329</v>
      </c>
      <c r="P13" s="89">
        <v>65</v>
      </c>
      <c r="Q13" s="233">
        <f t="shared" si="14"/>
        <v>47.571428571428569</v>
      </c>
      <c r="R13" s="92">
        <f t="shared" si="15"/>
        <v>26.285714285714285</v>
      </c>
      <c r="S13" s="93">
        <v>191</v>
      </c>
      <c r="T13" s="93">
        <v>-7</v>
      </c>
      <c r="U13" s="92">
        <f t="shared" si="16"/>
        <v>184</v>
      </c>
      <c r="V13" s="93">
        <v>193984.86</v>
      </c>
      <c r="W13" s="93">
        <v>-7534</v>
      </c>
      <c r="X13" s="92">
        <f t="shared" si="17"/>
        <v>186450.86</v>
      </c>
      <c r="Y13" s="93">
        <v>282777.88999999996</v>
      </c>
      <c r="Z13" s="93">
        <v>-11526</v>
      </c>
      <c r="AA13" s="92">
        <f t="shared" si="18"/>
        <v>271251.88999999996</v>
      </c>
      <c r="AB13" s="92">
        <f t="shared" si="19"/>
        <v>287662.05</v>
      </c>
      <c r="AC13" s="234">
        <f t="shared" si="20"/>
        <v>0.11244361334074132</v>
      </c>
      <c r="AD13" s="92">
        <f t="shared" si="21"/>
        <v>22648.560000000001</v>
      </c>
      <c r="AE13" s="93">
        <v>102701.54000000011</v>
      </c>
      <c r="AF13" s="234">
        <f t="shared" si="22"/>
        <v>0.37862055080980311</v>
      </c>
      <c r="AG13" s="93">
        <v>22802.429999999997</v>
      </c>
      <c r="AH13" s="93"/>
      <c r="AI13" s="93">
        <f>17495+4585</f>
        <v>22080</v>
      </c>
      <c r="AJ13" s="93">
        <v>45935</v>
      </c>
      <c r="AK13" s="93"/>
      <c r="AL13" s="122">
        <f t="shared" si="6"/>
        <v>723.42601119258984</v>
      </c>
      <c r="AM13" s="93">
        <v>220</v>
      </c>
      <c r="AN13" s="94">
        <f t="shared" si="23"/>
        <v>10646.344105999999</v>
      </c>
      <c r="AO13" s="95">
        <f t="shared" si="24"/>
        <v>43494.589882807282</v>
      </c>
      <c r="AP13" s="96"/>
      <c r="AQ13" s="97">
        <f t="shared" si="7"/>
        <v>1474.1950543478258</v>
      </c>
      <c r="AR13" s="98">
        <f t="shared" si="8"/>
        <v>123.09</v>
      </c>
      <c r="AS13" s="98">
        <f t="shared" si="9"/>
        <v>558.1605434782615</v>
      </c>
      <c r="AT13" s="98">
        <f t="shared" si="10"/>
        <v>119.38445026178009</v>
      </c>
      <c r="AU13" s="98">
        <f t="shared" si="25"/>
        <v>356.09947643979058</v>
      </c>
      <c r="AV13" s="98">
        <f t="array" ref="AV13">_xlfn.IFS(U13=0,AO13,U13&lt;0,AO13/-U13,U13&gt;0,AO13/U13)</f>
        <v>236.38364066743088</v>
      </c>
      <c r="AW13" s="234">
        <f t="shared" si="32"/>
        <v>0.16034760120125721</v>
      </c>
      <c r="AX13" s="234">
        <f t="shared" si="33"/>
        <v>1.9204130365377436</v>
      </c>
      <c r="AY13" s="99"/>
      <c r="AZ13" s="94">
        <f t="shared" si="13"/>
        <v>505624.60738763463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2045</v>
      </c>
      <c r="F14" s="93">
        <v>22</v>
      </c>
      <c r="G14" s="93">
        <v>14</v>
      </c>
      <c r="H14" s="93">
        <v>443</v>
      </c>
      <c r="I14" s="93">
        <v>2</v>
      </c>
      <c r="J14" s="93">
        <v>1564</v>
      </c>
      <c r="K14" s="92">
        <v>123.09</v>
      </c>
      <c r="L14" s="92">
        <f t="shared" si="34"/>
        <v>251719.05000000002</v>
      </c>
      <c r="M14" s="89">
        <v>87</v>
      </c>
      <c r="N14" s="89">
        <v>37</v>
      </c>
      <c r="O14" s="89">
        <v>1301</v>
      </c>
      <c r="P14" s="89">
        <v>65</v>
      </c>
      <c r="Q14" s="233">
        <f t="shared" si="14"/>
        <v>5.2857142857142856</v>
      </c>
      <c r="R14" s="92">
        <f t="shared" si="15"/>
        <v>3.1428571428571428</v>
      </c>
      <c r="S14" s="93">
        <v>22</v>
      </c>
      <c r="T14" s="93">
        <v>0</v>
      </c>
      <c r="U14" s="92">
        <f t="shared" si="16"/>
        <v>22</v>
      </c>
      <c r="V14" s="93">
        <v>19800.22</v>
      </c>
      <c r="W14" s="93">
        <v>0</v>
      </c>
      <c r="X14" s="92">
        <f t="shared" si="17"/>
        <v>19800.22</v>
      </c>
      <c r="Y14" s="93">
        <v>28639.64</v>
      </c>
      <c r="Z14" s="93">
        <v>0</v>
      </c>
      <c r="AA14" s="92">
        <f t="shared" si="18"/>
        <v>28639.64</v>
      </c>
      <c r="AB14" s="92">
        <f t="shared" si="19"/>
        <v>31289.05</v>
      </c>
      <c r="AC14" s="234">
        <f t="shared" si="20"/>
        <v>1.187215545808005E-2</v>
      </c>
      <c r="AD14" s="92">
        <f t="shared" si="21"/>
        <v>2707.98</v>
      </c>
      <c r="AE14" s="93">
        <v>10840.8</v>
      </c>
      <c r="AF14" s="234">
        <f t="shared" si="22"/>
        <v>0.37852431105977585</v>
      </c>
      <c r="AG14" s="93">
        <v>3318.74</v>
      </c>
      <c r="AH14" s="93">
        <f>358+339</f>
        <v>697</v>
      </c>
      <c r="AI14" s="93">
        <f>1190+138</f>
        <v>1328</v>
      </c>
      <c r="AJ14" s="93">
        <v>295</v>
      </c>
      <c r="AK14" s="93"/>
      <c r="AL14" s="122">
        <f t="shared" si="6"/>
        <v>459.79587225009647</v>
      </c>
      <c r="AM14" s="93">
        <v>140</v>
      </c>
      <c r="AN14" s="94">
        <f t="shared" si="23"/>
        <v>1130.592562</v>
      </c>
      <c r="AO14" s="95">
        <f t="shared" si="24"/>
        <v>7721.7315657499039</v>
      </c>
      <c r="AP14" s="96"/>
      <c r="AQ14" s="97">
        <f t="shared" si="7"/>
        <v>1301.8018181818181</v>
      </c>
      <c r="AR14" s="98">
        <f t="shared" si="8"/>
        <v>123.09</v>
      </c>
      <c r="AS14" s="98">
        <f t="shared" si="9"/>
        <v>492.76363636363635</v>
      </c>
      <c r="AT14" s="98">
        <f t="shared" si="10"/>
        <v>150.85181818181817</v>
      </c>
      <c r="AU14" s="98">
        <f t="shared" si="25"/>
        <v>105.45454545454545</v>
      </c>
      <c r="AV14" s="98">
        <f t="array" ref="AV14">_xlfn.IFS(U14=0,AO14,U14&lt;0,AO14/-U14,U14&gt;0,AO14/U14)</f>
        <v>350.98779844317744</v>
      </c>
      <c r="AW14" s="234">
        <f t="shared" si="32"/>
        <v>0.26961692136318416</v>
      </c>
      <c r="AX14" s="234">
        <f t="shared" si="33"/>
        <v>2.8514728933558975</v>
      </c>
      <c r="AY14" s="99"/>
      <c r="AZ14" s="94">
        <f t="shared" si="13"/>
        <v>717770.04781629785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4094</v>
      </c>
      <c r="F15" s="93">
        <v>40</v>
      </c>
      <c r="G15" s="93">
        <v>7</v>
      </c>
      <c r="H15" s="93">
        <v>313</v>
      </c>
      <c r="I15" s="93">
        <v>0</v>
      </c>
      <c r="J15" s="93">
        <v>3734</v>
      </c>
      <c r="K15" s="92">
        <v>123.09</v>
      </c>
      <c r="L15" s="92">
        <f t="shared" si="34"/>
        <v>503930.46</v>
      </c>
      <c r="M15" s="89">
        <v>55</v>
      </c>
      <c r="N15" s="89">
        <v>59</v>
      </c>
      <c r="O15" s="89">
        <v>1301</v>
      </c>
      <c r="P15" s="89">
        <v>63</v>
      </c>
      <c r="Q15" s="233">
        <f t="shared" si="14"/>
        <v>8.4285714285714288</v>
      </c>
      <c r="R15" s="92">
        <f t="shared" si="15"/>
        <v>6.1428571428571432</v>
      </c>
      <c r="S15" s="93">
        <v>43</v>
      </c>
      <c r="T15" s="93">
        <v>0</v>
      </c>
      <c r="U15" s="92">
        <f t="shared" si="16"/>
        <v>43</v>
      </c>
      <c r="V15" s="93">
        <v>38229.649999999994</v>
      </c>
      <c r="W15" s="93">
        <v>0</v>
      </c>
      <c r="X15" s="92">
        <f t="shared" si="17"/>
        <v>38229.649999999994</v>
      </c>
      <c r="Y15" s="93">
        <v>55894.590000000004</v>
      </c>
      <c r="Z15" s="93">
        <v>0</v>
      </c>
      <c r="AA15" s="92">
        <f t="shared" si="18"/>
        <v>55894.590000000004</v>
      </c>
      <c r="AB15" s="92">
        <f t="shared" si="19"/>
        <v>48358.17</v>
      </c>
      <c r="AC15" s="234">
        <f t="shared" si="20"/>
        <v>2.3170307369284202E-2</v>
      </c>
      <c r="AD15" s="92">
        <f t="shared" si="21"/>
        <v>5292.87</v>
      </c>
      <c r="AE15" s="93">
        <v>21221.659999999996</v>
      </c>
      <c r="AF15" s="234">
        <f t="shared" si="22"/>
        <v>0.37967288068487476</v>
      </c>
      <c r="AG15" s="93">
        <v>4213.630000000001</v>
      </c>
      <c r="AH15" s="93">
        <v>464</v>
      </c>
      <c r="AI15" s="93">
        <f>1204+526</f>
        <v>1730</v>
      </c>
      <c r="AJ15" s="93">
        <v>346</v>
      </c>
      <c r="AK15" s="93"/>
      <c r="AL15" s="122">
        <f t="shared" si="6"/>
        <v>324.86706098031652</v>
      </c>
      <c r="AM15" s="93">
        <v>0</v>
      </c>
      <c r="AN15" s="94">
        <f t="shared" si="23"/>
        <v>2182.9130149999996</v>
      </c>
      <c r="AO15" s="95">
        <f t="shared" si="24"/>
        <v>20118.64992401969</v>
      </c>
      <c r="AP15" s="96"/>
      <c r="AQ15" s="97">
        <f t="shared" si="7"/>
        <v>1299.8741860465118</v>
      </c>
      <c r="AR15" s="98">
        <f t="shared" si="8"/>
        <v>123.09</v>
      </c>
      <c r="AS15" s="98">
        <f t="shared" si="9"/>
        <v>493.52697674418596</v>
      </c>
      <c r="AT15" s="98">
        <f t="shared" si="10"/>
        <v>97.99139534883723</v>
      </c>
      <c r="AU15" s="98">
        <f t="shared" si="25"/>
        <v>59.069767441860463</v>
      </c>
      <c r="AV15" s="98">
        <f t="array" ref="AV15">_xlfn.IFS(U15=0,AO15,U15&lt;0,AO15/-U15,U15&gt;0,AO15/U15)</f>
        <v>467.8755796283649</v>
      </c>
      <c r="AW15" s="234">
        <f t="shared" si="32"/>
        <v>0.35993912691764424</v>
      </c>
      <c r="AX15" s="234">
        <f t="shared" si="33"/>
        <v>3.8010852191759272</v>
      </c>
      <c r="AY15" s="99"/>
      <c r="AZ15" s="94">
        <f t="shared" si="13"/>
        <v>1915482.6229985259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2260</v>
      </c>
      <c r="F16" s="93">
        <v>120</v>
      </c>
      <c r="G16" s="93">
        <v>31</v>
      </c>
      <c r="H16" s="93">
        <v>553</v>
      </c>
      <c r="I16" s="93">
        <v>2</v>
      </c>
      <c r="J16" s="93">
        <v>1554</v>
      </c>
      <c r="K16" s="92">
        <v>117.24</v>
      </c>
      <c r="L16" s="92">
        <f t="shared" si="34"/>
        <v>264962.39999999997</v>
      </c>
      <c r="M16" s="89">
        <v>30</v>
      </c>
      <c r="N16" s="89">
        <v>198</v>
      </c>
      <c r="O16" s="89">
        <v>1336</v>
      </c>
      <c r="P16" s="89">
        <v>72</v>
      </c>
      <c r="Q16" s="233">
        <f t="shared" si="14"/>
        <v>28.285714285714285</v>
      </c>
      <c r="R16" s="92">
        <f t="shared" si="15"/>
        <v>19.285714285714285</v>
      </c>
      <c r="S16" s="93">
        <v>135</v>
      </c>
      <c r="T16" s="93">
        <v>0</v>
      </c>
      <c r="U16" s="92">
        <f t="shared" si="16"/>
        <v>135</v>
      </c>
      <c r="V16" s="93">
        <v>132857.87999999998</v>
      </c>
      <c r="W16" s="93">
        <v>0</v>
      </c>
      <c r="X16" s="92">
        <f t="shared" si="17"/>
        <v>132857.87999999998</v>
      </c>
      <c r="Y16" s="93">
        <v>193608.72000000003</v>
      </c>
      <c r="Z16" s="93">
        <v>0</v>
      </c>
      <c r="AA16" s="92">
        <f t="shared" si="18"/>
        <v>193608.72000000003</v>
      </c>
      <c r="AB16" s="92">
        <f t="shared" si="19"/>
        <v>190460.16</v>
      </c>
      <c r="AC16" s="234">
        <f t="shared" si="20"/>
        <v>8.0257741433896954E-2</v>
      </c>
      <c r="AD16" s="92">
        <f t="shared" si="21"/>
        <v>15827.4</v>
      </c>
      <c r="AE16" s="93">
        <v>73265.160000000105</v>
      </c>
      <c r="AF16" s="234">
        <f t="shared" si="22"/>
        <v>0.3784186993230475</v>
      </c>
      <c r="AG16" s="93">
        <v>12754.04000000001</v>
      </c>
      <c r="AH16" s="93">
        <v>292</v>
      </c>
      <c r="AI16" s="93">
        <f>9635+438</f>
        <v>10073</v>
      </c>
      <c r="AJ16" s="93">
        <v>11866</v>
      </c>
      <c r="AK16" s="93"/>
      <c r="AL16" s="122">
        <f t="shared" si="6"/>
        <v>573.96640486298725</v>
      </c>
      <c r="AM16" s="93">
        <v>10</v>
      </c>
      <c r="AN16" s="94">
        <f t="shared" si="23"/>
        <v>7586.1849479999983</v>
      </c>
      <c r="AO16" s="95">
        <f t="shared" si="24"/>
        <v>61360.968647136935</v>
      </c>
      <c r="AP16" s="96"/>
      <c r="AQ16" s="97">
        <f t="shared" si="7"/>
        <v>1434.1386666666669</v>
      </c>
      <c r="AR16" s="98">
        <f t="shared" si="8"/>
        <v>117.24</v>
      </c>
      <c r="AS16" s="98">
        <f t="shared" si="9"/>
        <v>542.70488888888963</v>
      </c>
      <c r="AT16" s="98">
        <f t="shared" si="10"/>
        <v>94.474370370370451</v>
      </c>
      <c r="AU16" s="98">
        <f t="shared" si="25"/>
        <v>164.67407407407407</v>
      </c>
      <c r="AV16" s="98">
        <f t="array" ref="AV16">_xlfn.IFS(U16=0,AO16,U16&lt;0,AO16/-U16,U16&gt;0,AO16/U16)</f>
        <v>454.52569368249584</v>
      </c>
      <c r="AW16" s="234">
        <f t="shared" si="32"/>
        <v>0.31693287702711387</v>
      </c>
      <c r="AX16" s="234">
        <f t="shared" si="33"/>
        <v>3.87688240943787</v>
      </c>
      <c r="AY16" s="99"/>
      <c r="AZ16" s="94">
        <f t="shared" si="13"/>
        <v>1027228.0677224406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1480</v>
      </c>
      <c r="F17" s="93">
        <v>26</v>
      </c>
      <c r="G17" s="93">
        <v>10</v>
      </c>
      <c r="H17" s="93">
        <v>90</v>
      </c>
      <c r="I17" s="93">
        <v>1</v>
      </c>
      <c r="J17" s="93">
        <v>1353</v>
      </c>
      <c r="K17" s="93">
        <v>123.09</v>
      </c>
      <c r="L17" s="92">
        <f t="shared" si="34"/>
        <v>182173.2</v>
      </c>
      <c r="M17" s="89">
        <v>29</v>
      </c>
      <c r="N17" s="89">
        <v>47</v>
      </c>
      <c r="O17" s="89">
        <v>1480</v>
      </c>
      <c r="P17" s="89">
        <v>46</v>
      </c>
      <c r="Q17" s="233">
        <f t="shared" si="14"/>
        <v>6.7142857142857144</v>
      </c>
      <c r="R17" s="92">
        <f t="shared" si="15"/>
        <v>3.8571428571428572</v>
      </c>
      <c r="S17" s="93">
        <v>27</v>
      </c>
      <c r="T17" s="93">
        <v>0</v>
      </c>
      <c r="U17" s="92">
        <f t="shared" si="16"/>
        <v>27</v>
      </c>
      <c r="V17" s="93">
        <v>27171.48</v>
      </c>
      <c r="W17" s="93">
        <v>0</v>
      </c>
      <c r="X17" s="92">
        <f t="shared" si="17"/>
        <v>27171.48</v>
      </c>
      <c r="Y17" s="93">
        <v>39802.909999999996</v>
      </c>
      <c r="Z17" s="93">
        <v>0</v>
      </c>
      <c r="AA17" s="92">
        <f t="shared" si="18"/>
        <v>39802.909999999996</v>
      </c>
      <c r="AB17" s="92">
        <f t="shared" si="19"/>
        <v>31997.599999999999</v>
      </c>
      <c r="AC17" s="234">
        <f t="shared" si="20"/>
        <v>1.6499730276077807E-2</v>
      </c>
      <c r="AD17" s="92">
        <f t="shared" si="21"/>
        <v>3323.4300000000003</v>
      </c>
      <c r="AE17" s="93">
        <v>14954.989999999994</v>
      </c>
      <c r="AF17" s="234">
        <f t="shared" si="22"/>
        <v>0.3757260461609464</v>
      </c>
      <c r="AG17" s="93">
        <v>3384.9799999999991</v>
      </c>
      <c r="AH17" s="93"/>
      <c r="AI17" s="93">
        <f>1216+494</f>
        <v>1710</v>
      </c>
      <c r="AJ17" s="93">
        <v>1272</v>
      </c>
      <c r="AK17" s="93"/>
      <c r="AL17" s="122">
        <f t="shared" si="6"/>
        <v>93.41225395600155</v>
      </c>
      <c r="AM17" s="93">
        <v>0</v>
      </c>
      <c r="AN17" s="94">
        <f t="shared" si="23"/>
        <v>1551.4915079999998</v>
      </c>
      <c r="AO17" s="95">
        <f t="shared" si="24"/>
        <v>13512.606238044002</v>
      </c>
      <c r="AP17" s="96"/>
      <c r="AQ17" s="97">
        <f t="shared" si="7"/>
        <v>1474.1818518518517</v>
      </c>
      <c r="AR17" s="98">
        <f t="shared" si="8"/>
        <v>123.09</v>
      </c>
      <c r="AS17" s="98">
        <f t="shared" si="9"/>
        <v>553.88851851851825</v>
      </c>
      <c r="AT17" s="98">
        <f t="shared" si="10"/>
        <v>125.3696296296296</v>
      </c>
      <c r="AU17" s="98">
        <f t="shared" si="25"/>
        <v>110.44444444444444</v>
      </c>
      <c r="AV17" s="98">
        <f t="array" ref="AV17">_xlfn.IFS(U17=0,AO17,U17&lt;0,AO17/-U17,U17&gt;0,AO17/U17)</f>
        <v>500.46689770533339</v>
      </c>
      <c r="AW17" s="234">
        <f t="shared" si="32"/>
        <v>0.33948789769501786</v>
      </c>
      <c r="AX17" s="234">
        <f t="shared" si="33"/>
        <v>4.0658615460665644</v>
      </c>
      <c r="AY17" s="99"/>
      <c r="AZ17" s="94">
        <f t="shared" si="13"/>
        <v>740691.00860389345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1402</v>
      </c>
      <c r="F18" s="93">
        <v>25</v>
      </c>
      <c r="G18" s="93">
        <v>16</v>
      </c>
      <c r="H18" s="93">
        <v>400</v>
      </c>
      <c r="I18" s="93">
        <v>2</v>
      </c>
      <c r="J18" s="93">
        <v>959</v>
      </c>
      <c r="K18" s="93">
        <v>123.09</v>
      </c>
      <c r="L18" s="92">
        <f t="shared" si="34"/>
        <v>172572.18</v>
      </c>
      <c r="M18" s="89">
        <v>240</v>
      </c>
      <c r="N18" s="89">
        <v>36</v>
      </c>
      <c r="O18" s="89">
        <v>1456</v>
      </c>
      <c r="P18" s="89">
        <v>38</v>
      </c>
      <c r="Q18" s="233">
        <f t="shared" si="14"/>
        <v>5.1428571428571432</v>
      </c>
      <c r="R18" s="92">
        <f t="shared" si="15"/>
        <v>2.5714285714285716</v>
      </c>
      <c r="S18" s="93">
        <v>20</v>
      </c>
      <c r="T18" s="93">
        <v>-2</v>
      </c>
      <c r="U18" s="92">
        <f t="shared" si="16"/>
        <v>18</v>
      </c>
      <c r="V18" s="93">
        <v>23389.899999999998</v>
      </c>
      <c r="W18" s="93">
        <v>-2218</v>
      </c>
      <c r="X18" s="92">
        <f t="shared" si="17"/>
        <v>21171.899999999998</v>
      </c>
      <c r="Y18" s="93">
        <v>34098.61</v>
      </c>
      <c r="Z18" s="93">
        <v>-3604</v>
      </c>
      <c r="AA18" s="92">
        <f t="shared" si="18"/>
        <v>30494.61</v>
      </c>
      <c r="AB18" s="92">
        <f t="shared" si="19"/>
        <v>19918.080000000002</v>
      </c>
      <c r="AC18" s="234">
        <f t="shared" si="20"/>
        <v>1.2641106890782234E-2</v>
      </c>
      <c r="AD18" s="92">
        <f t="shared" si="21"/>
        <v>2215.62</v>
      </c>
      <c r="AE18" s="93">
        <v>11504.019999999999</v>
      </c>
      <c r="AF18" s="234">
        <f t="shared" si="22"/>
        <v>0.37724765130624716</v>
      </c>
      <c r="AG18" s="93">
        <v>4225.8699999999963</v>
      </c>
      <c r="AH18" s="93"/>
      <c r="AI18" s="93">
        <f>7188+381</f>
        <v>7569</v>
      </c>
      <c r="AJ18" s="93">
        <v>2406</v>
      </c>
      <c r="AK18" s="93"/>
      <c r="AL18" s="122">
        <f t="shared" si="6"/>
        <v>415.16557313778463</v>
      </c>
      <c r="AM18" s="93">
        <v>0</v>
      </c>
      <c r="AN18" s="94">
        <f t="shared" si="23"/>
        <v>1208.9154899999999</v>
      </c>
      <c r="AO18" s="95">
        <f t="shared" si="24"/>
        <v>950.01893686222138</v>
      </c>
      <c r="AP18" s="96"/>
      <c r="AQ18" s="97">
        <f t="shared" si="7"/>
        <v>1694.145</v>
      </c>
      <c r="AR18" s="98">
        <f t="shared" si="8"/>
        <v>123.09</v>
      </c>
      <c r="AS18" s="98">
        <f t="shared" si="9"/>
        <v>639.11222222222216</v>
      </c>
      <c r="AT18" s="98">
        <f t="shared" si="10"/>
        <v>211.29349999999982</v>
      </c>
      <c r="AU18" s="98">
        <f t="shared" si="25"/>
        <v>498.75</v>
      </c>
      <c r="AV18" s="98">
        <f t="array" ref="AV18">_xlfn.IFS(U18=0,AO18,U18&lt;0,AO18/-U18,U18&gt;0,AO18/U18)</f>
        <v>52.778829825678969</v>
      </c>
      <c r="AW18" s="234">
        <f t="shared" si="32"/>
        <v>3.1153667381292022E-2</v>
      </c>
      <c r="AX18" s="234">
        <f t="shared" si="33"/>
        <v>0.42878243420000783</v>
      </c>
      <c r="AY18" s="99"/>
      <c r="AZ18" s="94">
        <f t="shared" si="13"/>
        <v>73995.919415601908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4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298</v>
      </c>
      <c r="F20" s="93">
        <v>3</v>
      </c>
      <c r="G20" s="93">
        <v>1</v>
      </c>
      <c r="H20" s="93">
        <v>152</v>
      </c>
      <c r="I20" s="93">
        <v>1</v>
      </c>
      <c r="J20" s="93">
        <v>141</v>
      </c>
      <c r="K20" s="93">
        <v>117.24</v>
      </c>
      <c r="L20" s="92">
        <f t="shared" si="34"/>
        <v>34937.519999999997</v>
      </c>
      <c r="M20" s="89">
        <v>130</v>
      </c>
      <c r="N20" s="89">
        <v>5</v>
      </c>
      <c r="O20" s="89">
        <v>1201</v>
      </c>
      <c r="P20" s="89">
        <v>100</v>
      </c>
      <c r="Q20" s="233">
        <f t="shared" si="14"/>
        <v>0.7142857142857143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1617</v>
      </c>
      <c r="W20" s="93">
        <v>0</v>
      </c>
      <c r="X20" s="92">
        <f t="shared" si="17"/>
        <v>1617</v>
      </c>
      <c r="Y20" s="93">
        <v>2365.9700000000003</v>
      </c>
      <c r="Z20" s="93">
        <v>0</v>
      </c>
      <c r="AA20" s="92">
        <f t="shared" si="18"/>
        <v>2365.9700000000003</v>
      </c>
      <c r="AB20" s="92">
        <f t="shared" si="19"/>
        <v>6005</v>
      </c>
      <c r="AC20" s="234">
        <f t="shared" si="20"/>
        <v>9.8077921542148077E-4</v>
      </c>
      <c r="AD20" s="92">
        <f t="shared" si="21"/>
        <v>234.48</v>
      </c>
      <c r="AE20" s="93">
        <v>898.68000000000029</v>
      </c>
      <c r="AF20" s="234">
        <f t="shared" si="22"/>
        <v>0.37983575446856899</v>
      </c>
      <c r="AG20" s="93">
        <v>114.11</v>
      </c>
      <c r="AH20" s="93"/>
      <c r="AI20" s="93"/>
      <c r="AJ20" s="93"/>
      <c r="AK20" s="93"/>
      <c r="AL20" s="122">
        <f t="shared" si="6"/>
        <v>157.76291779235817</v>
      </c>
      <c r="AM20" s="93">
        <v>0</v>
      </c>
      <c r="AN20" s="94">
        <f t="shared" si="23"/>
        <v>92.330699999999993</v>
      </c>
      <c r="AO20" s="95">
        <f t="shared" si="24"/>
        <v>868.6063822076419</v>
      </c>
      <c r="AP20" s="96"/>
      <c r="AQ20" s="97">
        <f t="shared" si="7"/>
        <v>1182.9850000000001</v>
      </c>
      <c r="AR20" s="98">
        <f>K20</f>
        <v>117.24</v>
      </c>
      <c r="AS20" s="98">
        <f t="shared" si="9"/>
        <v>449.34000000000015</v>
      </c>
      <c r="AT20" s="98">
        <f t="shared" si="10"/>
        <v>57.055</v>
      </c>
      <c r="AU20" s="98">
        <f t="shared" si="25"/>
        <v>0</v>
      </c>
      <c r="AV20" s="98">
        <f t="array" ref="AV20">_xlfn.IFS(U20=0,AO20,U20&lt;0,AO20/-U20,U20&gt;0,AO20/U20)</f>
        <v>434.30319110382095</v>
      </c>
      <c r="AW20" s="234">
        <f t="shared" si="32"/>
        <v>0.36712485036058862</v>
      </c>
      <c r="AX20" s="234">
        <f t="shared" si="33"/>
        <v>3.7043943287599879</v>
      </c>
      <c r="AY20" s="99"/>
      <c r="AZ20" s="94">
        <f t="shared" si="13"/>
        <v>129422.35094893865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302</v>
      </c>
      <c r="F21" s="93">
        <v>6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4"/>
        <v>35406.479999999996</v>
      </c>
      <c r="M21" s="89">
        <v>149</v>
      </c>
      <c r="N21" s="89">
        <v>8</v>
      </c>
      <c r="O21" s="89">
        <v>1201</v>
      </c>
      <c r="P21" s="89">
        <v>100</v>
      </c>
      <c r="Q21" s="233">
        <f t="shared" si="14"/>
        <v>1.1428571428571428</v>
      </c>
      <c r="R21" s="92">
        <f t="shared" si="15"/>
        <v>0.7142857142857143</v>
      </c>
      <c r="S21" s="93">
        <v>5</v>
      </c>
      <c r="T21" s="93">
        <v>0</v>
      </c>
      <c r="U21" s="92">
        <f t="shared" si="16"/>
        <v>5</v>
      </c>
      <c r="V21" s="93">
        <v>4253</v>
      </c>
      <c r="W21" s="93">
        <v>0</v>
      </c>
      <c r="X21" s="92">
        <f t="shared" si="17"/>
        <v>4253</v>
      </c>
      <c r="Y21" s="93">
        <v>6005</v>
      </c>
      <c r="Z21" s="93">
        <v>0</v>
      </c>
      <c r="AA21" s="92">
        <f t="shared" si="18"/>
        <v>6005</v>
      </c>
      <c r="AB21" s="92">
        <f t="shared" si="19"/>
        <v>9608</v>
      </c>
      <c r="AC21" s="234">
        <f t="shared" si="20"/>
        <v>2.4892873487854842E-3</v>
      </c>
      <c r="AD21" s="92">
        <f t="shared" si="21"/>
        <v>586.19999999999993</v>
      </c>
      <c r="AE21" s="93">
        <v>2293.9899999999998</v>
      </c>
      <c r="AF21" s="234">
        <f t="shared" si="22"/>
        <v>0.38201332223147372</v>
      </c>
      <c r="AG21" s="93">
        <v>348.78</v>
      </c>
      <c r="AH21" s="93"/>
      <c r="AI21" s="93"/>
      <c r="AJ21" s="93"/>
      <c r="AK21" s="93"/>
      <c r="AL21" s="122">
        <f t="shared" si="6"/>
        <v>153.61126206098032</v>
      </c>
      <c r="AM21" s="93">
        <v>0</v>
      </c>
      <c r="AN21" s="94">
        <f t="shared" si="23"/>
        <v>242.84629999999999</v>
      </c>
      <c r="AO21" s="95">
        <f t="shared" si="24"/>
        <v>2379.5724379390203</v>
      </c>
      <c r="AP21" s="96"/>
      <c r="AQ21" s="97">
        <f t="shared" si="7"/>
        <v>1201</v>
      </c>
      <c r="AR21" s="98">
        <f t="shared" ref="AR21:AR98" si="35">K21</f>
        <v>117.24</v>
      </c>
      <c r="AS21" s="98">
        <f t="shared" si="9"/>
        <v>458.79799999999994</v>
      </c>
      <c r="AT21" s="98">
        <f t="shared" si="10"/>
        <v>69.756</v>
      </c>
      <c r="AU21" s="98">
        <f t="shared" si="25"/>
        <v>0</v>
      </c>
      <c r="AV21" s="98">
        <f t="array" ref="AV21">_xlfn.IFS(U21=0,AO21,U21&lt;0,AO21/-U21,U21&gt;0,AO21/U21)</f>
        <v>475.91448758780405</v>
      </c>
      <c r="AW21" s="234">
        <f t="shared" si="32"/>
        <v>0.39626518533539057</v>
      </c>
      <c r="AX21" s="234">
        <f t="shared" si="33"/>
        <v>4.0593183861122828</v>
      </c>
      <c r="AY21" s="99"/>
      <c r="AZ21" s="94">
        <f t="shared" si="13"/>
        <v>143726.17525151683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293</v>
      </c>
      <c r="F22" s="93">
        <v>5</v>
      </c>
      <c r="G22" s="93">
        <v>1</v>
      </c>
      <c r="H22" s="93">
        <v>139</v>
      </c>
      <c r="I22" s="93">
        <v>1</v>
      </c>
      <c r="J22" s="93">
        <v>147</v>
      </c>
      <c r="K22" s="93">
        <v>117.24</v>
      </c>
      <c r="L22" s="92">
        <f t="shared" si="34"/>
        <v>34351.32</v>
      </c>
      <c r="M22" s="89">
        <v>95</v>
      </c>
      <c r="N22" s="89">
        <v>5</v>
      </c>
      <c r="O22" s="89">
        <v>1201</v>
      </c>
      <c r="P22" s="89">
        <v>100</v>
      </c>
      <c r="Q22" s="233">
        <f t="shared" si="14"/>
        <v>0.7142857142857143</v>
      </c>
      <c r="R22" s="92">
        <f t="shared" si="15"/>
        <v>0.5714285714285714</v>
      </c>
      <c r="S22" s="93">
        <v>4</v>
      </c>
      <c r="T22" s="93">
        <v>0</v>
      </c>
      <c r="U22" s="92">
        <f t="shared" si="16"/>
        <v>4</v>
      </c>
      <c r="V22" s="93">
        <v>3355.5</v>
      </c>
      <c r="W22" s="93">
        <v>0</v>
      </c>
      <c r="X22" s="92">
        <f t="shared" si="17"/>
        <v>3355.5</v>
      </c>
      <c r="Y22" s="93">
        <v>4778.57</v>
      </c>
      <c r="Z22" s="93">
        <v>0</v>
      </c>
      <c r="AA22" s="92">
        <f t="shared" si="18"/>
        <v>4778.57</v>
      </c>
      <c r="AB22" s="92">
        <f t="shared" si="19"/>
        <v>6005</v>
      </c>
      <c r="AC22" s="234">
        <f t="shared" si="20"/>
        <v>1.9808882341858201E-3</v>
      </c>
      <c r="AD22" s="92">
        <f t="shared" si="21"/>
        <v>468.96</v>
      </c>
      <c r="AE22" s="93">
        <v>1811.6199999999994</v>
      </c>
      <c r="AF22" s="234">
        <f t="shared" si="22"/>
        <v>0.37911341677531135</v>
      </c>
      <c r="AG22" s="93">
        <v>290.87</v>
      </c>
      <c r="AH22" s="93"/>
      <c r="AI22" s="93"/>
      <c r="AJ22" s="93"/>
      <c r="AK22" s="93"/>
      <c r="AL22" s="122">
        <f t="shared" si="6"/>
        <v>144.27003666538019</v>
      </c>
      <c r="AM22" s="93">
        <v>0</v>
      </c>
      <c r="AN22" s="94">
        <f t="shared" si="23"/>
        <v>191.59905000000001</v>
      </c>
      <c r="AO22" s="95">
        <f t="shared" si="24"/>
        <v>1871.25091333462</v>
      </c>
      <c r="AP22" s="96"/>
      <c r="AQ22" s="97">
        <f t="shared" si="7"/>
        <v>1194.6424999999999</v>
      </c>
      <c r="AR22" s="98">
        <f t="shared" si="35"/>
        <v>117.24</v>
      </c>
      <c r="AS22" s="98">
        <f t="shared" si="9"/>
        <v>452.90499999999986</v>
      </c>
      <c r="AT22" s="98">
        <f t="shared" si="10"/>
        <v>72.717500000000001</v>
      </c>
      <c r="AU22" s="98">
        <f t="shared" si="25"/>
        <v>0</v>
      </c>
      <c r="AV22" s="98">
        <f t="array" ref="AV22">_xlfn.IFS(U22=0,AO22,U22&lt;0,AO22/-U22,U22&gt;0,AO22/U22)</f>
        <v>467.812728333655</v>
      </c>
      <c r="AW22" s="234">
        <f t="shared" si="32"/>
        <v>0.39159223645036489</v>
      </c>
      <c r="AX22" s="234">
        <f t="shared" si="33"/>
        <v>3.9902143324262624</v>
      </c>
      <c r="AY22" s="99"/>
      <c r="AZ22" s="94">
        <f t="shared" si="13"/>
        <v>137069.1294017609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4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26</v>
      </c>
      <c r="F24" s="93" t="s">
        <v>100</v>
      </c>
      <c r="G24" s="93"/>
      <c r="H24" s="93">
        <v>25</v>
      </c>
      <c r="I24" s="93">
        <v>1</v>
      </c>
      <c r="J24" s="93">
        <v>0</v>
      </c>
      <c r="K24" s="93">
        <v>117.24</v>
      </c>
      <c r="L24" s="92">
        <f t="shared" si="34"/>
        <v>3048.24</v>
      </c>
      <c r="M24" s="89">
        <v>204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756.21</v>
      </c>
      <c r="W24" s="93">
        <v>0</v>
      </c>
      <c r="X24" s="92">
        <f t="shared" si="17"/>
        <v>756.21</v>
      </c>
      <c r="Y24" s="93">
        <v>917.76</v>
      </c>
      <c r="Z24" s="93">
        <v>0</v>
      </c>
      <c r="AA24" s="92">
        <f t="shared" si="18"/>
        <v>917.76</v>
      </c>
      <c r="AB24" s="92">
        <f t="shared" si="19"/>
        <v>0</v>
      </c>
      <c r="AC24" s="234">
        <f t="shared" si="20"/>
        <v>3.8044435590697183E-4</v>
      </c>
      <c r="AD24" s="92">
        <f t="shared" si="21"/>
        <v>117.24</v>
      </c>
      <c r="AE24" s="93">
        <v>342.46000000000004</v>
      </c>
      <c r="AF24" s="234">
        <f t="shared" si="22"/>
        <v>0.37314766387726644</v>
      </c>
      <c r="AG24" s="93">
        <v>47.68</v>
      </c>
      <c r="AH24" s="93"/>
      <c r="AI24" s="93"/>
      <c r="AJ24" s="93"/>
      <c r="AK24" s="93"/>
      <c r="AL24" s="122">
        <f t="shared" si="6"/>
        <v>25.94784832111154</v>
      </c>
      <c r="AM24" s="93">
        <v>0</v>
      </c>
      <c r="AN24" s="94">
        <f t="shared" si="23"/>
        <v>43.179591000000002</v>
      </c>
      <c r="AO24" s="95">
        <f t="shared" si="24"/>
        <v>341.25256067888836</v>
      </c>
      <c r="AP24" s="96"/>
      <c r="AQ24" s="97">
        <f t="shared" si="7"/>
        <v>917.76</v>
      </c>
      <c r="AR24" s="98">
        <f t="shared" si="35"/>
        <v>117.24</v>
      </c>
      <c r="AS24" s="98">
        <f t="shared" si="9"/>
        <v>342.46000000000004</v>
      </c>
      <c r="AT24" s="98">
        <f t="shared" si="10"/>
        <v>47.68</v>
      </c>
      <c r="AU24" s="98">
        <f t="shared" si="25"/>
        <v>0</v>
      </c>
      <c r="AV24" s="98">
        <f t="array" ref="AV24">_xlfn.IFS(U24=0,AO24,U24&lt;0,AO24/-U24,U24&gt;0,AO24/U24)</f>
        <v>341.25256067888836</v>
      </c>
      <c r="AW24" s="234">
        <f t="shared" si="32"/>
        <v>0.3718320265416758</v>
      </c>
      <c r="AX24" s="234">
        <f t="shared" si="33"/>
        <v>2.9107178495299246</v>
      </c>
      <c r="AY24" s="99"/>
      <c r="AZ24" s="94">
        <f t="shared" si="13"/>
        <v>8872.5665776510978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4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757</v>
      </c>
      <c r="F26" s="93">
        <v>5</v>
      </c>
      <c r="G26" s="93">
        <v>3</v>
      </c>
      <c r="H26" s="93">
        <v>361</v>
      </c>
      <c r="I26" s="93">
        <v>376</v>
      </c>
      <c r="J26" s="93">
        <v>12</v>
      </c>
      <c r="K26" s="93">
        <v>123.09</v>
      </c>
      <c r="L26" s="92">
        <f t="shared" si="34"/>
        <v>93179.13</v>
      </c>
      <c r="M26" s="89">
        <v>999</v>
      </c>
      <c r="N26" s="89">
        <v>9</v>
      </c>
      <c r="O26" s="89">
        <v>1240</v>
      </c>
      <c r="P26" s="89">
        <v>50</v>
      </c>
      <c r="Q26" s="233">
        <f t="shared" si="14"/>
        <v>1.2857142857142858</v>
      </c>
      <c r="R26" s="92">
        <f t="shared" si="15"/>
        <v>0.5714285714285714</v>
      </c>
      <c r="S26" s="93">
        <v>4</v>
      </c>
      <c r="T26" s="93">
        <v>0</v>
      </c>
      <c r="U26" s="92">
        <f t="shared" si="16"/>
        <v>4</v>
      </c>
      <c r="V26" s="93">
        <v>3306</v>
      </c>
      <c r="W26" s="93">
        <v>0</v>
      </c>
      <c r="X26" s="92">
        <f t="shared" si="17"/>
        <v>3306</v>
      </c>
      <c r="Y26" s="93">
        <v>4960</v>
      </c>
      <c r="Z26" s="93">
        <v>0</v>
      </c>
      <c r="AA26" s="92">
        <f t="shared" si="18"/>
        <v>4960</v>
      </c>
      <c r="AB26" s="92">
        <f t="shared" si="19"/>
        <v>5580</v>
      </c>
      <c r="AC26" s="234">
        <f t="shared" si="20"/>
        <v>2.0560974604456289E-3</v>
      </c>
      <c r="AD26" s="92">
        <f t="shared" si="21"/>
        <v>492.36</v>
      </c>
      <c r="AE26" s="93">
        <v>1880.6399999999999</v>
      </c>
      <c r="AF26" s="234">
        <f t="shared" si="22"/>
        <v>0.37916129032258061</v>
      </c>
      <c r="AG26" s="93">
        <v>699.49</v>
      </c>
      <c r="AH26" s="93">
        <v>28</v>
      </c>
      <c r="AI26" s="93">
        <f>48+64</f>
        <v>112</v>
      </c>
      <c r="AJ26" s="93"/>
      <c r="AK26" s="93"/>
      <c r="AL26" s="122">
        <f t="shared" si="6"/>
        <v>374.68692975685065</v>
      </c>
      <c r="AM26" s="93">
        <v>0</v>
      </c>
      <c r="AN26" s="94">
        <f t="shared" si="23"/>
        <v>188.77259999999998</v>
      </c>
      <c r="AO26" s="95">
        <f t="shared" si="24"/>
        <v>1184.0504702431497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470.15999999999997</v>
      </c>
      <c r="AT26" s="98">
        <f t="shared" si="10"/>
        <v>174.8725</v>
      </c>
      <c r="AU26" s="98">
        <f t="shared" si="25"/>
        <v>35</v>
      </c>
      <c r="AV26" s="98">
        <f t="array" ref="AV26">_xlfn.IFS(U26=0,AO26,U26&lt;0,AO26/-U26,U26&gt;0,AO26/U26)</f>
        <v>296.01261756078742</v>
      </c>
      <c r="AW26" s="234">
        <f t="shared" si="32"/>
        <v>0.23871985287160274</v>
      </c>
      <c r="AX26" s="234">
        <f t="shared" si="33"/>
        <v>2.4048470026873621</v>
      </c>
      <c r="AY26" s="99"/>
      <c r="AZ26" s="94">
        <f t="shared" si="13"/>
        <v>224081.55149351608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701</v>
      </c>
      <c r="F27" s="93">
        <v>3</v>
      </c>
      <c r="G27" s="93"/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4"/>
        <v>127294.59</v>
      </c>
      <c r="M27" s="89">
        <v>26</v>
      </c>
      <c r="N27" s="89">
        <v>2</v>
      </c>
      <c r="O27" s="89">
        <v>478</v>
      </c>
      <c r="P27" s="89">
        <v>100</v>
      </c>
      <c r="Q27" s="233">
        <f t="shared" si="14"/>
        <v>0.2857142857142857</v>
      </c>
      <c r="R27" s="92">
        <f t="shared" si="15"/>
        <v>0.14285714285714285</v>
      </c>
      <c r="S27" s="93">
        <v>1</v>
      </c>
      <c r="T27" s="93">
        <v>0</v>
      </c>
      <c r="U27" s="92">
        <f t="shared" si="16"/>
        <v>1</v>
      </c>
      <c r="V27" s="93">
        <v>306</v>
      </c>
      <c r="W27" s="93">
        <v>0</v>
      </c>
      <c r="X27" s="92">
        <f t="shared" si="17"/>
        <v>306</v>
      </c>
      <c r="Y27" s="93">
        <v>478</v>
      </c>
      <c r="Z27" s="93">
        <v>0</v>
      </c>
      <c r="AA27" s="92">
        <f t="shared" si="18"/>
        <v>478</v>
      </c>
      <c r="AB27" s="92">
        <f t="shared" si="19"/>
        <v>956</v>
      </c>
      <c r="AC27" s="234">
        <f t="shared" si="20"/>
        <v>1.9814810203488116E-4</v>
      </c>
      <c r="AD27" s="92">
        <f t="shared" si="21"/>
        <v>181.59</v>
      </c>
      <c r="AE27" s="93">
        <v>180.74</v>
      </c>
      <c r="AF27" s="234">
        <f t="shared" si="22"/>
        <v>0.37811715481171548</v>
      </c>
      <c r="AG27" s="93">
        <v>139.07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3"/>
        <v>17.4726</v>
      </c>
      <c r="AO27" s="95">
        <f t="shared" si="24"/>
        <v>-40.872600000000034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180.74</v>
      </c>
      <c r="AT27" s="98">
        <f t="shared" si="10"/>
        <v>139.07</v>
      </c>
      <c r="AU27" s="98">
        <f t="shared" si="25"/>
        <v>0</v>
      </c>
      <c r="AV27" s="98">
        <f t="array" ref="AV27">_xlfn.IFS(U27=0,AO27,U27&lt;0,AO27/-U27,U27&gt;0,AO27/U27)</f>
        <v>-40.872600000000034</v>
      </c>
      <c r="AW27" s="234">
        <f t="shared" si="32"/>
        <v>-8.5507531380753204E-2</v>
      </c>
      <c r="AX27" s="234">
        <f t="shared" si="33"/>
        <v>-0.22508177763092699</v>
      </c>
      <c r="AY27" s="99"/>
      <c r="AZ27" s="94">
        <f t="shared" si="13"/>
        <v>-28651.692600000024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740</v>
      </c>
      <c r="F28" s="93">
        <v>63</v>
      </c>
      <c r="G28" s="93">
        <v>19</v>
      </c>
      <c r="H28" s="93">
        <v>658</v>
      </c>
      <c r="I28" s="93">
        <v>0</v>
      </c>
      <c r="J28" s="93">
        <v>0</v>
      </c>
      <c r="K28" s="93">
        <v>133.62</v>
      </c>
      <c r="L28" s="92">
        <f t="shared" si="34"/>
        <v>98878.8</v>
      </c>
      <c r="M28" s="89">
        <v>226</v>
      </c>
      <c r="N28" s="89">
        <v>66</v>
      </c>
      <c r="O28" s="89">
        <v>1539</v>
      </c>
      <c r="P28" s="89">
        <v>43</v>
      </c>
      <c r="Q28" s="233">
        <f t="shared" si="14"/>
        <v>9.4285714285714288</v>
      </c>
      <c r="R28" s="92">
        <f t="shared" si="15"/>
        <v>3</v>
      </c>
      <c r="S28" s="93">
        <v>21</v>
      </c>
      <c r="T28" s="93">
        <v>0</v>
      </c>
      <c r="U28" s="92">
        <f t="shared" si="16"/>
        <v>21</v>
      </c>
      <c r="V28" s="93">
        <v>23152.21</v>
      </c>
      <c r="W28" s="93">
        <v>0</v>
      </c>
      <c r="X28" s="92">
        <f t="shared" si="17"/>
        <v>23152.21</v>
      </c>
      <c r="Y28" s="93">
        <v>33910.519999999997</v>
      </c>
      <c r="Z28" s="93">
        <v>0</v>
      </c>
      <c r="AA28" s="92">
        <f t="shared" si="18"/>
        <v>33910.519999999997</v>
      </c>
      <c r="AB28" s="92">
        <f t="shared" si="19"/>
        <v>43676.82</v>
      </c>
      <c r="AC28" s="234">
        <f t="shared" si="20"/>
        <v>1.4057123801288447E-2</v>
      </c>
      <c r="AD28" s="92">
        <f t="shared" si="21"/>
        <v>2806.02</v>
      </c>
      <c r="AE28" s="93">
        <v>12889.289999999997</v>
      </c>
      <c r="AF28" s="234">
        <f t="shared" si="22"/>
        <v>0.38009709081429593</v>
      </c>
      <c r="AG28" s="93">
        <v>8191.84</v>
      </c>
      <c r="AH28" s="93"/>
      <c r="AI28" s="93">
        <f>1111+2070+270+341+860</f>
        <v>4652</v>
      </c>
      <c r="AJ28" s="93">
        <f>192+6930</f>
        <v>7122</v>
      </c>
      <c r="AK28" s="93"/>
      <c r="AL28" s="122">
        <f t="shared" si="6"/>
        <v>682.94736781165579</v>
      </c>
      <c r="AM28" s="93">
        <v>530</v>
      </c>
      <c r="AN28" s="94">
        <f t="shared" si="23"/>
        <v>1321.9911909999998</v>
      </c>
      <c r="AO28" s="95">
        <f t="shared" si="24"/>
        <v>-4285.5685588116567</v>
      </c>
      <c r="AP28" s="96"/>
      <c r="AQ28" s="97">
        <f t="shared" si="7"/>
        <v>1614.7866666666664</v>
      </c>
      <c r="AR28" s="98">
        <f t="shared" si="35"/>
        <v>133.62</v>
      </c>
      <c r="AS28" s="98">
        <f t="shared" si="9"/>
        <v>613.77571428571412</v>
      </c>
      <c r="AT28" s="98">
        <f t="shared" si="10"/>
        <v>390.08761904761906</v>
      </c>
      <c r="AU28" s="98">
        <f t="shared" si="25"/>
        <v>560.66666666666663</v>
      </c>
      <c r="AV28" s="98">
        <f>_xlfn.IFS(U28=0,AO28,U28&lt;0,AO28/-U28,U28&gt;0,AO28/U28)</f>
        <v>-204.07469327674556</v>
      </c>
      <c r="AW28" s="234">
        <f t="shared" si="32"/>
        <v>-0.12637873317223261</v>
      </c>
      <c r="AX28" s="234">
        <f t="shared" si="33"/>
        <v>-1.5272765549823795</v>
      </c>
      <c r="AY28" s="99"/>
      <c r="AZ28" s="94">
        <f t="shared" si="13"/>
        <v>-151015.27302479171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4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4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4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4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256</v>
      </c>
      <c r="F33" s="93">
        <v>10</v>
      </c>
      <c r="G33" s="93">
        <v>1</v>
      </c>
      <c r="H33" s="93">
        <v>106</v>
      </c>
      <c r="I33" s="93">
        <v>20</v>
      </c>
      <c r="J33" s="93">
        <v>119</v>
      </c>
      <c r="K33" s="93">
        <v>123.09</v>
      </c>
      <c r="L33" s="92">
        <f>E33*K33</f>
        <v>31511.040000000001</v>
      </c>
      <c r="M33" s="89">
        <v>341</v>
      </c>
      <c r="N33" s="89">
        <v>13</v>
      </c>
      <c r="O33" s="89">
        <v>1300</v>
      </c>
      <c r="P33" s="89">
        <v>33</v>
      </c>
      <c r="Q33" s="233">
        <f t="shared" si="14"/>
        <v>1.8571428571428572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2021.89</v>
      </c>
      <c r="W33" s="93">
        <v>0</v>
      </c>
      <c r="X33" s="92">
        <f t="shared" si="17"/>
        <v>2021.89</v>
      </c>
      <c r="Y33" s="93">
        <v>2799.9700000000003</v>
      </c>
      <c r="Z33" s="93">
        <v>0</v>
      </c>
      <c r="AA33" s="92">
        <f t="shared" si="18"/>
        <v>2799.9700000000003</v>
      </c>
      <c r="AB33" s="92">
        <f t="shared" si="19"/>
        <v>5577</v>
      </c>
      <c r="AC33" s="234">
        <f t="shared" si="20"/>
        <v>1.1606877432104733E-3</v>
      </c>
      <c r="AD33" s="92">
        <f t="shared" si="21"/>
        <v>246.18</v>
      </c>
      <c r="AE33" s="93">
        <v>1052.1400000000003</v>
      </c>
      <c r="AF33" s="234">
        <f t="shared" si="22"/>
        <v>0.37576831180334086</v>
      </c>
      <c r="AG33" s="93">
        <v>330.94</v>
      </c>
      <c r="AH33" s="93">
        <v>424</v>
      </c>
      <c r="AI33" s="93"/>
      <c r="AJ33" s="93"/>
      <c r="AK33" s="93"/>
      <c r="AL33" s="122">
        <f t="shared" si="6"/>
        <v>110.01887688151294</v>
      </c>
      <c r="AM33" s="93">
        <v>0</v>
      </c>
      <c r="AN33" s="94">
        <f t="shared" si="23"/>
        <v>115.44991900000001</v>
      </c>
      <c r="AO33" s="95">
        <f t="shared" si="24"/>
        <v>521.24120411848708</v>
      </c>
      <c r="AP33" s="96"/>
      <c r="AQ33" s="97">
        <f t="shared" si="7"/>
        <v>1399.9850000000001</v>
      </c>
      <c r="AR33" s="98">
        <f t="shared" si="35"/>
        <v>123.09</v>
      </c>
      <c r="AS33" s="98">
        <f t="shared" si="9"/>
        <v>526.07000000000016</v>
      </c>
      <c r="AT33" s="98">
        <f t="shared" si="10"/>
        <v>165.47</v>
      </c>
      <c r="AU33" s="98">
        <f t="shared" si="25"/>
        <v>212</v>
      </c>
      <c r="AV33" s="98">
        <f t="array" ref="AV33">_xlfn.IFS(U33=0,AO33,U33&lt;0,AO33/-U33,U33&gt;0,AO33/U33)</f>
        <v>260.62060205924354</v>
      </c>
      <c r="AW33" s="234">
        <f>IF(AQ33=0,0,AV33/AQ33)</f>
        <v>0.18615956746625392</v>
      </c>
      <c r="AX33" s="234">
        <f>IF(AR33=0,0,AV33/AR33)</f>
        <v>2.1173174267547612</v>
      </c>
      <c r="AY33" s="99"/>
      <c r="AZ33" s="94">
        <f t="shared" si="13"/>
        <v>66718.874127166346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276</v>
      </c>
      <c r="W34" s="93">
        <v>0</v>
      </c>
      <c r="X34" s="92">
        <f t="shared" si="17"/>
        <v>276</v>
      </c>
      <c r="Y34" s="93">
        <v>439</v>
      </c>
      <c r="Z34" s="93">
        <v>0</v>
      </c>
      <c r="AA34" s="92">
        <f t="shared" si="18"/>
        <v>439</v>
      </c>
      <c r="AB34" s="92">
        <f t="shared" si="19"/>
        <v>0</v>
      </c>
      <c r="AC34" s="234">
        <f t="shared" si="20"/>
        <v>1.8198120668057077E-4</v>
      </c>
      <c r="AD34" s="92">
        <f t="shared" si="21"/>
        <v>117.24</v>
      </c>
      <c r="AE34" s="93">
        <v>165.77999999999997</v>
      </c>
      <c r="AF34" s="234">
        <f t="shared" si="22"/>
        <v>0.37763097949886099</v>
      </c>
      <c r="AG34" s="93">
        <v>64.41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15.759599999999999</v>
      </c>
      <c r="AO34" s="95">
        <f t="shared" si="24"/>
        <v>75.810400000000016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165.77999999999997</v>
      </c>
      <c r="AT34" s="98">
        <f t="shared" si="10"/>
        <v>64.41</v>
      </c>
      <c r="AU34" s="98">
        <f t="shared" si="25"/>
        <v>0</v>
      </c>
      <c r="AV34" s="98">
        <f t="array" ref="AV34">_xlfn.IFS(U34=0,AO34,U34&lt;0,AO34/-U34,U34&gt;0,AO34/U34)</f>
        <v>75.810400000000016</v>
      </c>
      <c r="AW34" s="234">
        <f>IF(AQ34=0,0,AV34/AQ34)</f>
        <v>0.17268883826879275</v>
      </c>
      <c r="AX34" s="234">
        <f>IF(AR34=0,0,AV34/AR34)</f>
        <v>0.64662572500852966</v>
      </c>
      <c r="AY34" s="99"/>
      <c r="AZ34" s="94">
        <f t="shared" si="13"/>
        <v>8945.6272000000026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IFERROR($AL$127*H35/$H$127,0)</f>
        <v>0</v>
      </c>
      <c r="AM35" s="93">
        <v>0</v>
      </c>
      <c r="AN35" s="94">
        <f t="shared" si="23"/>
        <v>0</v>
      </c>
      <c r="AO35" s="95">
        <f t="shared" si="24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4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/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92.58</v>
      </c>
      <c r="AH37" s="93"/>
      <c r="AI37" s="93"/>
      <c r="AJ37" s="93"/>
      <c r="AK37" s="93"/>
      <c r="AL37" s="122">
        <f t="shared" si="43"/>
        <v>1.0379139328444615</v>
      </c>
      <c r="AM37" s="93">
        <v>0</v>
      </c>
      <c r="AN37" s="94">
        <f t="shared" si="23"/>
        <v>0</v>
      </c>
      <c r="AO37" s="95">
        <f t="shared" si="24"/>
        <v>-93.617913932844459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92.58</v>
      </c>
      <c r="AU37" s="98">
        <f t="shared" si="25"/>
        <v>0</v>
      </c>
      <c r="AV37" s="98">
        <f t="array" ref="AV37">_xlfn.IFS(U37=0,AO37,U37&lt;0,AO37/-U37,U37&gt;0,AO37/U37)</f>
        <v>-93.617913932844459</v>
      </c>
      <c r="AW37" s="234">
        <f t="shared" si="44"/>
        <v>0</v>
      </c>
      <c r="AX37" s="234">
        <f t="shared" si="45"/>
        <v>-0.55105017324647987</v>
      </c>
      <c r="AY37" s="99"/>
      <c r="AZ37" s="94">
        <f t="shared" si="13"/>
        <v>-2527.6836761868003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1</v>
      </c>
      <c r="G38" s="93">
        <v>1</v>
      </c>
      <c r="H38" s="93">
        <v>41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1</v>
      </c>
      <c r="O38" s="89">
        <v>1197</v>
      </c>
      <c r="P38" s="89">
        <v>0</v>
      </c>
      <c r="Q38" s="233">
        <f t="shared" si="14"/>
        <v>0.14285714285714285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75.650000000000006</v>
      </c>
      <c r="AH38" s="93"/>
      <c r="AI38" s="93"/>
      <c r="AJ38" s="93"/>
      <c r="AK38" s="93"/>
      <c r="AL38" s="122">
        <f t="shared" si="43"/>
        <v>42.554471246622931</v>
      </c>
      <c r="AM38" s="93">
        <v>0</v>
      </c>
      <c r="AN38" s="94">
        <f t="shared" si="23"/>
        <v>0</v>
      </c>
      <c r="AO38" s="95">
        <f t="shared" si="24"/>
        <v>-118.20447124662294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75.650000000000006</v>
      </c>
      <c r="AU38" s="98">
        <f t="shared" si="25"/>
        <v>0</v>
      </c>
      <c r="AV38" s="98">
        <f t="array" ref="AV38">_xlfn.IFS(U38=0,AO38,U38&lt;0,AO38/-U38,U38&gt;0,AO38/U38)</f>
        <v>-118.20447124662294</v>
      </c>
      <c r="AW38" s="234">
        <f t="shared" si="44"/>
        <v>0</v>
      </c>
      <c r="AX38" s="234">
        <f t="shared" si="45"/>
        <v>-1.1199968850352751</v>
      </c>
      <c r="AY38" s="99"/>
      <c r="AZ38" s="94">
        <f t="shared" si="13"/>
        <v>-5200.9967348514092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>
        <v>1</v>
      </c>
      <c r="G39" s="93">
        <v>1</v>
      </c>
      <c r="H39" s="93">
        <v>7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4</v>
      </c>
      <c r="O39" s="89">
        <v>1077</v>
      </c>
      <c r="P39" s="89">
        <v>33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842.29</v>
      </c>
      <c r="W39" s="93">
        <v>0</v>
      </c>
      <c r="X39" s="92">
        <f t="shared" si="17"/>
        <v>842.29</v>
      </c>
      <c r="Y39" s="93">
        <v>1053.6600000000001</v>
      </c>
      <c r="Z39" s="93">
        <v>0</v>
      </c>
      <c r="AA39" s="92">
        <f t="shared" si="18"/>
        <v>1053.6600000000001</v>
      </c>
      <c r="AB39" s="92">
        <f t="shared" si="19"/>
        <v>1421.64</v>
      </c>
      <c r="AC39" s="234">
        <f t="shared" si="20"/>
        <v>4.367797681800688E-4</v>
      </c>
      <c r="AD39" s="92">
        <f t="shared" si="21"/>
        <v>105.54</v>
      </c>
      <c r="AE39" s="93">
        <v>392.49000000000012</v>
      </c>
      <c r="AF39" s="234">
        <f t="shared" si="22"/>
        <v>0.37250156597004735</v>
      </c>
      <c r="AG39" s="93">
        <v>300.34000000000003</v>
      </c>
      <c r="AH39" s="93"/>
      <c r="AI39" s="93"/>
      <c r="AJ39" s="93"/>
      <c r="AK39" s="93"/>
      <c r="AL39" s="122">
        <f t="shared" si="43"/>
        <v>7.2653975299112314</v>
      </c>
      <c r="AM39" s="93">
        <v>0</v>
      </c>
      <c r="AN39" s="94">
        <f t="shared" si="23"/>
        <v>48.094758999999996</v>
      </c>
      <c r="AO39" s="95">
        <f t="shared" si="24"/>
        <v>199.92984347008871</v>
      </c>
      <c r="AP39" s="96"/>
      <c r="AQ39" s="97">
        <f t="shared" si="7"/>
        <v>1053.6600000000001</v>
      </c>
      <c r="AR39" s="98">
        <f t="shared" si="35"/>
        <v>105.54</v>
      </c>
      <c r="AS39" s="98">
        <f t="shared" si="9"/>
        <v>392.49000000000012</v>
      </c>
      <c r="AT39" s="98">
        <f t="shared" si="10"/>
        <v>300.34000000000003</v>
      </c>
      <c r="AU39" s="98">
        <f t="shared" si="25"/>
        <v>0</v>
      </c>
      <c r="AV39" s="98">
        <f t="array" ref="AV39">_xlfn.IFS(U39=0,AO39,U39&lt;0,AO39/-U39,U39&gt;0,AO39/U39)</f>
        <v>199.92984347008871</v>
      </c>
      <c r="AW39" s="234">
        <f t="shared" si="44"/>
        <v>0.18974796753230519</v>
      </c>
      <c r="AX39" s="234">
        <f t="shared" si="45"/>
        <v>1.8943513688657259</v>
      </c>
      <c r="AY39" s="99"/>
      <c r="AZ39" s="94">
        <f t="shared" si="13"/>
        <v>1999.2984347008871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30</v>
      </c>
      <c r="F40" s="93" t="s">
        <v>100</v>
      </c>
      <c r="G40" s="93" t="s">
        <v>100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2"/>
        <v>3166.2000000000003</v>
      </c>
      <c r="M40" s="89">
        <v>266</v>
      </c>
      <c r="N40" s="89">
        <v>0</v>
      </c>
      <c r="O40" s="89">
        <v>0</v>
      </c>
      <c r="P40" s="89">
        <v>0</v>
      </c>
      <c r="Q40" s="233">
        <f t="shared" si="14"/>
        <v>0</v>
      </c>
      <c r="R40" s="92">
        <f t="shared" si="15"/>
        <v>-0.14285714285714285</v>
      </c>
      <c r="S40" s="93">
        <v>0</v>
      </c>
      <c r="T40" s="93">
        <v>-1</v>
      </c>
      <c r="U40" s="92">
        <f t="shared" si="16"/>
        <v>-1</v>
      </c>
      <c r="V40" s="93">
        <v>0</v>
      </c>
      <c r="W40" s="93">
        <v>-808</v>
      </c>
      <c r="X40" s="92">
        <f t="shared" si="17"/>
        <v>-808</v>
      </c>
      <c r="Y40" s="93">
        <v>0</v>
      </c>
      <c r="Z40" s="93">
        <v>-1197</v>
      </c>
      <c r="AA40" s="92">
        <f t="shared" si="18"/>
        <v>-1197</v>
      </c>
      <c r="AB40" s="92">
        <f t="shared" si="19"/>
        <v>0</v>
      </c>
      <c r="AC40" s="234">
        <f t="shared" si="20"/>
        <v>-4.9619932664383417E-4</v>
      </c>
      <c r="AD40" s="92">
        <f t="shared" si="21"/>
        <v>-105.54</v>
      </c>
      <c r="AE40" s="93">
        <v>-454.26</v>
      </c>
      <c r="AF40" s="234">
        <f t="shared" si="22"/>
        <v>0.37949874686716789</v>
      </c>
      <c r="AG40" s="93">
        <v>121.11</v>
      </c>
      <c r="AH40" s="93"/>
      <c r="AI40" s="93"/>
      <c r="AJ40" s="93"/>
      <c r="AK40" s="93"/>
      <c r="AL40" s="122">
        <f t="shared" si="43"/>
        <v>30.099504052489387</v>
      </c>
      <c r="AM40" s="93">
        <v>0</v>
      </c>
      <c r="AN40" s="94">
        <f t="shared" si="23"/>
        <v>-46.136800000000001</v>
      </c>
      <c r="AO40" s="95">
        <f t="shared" si="24"/>
        <v>-742.27270405248942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454.26</v>
      </c>
      <c r="AT40" s="98">
        <f t="shared" si="10"/>
        <v>121.11</v>
      </c>
      <c r="AU40" s="98">
        <f t="shared" si="25"/>
        <v>0</v>
      </c>
      <c r="AV40" s="98">
        <f t="array" ref="AV40">_xlfn.IFS(U40=0,AO40,U40&lt;0,AO40/-U40,U40&gt;0,AO40/U40)</f>
        <v>-742.27270405248942</v>
      </c>
      <c r="AW40" s="234">
        <f t="shared" si="44"/>
        <v>-0.62011086387008307</v>
      </c>
      <c r="AX40" s="234">
        <f t="shared" si="45"/>
        <v>-7.0330936521933802</v>
      </c>
      <c r="AY40" s="99"/>
      <c r="AZ40" s="94">
        <f t="shared" si="13"/>
        <v>-22268.181121574682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41</v>
      </c>
      <c r="F41" s="93" t="s">
        <v>100</v>
      </c>
      <c r="G41" s="93">
        <v>1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2"/>
        <v>5046.6900000000005</v>
      </c>
      <c r="M41" s="89">
        <v>999</v>
      </c>
      <c r="N41" s="89">
        <v>2</v>
      </c>
      <c r="O41" s="89">
        <v>1218</v>
      </c>
      <c r="P41" s="89">
        <v>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810</v>
      </c>
      <c r="W41" s="93">
        <v>0</v>
      </c>
      <c r="X41" s="92">
        <f t="shared" si="17"/>
        <v>810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5.0490457798846289E-4</v>
      </c>
      <c r="AD41" s="92">
        <f t="shared" si="21"/>
        <v>123.09</v>
      </c>
      <c r="AE41" s="93">
        <v>461.75</v>
      </c>
      <c r="AF41" s="234">
        <f t="shared" si="22"/>
        <v>0.37910509031198686</v>
      </c>
      <c r="AG41" s="93">
        <v>244.56</v>
      </c>
      <c r="AH41" s="93"/>
      <c r="AI41" s="93"/>
      <c r="AJ41" s="93"/>
      <c r="AK41" s="93"/>
      <c r="AL41" s="122">
        <f t="shared" si="43"/>
        <v>40.478643380934002</v>
      </c>
      <c r="AM41" s="93">
        <v>0</v>
      </c>
      <c r="AN41" s="94">
        <f t="shared" si="23"/>
        <v>46.250999999999998</v>
      </c>
      <c r="AO41" s="95">
        <f t="shared" si="24"/>
        <v>301.87035661906611</v>
      </c>
      <c r="AP41" s="96"/>
      <c r="AQ41" s="97">
        <f t="shared" si="7"/>
        <v>1218</v>
      </c>
      <c r="AR41" s="98">
        <f t="shared" si="35"/>
        <v>123.09</v>
      </c>
      <c r="AS41" s="98">
        <f t="shared" si="9"/>
        <v>461.75</v>
      </c>
      <c r="AT41" s="98">
        <f t="shared" si="10"/>
        <v>244.56</v>
      </c>
      <c r="AU41" s="98">
        <f t="shared" si="25"/>
        <v>0</v>
      </c>
      <c r="AV41" s="98">
        <f t="array" ref="AV41">_xlfn.IFS(U41=0,AO41,U41&lt;0,AO41/-U41,U41&gt;0,AO41/U41)</f>
        <v>301.87035661906611</v>
      </c>
      <c r="AW41" s="234">
        <f t="shared" si="44"/>
        <v>0.24784101528658958</v>
      </c>
      <c r="AX41" s="234">
        <f t="shared" si="45"/>
        <v>2.452436076196816</v>
      </c>
      <c r="AY41" s="99"/>
      <c r="AZ41" s="94">
        <f t="shared" si="13"/>
        <v>12376.684621381712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29</v>
      </c>
      <c r="F42" s="93">
        <v>1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2"/>
        <v>3569.61</v>
      </c>
      <c r="M42" s="89">
        <v>999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182.41</v>
      </c>
      <c r="AH42" s="93"/>
      <c r="AI42" s="93"/>
      <c r="AJ42" s="93"/>
      <c r="AK42" s="93"/>
      <c r="AL42" s="122">
        <f t="shared" si="43"/>
        <v>26.985762253956</v>
      </c>
      <c r="AM42" s="93">
        <v>0</v>
      </c>
      <c r="AN42" s="94">
        <f t="shared" si="23"/>
        <v>0</v>
      </c>
      <c r="AO42" s="95">
        <f t="shared" si="24"/>
        <v>-209.39576225395601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182.41</v>
      </c>
      <c r="AU42" s="98">
        <f t="shared" si="25"/>
        <v>0</v>
      </c>
      <c r="AV42" s="98">
        <f t="array" ref="AV42">_xlfn.IFS(U42=0,AO42,U42&lt;0,AO42/-U42,U42&gt;0,AO42/U42)</f>
        <v>-209.39576225395601</v>
      </c>
      <c r="AW42" s="234">
        <f t="shared" si="44"/>
        <v>0</v>
      </c>
      <c r="AX42" s="234">
        <f t="shared" si="45"/>
        <v>-1.7011598200825087</v>
      </c>
      <c r="AY42" s="99"/>
      <c r="AZ42" s="94">
        <f t="shared" si="13"/>
        <v>-6072.4771053647246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</v>
      </c>
      <c r="F43" s="93">
        <v>3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2"/>
        <v>492.36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1411</v>
      </c>
      <c r="W43" s="93">
        <v>0</v>
      </c>
      <c r="X43" s="92">
        <f t="shared" si="17"/>
        <v>1411</v>
      </c>
      <c r="Y43" s="93">
        <v>2181</v>
      </c>
      <c r="Z43" s="93">
        <v>0</v>
      </c>
      <c r="AA43" s="92">
        <f t="shared" si="18"/>
        <v>2181</v>
      </c>
      <c r="AB43" s="92">
        <f t="shared" si="19"/>
        <v>0</v>
      </c>
      <c r="AC43" s="234">
        <f t="shared" si="20"/>
        <v>9.0410253250643472E-4</v>
      </c>
      <c r="AD43" s="92">
        <f t="shared" si="21"/>
        <v>246.18</v>
      </c>
      <c r="AE43" s="93">
        <v>831.21</v>
      </c>
      <c r="AF43" s="234">
        <f t="shared" si="22"/>
        <v>0.38111416781292984</v>
      </c>
      <c r="AG43" s="93">
        <v>185.88</v>
      </c>
      <c r="AH43" s="93"/>
      <c r="AI43" s="93"/>
      <c r="AJ43" s="93"/>
      <c r="AK43" s="93"/>
      <c r="AL43" s="122">
        <f t="shared" si="43"/>
        <v>0</v>
      </c>
      <c r="AM43" s="93">
        <v>0</v>
      </c>
      <c r="AN43" s="94">
        <f t="shared" si="23"/>
        <v>80.568100000000001</v>
      </c>
      <c r="AO43" s="95">
        <f t="shared" si="24"/>
        <v>837.16189999999995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415.60500000000002</v>
      </c>
      <c r="AT43" s="98">
        <f t="shared" si="10"/>
        <v>92.94</v>
      </c>
      <c r="AU43" s="98">
        <f t="shared" si="25"/>
        <v>0</v>
      </c>
      <c r="AV43" s="98">
        <f t="array" ref="AV43">_xlfn.IFS(U43=0,AO43,U43&lt;0,AO43/-U43,U43&gt;0,AO43/U43)</f>
        <v>418.58094999999997</v>
      </c>
      <c r="AW43" s="234">
        <f t="shared" si="44"/>
        <v>0.38384314534617148</v>
      </c>
      <c r="AX43" s="234">
        <f t="shared" si="45"/>
        <v>3.4006089040539438</v>
      </c>
      <c r="AY43" s="99"/>
      <c r="AZ43" s="94">
        <f t="shared" si="13"/>
        <v>1674.3237999999999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187</v>
      </c>
      <c r="F44" s="93">
        <v>27</v>
      </c>
      <c r="G44" s="93">
        <v>9</v>
      </c>
      <c r="H44" s="93">
        <v>84</v>
      </c>
      <c r="I44" s="93">
        <v>0</v>
      </c>
      <c r="J44" s="93">
        <v>67</v>
      </c>
      <c r="K44" s="92">
        <v>111.39</v>
      </c>
      <c r="L44" s="92">
        <f t="shared" si="42"/>
        <v>20829.93</v>
      </c>
      <c r="M44" s="89">
        <v>45</v>
      </c>
      <c r="N44" s="89">
        <v>45</v>
      </c>
      <c r="O44" s="89">
        <v>1260</v>
      </c>
      <c r="P44" s="89">
        <v>32</v>
      </c>
      <c r="Q44" s="233">
        <f t="shared" si="14"/>
        <v>6.4285714285714288</v>
      </c>
      <c r="R44" s="92">
        <f t="shared" si="15"/>
        <v>2.1428571428571428</v>
      </c>
      <c r="S44" s="93">
        <v>16</v>
      </c>
      <c r="T44" s="93">
        <v>-1</v>
      </c>
      <c r="U44" s="92">
        <f t="shared" si="16"/>
        <v>15</v>
      </c>
      <c r="V44" s="93">
        <v>14030.41</v>
      </c>
      <c r="W44" s="93">
        <v>-973.44</v>
      </c>
      <c r="X44" s="92">
        <f t="shared" si="17"/>
        <v>13056.97</v>
      </c>
      <c r="Y44" s="93">
        <v>20076.989999999998</v>
      </c>
      <c r="Z44" s="93">
        <v>-1260.1099999999999</v>
      </c>
      <c r="AA44" s="92">
        <f t="shared" si="18"/>
        <v>18816.879999999997</v>
      </c>
      <c r="AB44" s="92">
        <f t="shared" si="19"/>
        <v>18144</v>
      </c>
      <c r="AC44" s="234">
        <f t="shared" si="20"/>
        <v>7.8002699962722057E-3</v>
      </c>
      <c r="AD44" s="92">
        <f t="shared" si="21"/>
        <v>1670.85</v>
      </c>
      <c r="AE44" s="93">
        <v>7165.7099999999991</v>
      </c>
      <c r="AF44" s="234">
        <f t="shared" si="22"/>
        <v>0.38081286589487739</v>
      </c>
      <c r="AG44" s="93">
        <v>3011.14</v>
      </c>
      <c r="AH44" s="93">
        <v>315</v>
      </c>
      <c r="AI44" s="93">
        <v>55</v>
      </c>
      <c r="AJ44" s="93"/>
      <c r="AK44" s="93"/>
      <c r="AL44" s="122">
        <f t="shared" si="43"/>
        <v>87.184770358934784</v>
      </c>
      <c r="AM44" s="93">
        <v>0</v>
      </c>
      <c r="AN44" s="94">
        <f t="shared" si="23"/>
        <v>745.55298699999992</v>
      </c>
      <c r="AO44" s="95">
        <f t="shared" si="24"/>
        <v>5766.4422426410656</v>
      </c>
      <c r="AP44" s="96"/>
      <c r="AQ44" s="97">
        <f t="shared" si="7"/>
        <v>1254.4586666666664</v>
      </c>
      <c r="AR44" s="98">
        <f t="shared" si="35"/>
        <v>111.39</v>
      </c>
      <c r="AS44" s="98">
        <f t="shared" si="9"/>
        <v>477.71399999999994</v>
      </c>
      <c r="AT44" s="98">
        <f t="shared" si="10"/>
        <v>188.19624999999999</v>
      </c>
      <c r="AU44" s="98">
        <f t="shared" si="25"/>
        <v>23.125</v>
      </c>
      <c r="AV44" s="98">
        <f t="array" ref="AV44">_xlfn.IFS(U44=0,AO44,U44&lt;0,AO44/-U44,U44&gt;0,AO44/U44)</f>
        <v>384.42948284273768</v>
      </c>
      <c r="AW44" s="234">
        <f t="shared" si="44"/>
        <v>0.30645049777864697</v>
      </c>
      <c r="AX44" s="234">
        <f t="shared" si="45"/>
        <v>3.4512028264901486</v>
      </c>
      <c r="AY44" s="99"/>
      <c r="AZ44" s="94">
        <f t="shared" si="13"/>
        <v>71888.313291591941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135</v>
      </c>
      <c r="F45" s="93">
        <v>48</v>
      </c>
      <c r="G45" s="93">
        <v>15</v>
      </c>
      <c r="H45" s="93">
        <v>71</v>
      </c>
      <c r="I45" s="93">
        <v>0</v>
      </c>
      <c r="J45" s="93">
        <v>1</v>
      </c>
      <c r="K45" s="92">
        <v>107.88</v>
      </c>
      <c r="L45" s="92">
        <f t="shared" si="42"/>
        <v>14563.8</v>
      </c>
      <c r="M45" s="89">
        <v>80</v>
      </c>
      <c r="N45" s="89">
        <v>55</v>
      </c>
      <c r="O45" s="89">
        <v>1572</v>
      </c>
      <c r="P45" s="89">
        <v>33</v>
      </c>
      <c r="Q45" s="233">
        <f t="shared" si="14"/>
        <v>7.8571428571428568</v>
      </c>
      <c r="R45" s="92">
        <f t="shared" si="15"/>
        <v>2.1428571428571428</v>
      </c>
      <c r="S45" s="93">
        <v>16</v>
      </c>
      <c r="T45" s="93">
        <v>-1</v>
      </c>
      <c r="U45" s="92">
        <f t="shared" si="16"/>
        <v>15</v>
      </c>
      <c r="V45" s="93">
        <v>19271.62</v>
      </c>
      <c r="W45" s="93">
        <v>-1041</v>
      </c>
      <c r="X45" s="92">
        <f t="shared" si="17"/>
        <v>18230.62</v>
      </c>
      <c r="Y45" s="93">
        <v>27926.54</v>
      </c>
      <c r="Z45" s="93">
        <v>-1530</v>
      </c>
      <c r="AA45" s="92">
        <f t="shared" si="18"/>
        <v>26396.54</v>
      </c>
      <c r="AB45" s="92">
        <f t="shared" si="19"/>
        <v>28531.8</v>
      </c>
      <c r="AC45" s="234">
        <f t="shared" si="20"/>
        <v>1.0942310253740213E-2</v>
      </c>
      <c r="AD45" s="92">
        <f t="shared" si="21"/>
        <v>1618.1999999999998</v>
      </c>
      <c r="AE45" s="93">
        <v>10043.949999999999</v>
      </c>
      <c r="AF45" s="234">
        <f t="shared" si="22"/>
        <v>0.38050252040608346</v>
      </c>
      <c r="AG45" s="93">
        <v>3943.7</v>
      </c>
      <c r="AH45" s="93">
        <f>451+162</f>
        <v>613</v>
      </c>
      <c r="AI45" s="93">
        <f>8736+1124</f>
        <v>9860</v>
      </c>
      <c r="AJ45" s="93">
        <v>2437</v>
      </c>
      <c r="AK45" s="93"/>
      <c r="AL45" s="122">
        <f t="shared" si="43"/>
        <v>73.691889231956779</v>
      </c>
      <c r="AM45" s="93">
        <v>0</v>
      </c>
      <c r="AN45" s="94">
        <f t="shared" si="23"/>
        <v>1040.968402</v>
      </c>
      <c r="AO45" s="95">
        <f t="shared" si="24"/>
        <v>-3233.9702912319544</v>
      </c>
      <c r="AP45" s="96"/>
      <c r="AQ45" s="97">
        <f t="shared" si="7"/>
        <v>1759.7693333333334</v>
      </c>
      <c r="AR45" s="98">
        <f t="shared" si="35"/>
        <v>107.88</v>
      </c>
      <c r="AS45" s="98">
        <f t="shared" si="9"/>
        <v>669.59666666666658</v>
      </c>
      <c r="AT45" s="98">
        <f t="shared" si="10"/>
        <v>246.48124999999999</v>
      </c>
      <c r="AU45" s="98">
        <f t="shared" si="25"/>
        <v>806.875</v>
      </c>
      <c r="AV45" s="98">
        <f t="array" ref="AV45">_xlfn.IFS(U45=0,AO45,U45&lt;0,AO45/-U45,U45&gt;0,AO45/U45)</f>
        <v>-215.59801941546363</v>
      </c>
      <c r="AW45" s="234">
        <f t="shared" si="44"/>
        <v>-0.12251493154905735</v>
      </c>
      <c r="AX45" s="234">
        <f t="shared" si="45"/>
        <v>-1.9984985114522027</v>
      </c>
      <c r="AY45" s="99"/>
      <c r="AZ45" s="94">
        <f t="shared" si="13"/>
        <v>-29105.732621087591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4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51</v>
      </c>
      <c r="F47" s="93">
        <v>7</v>
      </c>
      <c r="G47" s="93"/>
      <c r="H47" s="93">
        <v>34</v>
      </c>
      <c r="I47" s="93">
        <v>0</v>
      </c>
      <c r="J47" s="93">
        <v>10</v>
      </c>
      <c r="K47" s="92">
        <v>123.09</v>
      </c>
      <c r="L47" s="92">
        <f t="shared" si="42"/>
        <v>6277.59</v>
      </c>
      <c r="M47" s="89">
        <v>168</v>
      </c>
      <c r="N47" s="89">
        <v>10</v>
      </c>
      <c r="O47" s="89">
        <v>1404</v>
      </c>
      <c r="P47" s="89">
        <v>67</v>
      </c>
      <c r="Q47" s="233">
        <f t="shared" si="14"/>
        <v>1.4285714285714286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3789</v>
      </c>
      <c r="W47" s="93">
        <v>-950</v>
      </c>
      <c r="X47" s="92">
        <f t="shared" si="17"/>
        <v>2839</v>
      </c>
      <c r="Y47" s="93">
        <v>5573.88</v>
      </c>
      <c r="Z47" s="93">
        <v>-1404</v>
      </c>
      <c r="AA47" s="92">
        <f t="shared" si="18"/>
        <v>4169.88</v>
      </c>
      <c r="AB47" s="92">
        <f t="shared" si="19"/>
        <v>9406.7999999999993</v>
      </c>
      <c r="AC47" s="234">
        <f t="shared" si="20"/>
        <v>1.7285644512828667E-3</v>
      </c>
      <c r="AD47" s="92">
        <f t="shared" si="21"/>
        <v>369.27</v>
      </c>
      <c r="AE47" s="93">
        <v>1591.6100000000001</v>
      </c>
      <c r="AF47" s="234">
        <f t="shared" si="22"/>
        <v>0.38169203909944655</v>
      </c>
      <c r="AG47" s="93">
        <v>412.91999999999996</v>
      </c>
      <c r="AH47" s="93"/>
      <c r="AI47" s="93">
        <v>330</v>
      </c>
      <c r="AJ47" s="93"/>
      <c r="AK47" s="93"/>
      <c r="AL47" s="122">
        <f t="shared" si="43"/>
        <v>35.289073716711698</v>
      </c>
      <c r="AM47" s="93">
        <v>0</v>
      </c>
      <c r="AN47" s="94">
        <f t="shared" si="23"/>
        <v>162.1069</v>
      </c>
      <c r="AO47" s="95">
        <f t="shared" si="24"/>
        <v>1268.6840262832882</v>
      </c>
      <c r="AP47" s="96"/>
      <c r="AQ47" s="97">
        <f t="shared" si="7"/>
        <v>1389.96</v>
      </c>
      <c r="AR47" s="98">
        <f t="shared" si="35"/>
        <v>123.09</v>
      </c>
      <c r="AS47" s="98">
        <f t="shared" si="9"/>
        <v>530.53666666666675</v>
      </c>
      <c r="AT47" s="98">
        <f t="shared" si="10"/>
        <v>103.22999999999999</v>
      </c>
      <c r="AU47" s="98">
        <f t="shared" si="25"/>
        <v>82.5</v>
      </c>
      <c r="AV47" s="98">
        <f t="array" ref="AV47">_xlfn.IFS(U47=0,AO47,U47&lt;0,AO47/-U47,U47&gt;0,AO47/U47)</f>
        <v>422.89467542776271</v>
      </c>
      <c r="AW47" s="234">
        <f t="shared" si="44"/>
        <v>0.30424952907116948</v>
      </c>
      <c r="AX47" s="234">
        <f t="shared" si="45"/>
        <v>3.4356541995918652</v>
      </c>
      <c r="AY47" s="99"/>
      <c r="AZ47" s="94">
        <f t="shared" si="13"/>
        <v>21567.628446815899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256</v>
      </c>
      <c r="F48" s="93">
        <v>40</v>
      </c>
      <c r="G48" s="93">
        <v>8</v>
      </c>
      <c r="H48" s="93">
        <v>207</v>
      </c>
      <c r="I48" s="93">
        <v>0</v>
      </c>
      <c r="J48" s="93">
        <v>1</v>
      </c>
      <c r="K48" s="92">
        <v>107.88</v>
      </c>
      <c r="L48" s="92">
        <f t="shared" si="42"/>
        <v>27617.279999999999</v>
      </c>
      <c r="M48" s="89">
        <v>42</v>
      </c>
      <c r="N48" s="89">
        <v>62</v>
      </c>
      <c r="O48" s="89">
        <v>1412</v>
      </c>
      <c r="P48" s="89">
        <v>61</v>
      </c>
      <c r="Q48" s="233">
        <f t="shared" si="14"/>
        <v>8.8571428571428577</v>
      </c>
      <c r="R48" s="92">
        <f t="shared" si="15"/>
        <v>4.2857142857142856</v>
      </c>
      <c r="S48" s="93">
        <v>32</v>
      </c>
      <c r="T48" s="93">
        <v>-2</v>
      </c>
      <c r="U48" s="92">
        <f t="shared" si="16"/>
        <v>30</v>
      </c>
      <c r="V48" s="93">
        <v>30588</v>
      </c>
      <c r="W48" s="93">
        <v>-2028</v>
      </c>
      <c r="X48" s="92">
        <f t="shared" si="17"/>
        <v>28560</v>
      </c>
      <c r="Y48" s="93">
        <v>45020.639999999999</v>
      </c>
      <c r="Z48" s="93">
        <v>-2824</v>
      </c>
      <c r="AA48" s="92">
        <f t="shared" si="18"/>
        <v>42196.639999999999</v>
      </c>
      <c r="AB48" s="92">
        <f t="shared" si="19"/>
        <v>53401.84</v>
      </c>
      <c r="AC48" s="234">
        <f t="shared" si="20"/>
        <v>1.7492017004705328E-2</v>
      </c>
      <c r="AD48" s="92">
        <f t="shared" si="21"/>
        <v>3236.3999999999996</v>
      </c>
      <c r="AE48" s="93">
        <v>15918.460000000001</v>
      </c>
      <c r="AF48" s="234">
        <f t="shared" si="22"/>
        <v>0.37724472849023055</v>
      </c>
      <c r="AG48" s="93">
        <v>5134.1099999999979</v>
      </c>
      <c r="AH48" s="93"/>
      <c r="AI48" s="93">
        <v>1744</v>
      </c>
      <c r="AJ48" s="93">
        <v>1022</v>
      </c>
      <c r="AK48" s="93"/>
      <c r="AL48" s="122">
        <f t="shared" si="43"/>
        <v>214.84818409880356</v>
      </c>
      <c r="AM48" s="93">
        <v>0</v>
      </c>
      <c r="AN48" s="94">
        <f t="shared" si="23"/>
        <v>1630.7759999999998</v>
      </c>
      <c r="AO48" s="95">
        <f t="shared" si="24"/>
        <v>13296.045815901198</v>
      </c>
      <c r="AP48" s="96"/>
      <c r="AQ48" s="97">
        <f t="shared" si="7"/>
        <v>1406.5546666666667</v>
      </c>
      <c r="AR48" s="98">
        <f t="shared" si="35"/>
        <v>107.88</v>
      </c>
      <c r="AS48" s="98">
        <f t="shared" si="9"/>
        <v>530.61533333333341</v>
      </c>
      <c r="AT48" s="98">
        <f t="shared" si="10"/>
        <v>160.44093749999993</v>
      </c>
      <c r="AU48" s="98">
        <f t="shared" si="25"/>
        <v>86.4375</v>
      </c>
      <c r="AV48" s="98">
        <f t="array" ref="AV48">_xlfn.IFS(U48=0,AO48,U48&lt;0,AO48/-U48,U48&gt;0,AO48/U48)</f>
        <v>443.20152719670659</v>
      </c>
      <c r="AW48" s="234">
        <f t="shared" si="44"/>
        <v>0.31509726404522248</v>
      </c>
      <c r="AX48" s="234">
        <f t="shared" si="45"/>
        <v>4.108282602861574</v>
      </c>
      <c r="AY48" s="99"/>
      <c r="AZ48" s="94">
        <f t="shared" si="13"/>
        <v>113459.59096235689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205</v>
      </c>
      <c r="F49" s="93">
        <v>53</v>
      </c>
      <c r="G49" s="93">
        <v>16</v>
      </c>
      <c r="H49" s="93">
        <v>104</v>
      </c>
      <c r="I49" s="93">
        <v>0</v>
      </c>
      <c r="J49" s="93">
        <v>32</v>
      </c>
      <c r="K49" s="92">
        <v>123.09</v>
      </c>
      <c r="L49" s="92">
        <f t="shared" si="42"/>
        <v>25233.45</v>
      </c>
      <c r="M49" s="89">
        <v>50</v>
      </c>
      <c r="N49" s="89">
        <v>61</v>
      </c>
      <c r="O49" s="89">
        <v>1453</v>
      </c>
      <c r="P49" s="89">
        <v>26</v>
      </c>
      <c r="Q49" s="233">
        <f t="shared" si="14"/>
        <v>8.7142857142857135</v>
      </c>
      <c r="R49" s="92">
        <f t="shared" si="15"/>
        <v>3.2857142857142856</v>
      </c>
      <c r="S49" s="93">
        <v>24</v>
      </c>
      <c r="T49" s="93">
        <v>-1</v>
      </c>
      <c r="U49" s="92">
        <f t="shared" si="16"/>
        <v>23</v>
      </c>
      <c r="V49" s="93">
        <v>27886.79</v>
      </c>
      <c r="W49" s="93">
        <v>-1257</v>
      </c>
      <c r="X49" s="92">
        <f t="shared" si="17"/>
        <v>26629.79</v>
      </c>
      <c r="Y49" s="93">
        <v>40754.51</v>
      </c>
      <c r="Z49" s="93">
        <v>-1754</v>
      </c>
      <c r="AA49" s="92">
        <f t="shared" si="18"/>
        <v>39000.51</v>
      </c>
      <c r="AB49" s="92">
        <f t="shared" si="19"/>
        <v>23044.58</v>
      </c>
      <c r="AC49" s="234">
        <f t="shared" si="20"/>
        <v>1.6167106767557331E-2</v>
      </c>
      <c r="AD49" s="92">
        <f t="shared" si="21"/>
        <v>2831.07</v>
      </c>
      <c r="AE49" s="93">
        <v>14685.240000000005</v>
      </c>
      <c r="AF49" s="234">
        <f t="shared" si="22"/>
        <v>0.37653969140403559</v>
      </c>
      <c r="AG49" s="93">
        <v>4706.5000000000055</v>
      </c>
      <c r="AH49" s="93"/>
      <c r="AI49" s="93">
        <f>1784+742</f>
        <v>2526</v>
      </c>
      <c r="AJ49" s="93">
        <v>2365</v>
      </c>
      <c r="AK49" s="93"/>
      <c r="AL49" s="122">
        <f t="shared" si="43"/>
        <v>107.943049015824</v>
      </c>
      <c r="AM49" s="93">
        <v>0</v>
      </c>
      <c r="AN49" s="94">
        <f t="shared" si="23"/>
        <v>1520.561009</v>
      </c>
      <c r="AO49" s="95">
        <f t="shared" si="24"/>
        <v>10258.195941984166</v>
      </c>
      <c r="AP49" s="96"/>
      <c r="AQ49" s="97">
        <f t="shared" si="7"/>
        <v>1695.6743478260871</v>
      </c>
      <c r="AR49" s="98">
        <f t="shared" si="35"/>
        <v>123.09</v>
      </c>
      <c r="AS49" s="98">
        <f t="shared" si="9"/>
        <v>638.4886956521741</v>
      </c>
      <c r="AT49" s="98">
        <f t="shared" si="10"/>
        <v>196.10416666666688</v>
      </c>
      <c r="AU49" s="98">
        <f t="shared" si="25"/>
        <v>203.79166666666666</v>
      </c>
      <c r="AV49" s="98">
        <f t="array" ref="AV49">_xlfn.IFS(U49=0,AO49,U49&lt;0,AO49/-U49,U49&gt;0,AO49/U49)</f>
        <v>446.00851921670289</v>
      </c>
      <c r="AW49" s="234">
        <f t="shared" si="44"/>
        <v>0.26302722559228497</v>
      </c>
      <c r="AX49" s="234">
        <f t="shared" si="45"/>
        <v>3.6234342287489065</v>
      </c>
      <c r="AY49" s="99"/>
      <c r="AZ49" s="94">
        <f t="shared" si="13"/>
        <v>91431.746439424096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385</v>
      </c>
      <c r="F50" s="93">
        <v>27</v>
      </c>
      <c r="G50" s="93">
        <v>9</v>
      </c>
      <c r="H50" s="93">
        <v>83</v>
      </c>
      <c r="I50" s="93">
        <v>0</v>
      </c>
      <c r="J50" s="93">
        <v>266</v>
      </c>
      <c r="K50" s="92">
        <v>134.79</v>
      </c>
      <c r="L50" s="92">
        <f t="shared" si="42"/>
        <v>51894.149999999994</v>
      </c>
      <c r="M50" s="89">
        <v>19</v>
      </c>
      <c r="N50" s="89">
        <v>44</v>
      </c>
      <c r="O50" s="89">
        <v>1421</v>
      </c>
      <c r="P50" s="89">
        <v>71</v>
      </c>
      <c r="Q50" s="233">
        <f t="shared" si="14"/>
        <v>6.2857142857142856</v>
      </c>
      <c r="R50" s="92">
        <f t="shared" si="15"/>
        <v>3.7142857142857144</v>
      </c>
      <c r="S50" s="93">
        <v>26</v>
      </c>
      <c r="T50" s="93">
        <v>0</v>
      </c>
      <c r="U50" s="92">
        <f t="shared" si="16"/>
        <v>26</v>
      </c>
      <c r="V50" s="93">
        <v>26143.280000000002</v>
      </c>
      <c r="W50" s="93">
        <v>0</v>
      </c>
      <c r="X50" s="92">
        <f t="shared" si="17"/>
        <v>26143.280000000002</v>
      </c>
      <c r="Y50" s="93">
        <v>37889.879999999997</v>
      </c>
      <c r="Z50" s="93">
        <v>0</v>
      </c>
      <c r="AA50" s="92">
        <f t="shared" si="18"/>
        <v>37889.879999999997</v>
      </c>
      <c r="AB50" s="92">
        <f t="shared" si="19"/>
        <v>44392.04</v>
      </c>
      <c r="AC50" s="234">
        <f t="shared" si="20"/>
        <v>1.5706710896086617E-2</v>
      </c>
      <c r="AD50" s="92">
        <f t="shared" si="21"/>
        <v>3504.54</v>
      </c>
      <c r="AE50" s="93">
        <v>14286.800000000003</v>
      </c>
      <c r="AF50" s="234">
        <f t="shared" si="22"/>
        <v>0.37706110444266394</v>
      </c>
      <c r="AG50" s="93">
        <v>3119.9600000000005</v>
      </c>
      <c r="AH50" s="93"/>
      <c r="AI50" s="93">
        <f>1357+391</f>
        <v>1748</v>
      </c>
      <c r="AJ50" s="93">
        <v>255</v>
      </c>
      <c r="AK50" s="93"/>
      <c r="AL50" s="122">
        <f t="shared" si="43"/>
        <v>86.146856426090309</v>
      </c>
      <c r="AM50" s="93">
        <v>50</v>
      </c>
      <c r="AN50" s="94">
        <f t="shared" si="23"/>
        <v>1492.7812880000001</v>
      </c>
      <c r="AO50" s="95">
        <f t="shared" si="24"/>
        <v>13346.651855573904</v>
      </c>
      <c r="AP50" s="96"/>
      <c r="AQ50" s="97">
        <f t="shared" si="7"/>
        <v>1457.3030769230768</v>
      </c>
      <c r="AR50" s="98">
        <f t="shared" si="35"/>
        <v>134.79</v>
      </c>
      <c r="AS50" s="98">
        <f t="shared" si="9"/>
        <v>549.4923076923078</v>
      </c>
      <c r="AT50" s="98">
        <f t="shared" si="10"/>
        <v>119.99846153846156</v>
      </c>
      <c r="AU50" s="98">
        <f t="shared" si="25"/>
        <v>77.038461538461533</v>
      </c>
      <c r="AV50" s="98">
        <f t="array" ref="AV50">_xlfn.IFS(U50=0,AO50,U50&lt;0,AO50/-U50,U50&gt;0,AO50/U50)</f>
        <v>513.33276367591941</v>
      </c>
      <c r="AW50" s="234">
        <f t="shared" si="44"/>
        <v>0.35224845936629795</v>
      </c>
      <c r="AX50" s="234">
        <f t="shared" si="45"/>
        <v>3.8083890769042172</v>
      </c>
      <c r="AY50" s="99"/>
      <c r="AZ50" s="94">
        <f t="shared" si="13"/>
        <v>197633.11401522896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136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135</v>
      </c>
      <c r="K51" s="92">
        <v>144.15</v>
      </c>
      <c r="L51" s="92">
        <f t="shared" si="42"/>
        <v>19604.400000000001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43"/>
        <v>1.0379139328444615</v>
      </c>
      <c r="AM51" s="93">
        <v>0</v>
      </c>
      <c r="AN51" s="94">
        <f t="shared" si="23"/>
        <v>0</v>
      </c>
      <c r="AO51" s="95">
        <f t="shared" si="24"/>
        <v>-1.0379139328444615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-1.0379139328444615</v>
      </c>
      <c r="AW51" s="234">
        <f t="shared" si="44"/>
        <v>0</v>
      </c>
      <c r="AX51" s="234">
        <f t="shared" si="45"/>
        <v>-7.2002353995453449E-3</v>
      </c>
      <c r="AY51" s="99"/>
      <c r="AZ51" s="94">
        <f t="shared" si="13"/>
        <v>-141.15629486684676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26</v>
      </c>
      <c r="F52" s="93">
        <v>12</v>
      </c>
      <c r="G52" s="93">
        <v>4</v>
      </c>
      <c r="H52" s="93">
        <v>9</v>
      </c>
      <c r="I52" s="93">
        <v>0</v>
      </c>
      <c r="J52" s="93">
        <v>1</v>
      </c>
      <c r="K52" s="92">
        <v>96.18</v>
      </c>
      <c r="L52" s="92">
        <f t="shared" si="42"/>
        <v>2500.6800000000003</v>
      </c>
      <c r="M52" s="89">
        <v>999</v>
      </c>
      <c r="N52" s="89">
        <v>15</v>
      </c>
      <c r="O52" s="89">
        <v>1302</v>
      </c>
      <c r="P52" s="89">
        <v>0</v>
      </c>
      <c r="Q52" s="233">
        <f t="shared" si="14"/>
        <v>2.1428571428571428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847</v>
      </c>
      <c r="W52" s="93">
        <v>0</v>
      </c>
      <c r="X52" s="92">
        <f t="shared" si="17"/>
        <v>847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0</v>
      </c>
      <c r="AC52" s="234">
        <f t="shared" si="20"/>
        <v>5.3972558336697757E-4</v>
      </c>
      <c r="AD52" s="92">
        <f t="shared" si="21"/>
        <v>96.18</v>
      </c>
      <c r="AE52" s="93">
        <v>492.84000000000003</v>
      </c>
      <c r="AF52" s="234">
        <f t="shared" si="22"/>
        <v>0.37852534562211981</v>
      </c>
      <c r="AG52" s="93">
        <v>604.20999999999992</v>
      </c>
      <c r="AH52" s="93"/>
      <c r="AI52" s="93">
        <f>1380+130</f>
        <v>1510</v>
      </c>
      <c r="AJ52" s="93">
        <v>990</v>
      </c>
      <c r="AK52" s="93"/>
      <c r="AL52" s="122">
        <f t="shared" si="43"/>
        <v>9.341225395600155</v>
      </c>
      <c r="AM52" s="93">
        <v>0</v>
      </c>
      <c r="AN52" s="94">
        <f t="shared" si="23"/>
        <v>48.363700000000001</v>
      </c>
      <c r="AO52" s="95">
        <f t="shared" si="24"/>
        <v>-2448.9349253956002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492.84000000000003</v>
      </c>
      <c r="AT52" s="98">
        <f t="shared" si="10"/>
        <v>604.20999999999992</v>
      </c>
      <c r="AU52" s="98">
        <f t="shared" si="25"/>
        <v>2500</v>
      </c>
      <c r="AV52" s="98">
        <f t="array" ref="AV52">_xlfn.IFS(U52=0,AO52,U52&lt;0,AO52/-U52,U52&gt;0,AO52/U52)</f>
        <v>-2448.9349253956002</v>
      </c>
      <c r="AW52" s="234">
        <f t="shared" si="44"/>
        <v>-1.8809024004574502</v>
      </c>
      <c r="AX52" s="234">
        <f t="shared" si="45"/>
        <v>-25.461997560777707</v>
      </c>
      <c r="AY52" s="99"/>
      <c r="AZ52" s="94">
        <f t="shared" si="13"/>
        <v>-63672.308060285606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36</v>
      </c>
      <c r="F53" s="93">
        <v>2</v>
      </c>
      <c r="G53" s="93" t="s">
        <v>100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2"/>
        <v>3462.4800000000005</v>
      </c>
      <c r="M53" s="89">
        <v>999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527.37000000000012</v>
      </c>
      <c r="AH53" s="93"/>
      <c r="AI53" s="93">
        <f>200+84</f>
        <v>284</v>
      </c>
      <c r="AJ53" s="93"/>
      <c r="AK53" s="93"/>
      <c r="AL53" s="122">
        <f t="shared" si="43"/>
        <v>34.251159783867237</v>
      </c>
      <c r="AM53" s="93">
        <v>0</v>
      </c>
      <c r="AN53" s="94">
        <f t="shared" si="23"/>
        <v>0</v>
      </c>
      <c r="AO53" s="95">
        <f t="shared" si="24"/>
        <v>-845.62115978386737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527.37000000000012</v>
      </c>
      <c r="AU53" s="98">
        <f t="shared" si="25"/>
        <v>0</v>
      </c>
      <c r="AV53" s="98">
        <f t="array" ref="AV53">_xlfn.IFS(U53=0,AO53,U53&lt;0,AO53/-U53,U53&gt;0,AO53/U53)</f>
        <v>-845.62115978386737</v>
      </c>
      <c r="AW53" s="234">
        <f t="shared" si="44"/>
        <v>0</v>
      </c>
      <c r="AX53" s="234">
        <f t="shared" si="45"/>
        <v>-8.7920686190878286</v>
      </c>
      <c r="AY53" s="99"/>
      <c r="AZ53" s="94">
        <f t="shared" si="13"/>
        <v>-30442.361752219225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6">SUM(F54:J54)</f>
        <v>24</v>
      </c>
      <c r="F54" s="93">
        <v>1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2954.16</v>
      </c>
      <c r="M54" s="89">
        <v>999</v>
      </c>
      <c r="N54" s="89">
        <v>2</v>
      </c>
      <c r="O54" s="89">
        <v>998</v>
      </c>
      <c r="P54" s="89">
        <v>0</v>
      </c>
      <c r="Q54" s="233">
        <f t="shared" si="14"/>
        <v>0.2857142857142857</v>
      </c>
      <c r="R54" s="92">
        <f t="shared" si="15"/>
        <v>0.14285714285714285</v>
      </c>
      <c r="S54" s="93">
        <v>1</v>
      </c>
      <c r="T54" s="93">
        <v>0</v>
      </c>
      <c r="U54" s="92">
        <f t="shared" si="16"/>
        <v>1</v>
      </c>
      <c r="V54" s="93">
        <v>669</v>
      </c>
      <c r="W54" s="93">
        <v>0</v>
      </c>
      <c r="X54" s="92">
        <f t="shared" si="17"/>
        <v>669</v>
      </c>
      <c r="Y54" s="93">
        <v>998</v>
      </c>
      <c r="Z54" s="93">
        <v>0</v>
      </c>
      <c r="AA54" s="92">
        <f t="shared" si="18"/>
        <v>998</v>
      </c>
      <c r="AB54" s="92">
        <f t="shared" si="19"/>
        <v>0</v>
      </c>
      <c r="AC54" s="234">
        <f t="shared" si="20"/>
        <v>4.1370670675901965E-4</v>
      </c>
      <c r="AD54" s="92">
        <f t="shared" si="21"/>
        <v>123.09</v>
      </c>
      <c r="AE54" s="93">
        <v>378.55999999999995</v>
      </c>
      <c r="AF54" s="234">
        <f t="shared" si="22"/>
        <v>0.37931863727454906</v>
      </c>
      <c r="AG54" s="93">
        <v>280.25</v>
      </c>
      <c r="AH54" s="93"/>
      <c r="AI54" s="93"/>
      <c r="AJ54" s="93"/>
      <c r="AK54" s="93"/>
      <c r="AL54" s="122">
        <f t="shared" si="43"/>
        <v>21.796192589733696</v>
      </c>
      <c r="AM54" s="93">
        <v>0</v>
      </c>
      <c r="AN54" s="94">
        <f t="shared" si="23"/>
        <v>38.1999</v>
      </c>
      <c r="AO54" s="95">
        <f t="shared" si="24"/>
        <v>156.10390741026634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378.55999999999995</v>
      </c>
      <c r="AT54" s="98">
        <f t="shared" si="10"/>
        <v>280.25</v>
      </c>
      <c r="AU54" s="98">
        <f t="shared" si="25"/>
        <v>0</v>
      </c>
      <c r="AV54" s="98">
        <f t="array" ref="AV54">_xlfn.IFS(U54=0,AO54,U54&lt;0,AO54/-U54,U54&gt;0,AO54/U54)</f>
        <v>156.10390741026634</v>
      </c>
      <c r="AW54" s="234">
        <f t="shared" si="44"/>
        <v>0.15641674089205043</v>
      </c>
      <c r="AX54" s="234">
        <f t="shared" si="45"/>
        <v>1.2682095004489913</v>
      </c>
      <c r="AY54" s="99"/>
      <c r="AZ54" s="94">
        <f t="shared" si="13"/>
        <v>3746.4937778463923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43"/>
        <v>1.0379139328444615</v>
      </c>
      <c r="AM55" s="93">
        <v>0</v>
      </c>
      <c r="AN55" s="94">
        <f t="shared" si="23"/>
        <v>0</v>
      </c>
      <c r="AO55" s="95">
        <f t="shared" si="24"/>
        <v>-1.0379139328444615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-1.0379139328444615</v>
      </c>
      <c r="AW55" s="234">
        <f t="shared" si="44"/>
        <v>0</v>
      </c>
      <c r="AX55" s="234">
        <f t="shared" si="45"/>
        <v>-6.5611854911464791E-3</v>
      </c>
      <c r="AY55" s="99"/>
      <c r="AZ55" s="94">
        <f t="shared" si="13"/>
        <v>-2.0758278656889231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0</v>
      </c>
      <c r="AO56" s="95">
        <f t="shared" si="24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4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2"/>
        <v>3907.47</v>
      </c>
      <c r="M58" s="89">
        <v>999</v>
      </c>
      <c r="N58" s="89">
        <v>2</v>
      </c>
      <c r="O58" s="89">
        <v>936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172.23000000000002</v>
      </c>
      <c r="AH58" s="93"/>
      <c r="AI58" s="93">
        <f>640+96</f>
        <v>736</v>
      </c>
      <c r="AJ58" s="93"/>
      <c r="AK58" s="93"/>
      <c r="AL58" s="122">
        <f t="shared" si="43"/>
        <v>19.720364724044771</v>
      </c>
      <c r="AM58" s="93">
        <v>0</v>
      </c>
      <c r="AN58" s="94">
        <f t="shared" si="23"/>
        <v>0</v>
      </c>
      <c r="AO58" s="95">
        <f t="shared" si="24"/>
        <v>-927.95036472404479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172.23000000000002</v>
      </c>
      <c r="AU58" s="98">
        <f t="shared" si="25"/>
        <v>0</v>
      </c>
      <c r="AV58" s="98">
        <f t="array" ref="AV58">_xlfn.IFS(U58=0,AO58,U58&lt;0,AO58/-U58,U58&gt;0,AO58/U58)</f>
        <v>-927.95036472404479</v>
      </c>
      <c r="AW58" s="234">
        <f t="shared" si="44"/>
        <v>0</v>
      </c>
      <c r="AX58" s="234">
        <f t="shared" si="45"/>
        <v>-5.4620658350935596</v>
      </c>
      <c r="AY58" s="99"/>
      <c r="AZ58" s="94">
        <f t="shared" si="13"/>
        <v>-21342.858388653029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4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61</v>
      </c>
      <c r="F60" s="93">
        <v>1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9649.59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4"/>
        <v>0.14285714285714285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699</v>
      </c>
      <c r="W60" s="93">
        <v>0</v>
      </c>
      <c r="X60" s="92">
        <f t="shared" si="17"/>
        <v>699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4.3484803145311788E-4</v>
      </c>
      <c r="AD60" s="92">
        <f t="shared" si="21"/>
        <v>158.19</v>
      </c>
      <c r="AE60" s="93">
        <v>397.73</v>
      </c>
      <c r="AF60" s="234">
        <f t="shared" si="22"/>
        <v>0.37915157292659679</v>
      </c>
      <c r="AG60" s="93">
        <v>131.97</v>
      </c>
      <c r="AH60" s="93"/>
      <c r="AI60" s="93"/>
      <c r="AJ60" s="93"/>
      <c r="AK60" s="93"/>
      <c r="AL60" s="122">
        <f t="shared" si="43"/>
        <v>19.720364724044771</v>
      </c>
      <c r="AM60" s="93">
        <v>0</v>
      </c>
      <c r="AN60" s="94">
        <f t="shared" si="23"/>
        <v>39.9129</v>
      </c>
      <c r="AO60" s="95">
        <f t="shared" si="24"/>
        <v>301.47673527595515</v>
      </c>
      <c r="AP60" s="96"/>
      <c r="AQ60" s="97">
        <f t="shared" si="7"/>
        <v>1049</v>
      </c>
      <c r="AR60" s="98">
        <f t="shared" si="35"/>
        <v>158.19</v>
      </c>
      <c r="AS60" s="98">
        <f t="shared" si="9"/>
        <v>397.73</v>
      </c>
      <c r="AT60" s="98">
        <f t="shared" si="10"/>
        <v>131.97</v>
      </c>
      <c r="AU60" s="98">
        <f t="shared" si="25"/>
        <v>0</v>
      </c>
      <c r="AV60" s="98">
        <f t="array" ref="AV60">_xlfn.IFS(U60=0,AO60,U60&lt;0,AO60/-U60,U60&gt;0,AO60/U60)</f>
        <v>301.47673527595515</v>
      </c>
      <c r="AW60" s="234">
        <f t="shared" si="44"/>
        <v>0.28739440922398013</v>
      </c>
      <c r="AX60" s="234">
        <f t="shared" si="45"/>
        <v>1.9057888316325631</v>
      </c>
      <c r="AY60" s="99"/>
      <c r="AZ60" s="94">
        <f t="shared" si="13"/>
        <v>18390.080851833263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478</v>
      </c>
      <c r="F61" s="93" t="s">
        <v>100</v>
      </c>
      <c r="G61" s="93">
        <v>1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-0.14285714285714285</v>
      </c>
      <c r="S61" s="93">
        <v>0</v>
      </c>
      <c r="T61" s="93">
        <v>-1</v>
      </c>
      <c r="U61" s="92">
        <f t="shared" si="16"/>
        <v>-1</v>
      </c>
      <c r="V61" s="93">
        <v>0</v>
      </c>
      <c r="W61" s="93">
        <v>-618</v>
      </c>
      <c r="X61" s="92">
        <f t="shared" si="17"/>
        <v>-618</v>
      </c>
      <c r="Y61" s="93">
        <v>0</v>
      </c>
      <c r="Z61" s="93">
        <v>-927</v>
      </c>
      <c r="AA61" s="92">
        <f t="shared" si="18"/>
        <v>-927</v>
      </c>
      <c r="AB61" s="92">
        <f t="shared" si="19"/>
        <v>0</v>
      </c>
      <c r="AC61" s="234">
        <f t="shared" si="20"/>
        <v>-3.8427466649860846E-4</v>
      </c>
      <c r="AD61" s="92">
        <f t="shared" si="21"/>
        <v>-128.94</v>
      </c>
      <c r="AE61" s="93">
        <v>-351.48</v>
      </c>
      <c r="AF61" s="234">
        <f t="shared" si="22"/>
        <v>0.37915857605177994</v>
      </c>
      <c r="AG61" s="93">
        <v>33.980000000000004</v>
      </c>
      <c r="AH61" s="93"/>
      <c r="AI61" s="93"/>
      <c r="AJ61" s="93"/>
      <c r="AK61" s="93"/>
      <c r="AL61" s="122">
        <f t="shared" si="43"/>
        <v>161.91457352373601</v>
      </c>
      <c r="AM61" s="93">
        <v>0</v>
      </c>
      <c r="AN61" s="94">
        <f t="shared" si="23"/>
        <v>-35.287799999999997</v>
      </c>
      <c r="AO61" s="95">
        <f t="shared" si="24"/>
        <v>-607.18677352373595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33.980000000000004</v>
      </c>
      <c r="AU61" s="98">
        <f t="shared" si="25"/>
        <v>0</v>
      </c>
      <c r="AV61" s="98">
        <f t="array" ref="AV61">_xlfn.IFS(U61=0,AO61,U61&lt;0,AO61/-U61,U61&gt;0,AO61/U61)</f>
        <v>-607.18677352373595</v>
      </c>
      <c r="AW61" s="234">
        <f t="shared" si="44"/>
        <v>-0.65500191318633871</v>
      </c>
      <c r="AX61" s="234">
        <f t="shared" si="45"/>
        <v>-4.7090644759092291</v>
      </c>
      <c r="AY61" s="99"/>
      <c r="AZ61" s="94">
        <f t="shared" si="13"/>
        <v>-290235.27774434577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4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4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4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1.0379139328444615</v>
      </c>
      <c r="AM65" s="93">
        <v>0</v>
      </c>
      <c r="AN65" s="94">
        <f t="shared" si="23"/>
        <v>0</v>
      </c>
      <c r="AO65" s="95">
        <f t="shared" si="24"/>
        <v>-1.0379139328444615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-1.0379139328444615</v>
      </c>
      <c r="AW65" s="234">
        <f t="shared" si="44"/>
        <v>0</v>
      </c>
      <c r="AX65" s="234">
        <f t="shared" si="45"/>
        <v>-1.0411414714058195E-2</v>
      </c>
      <c r="AY65" s="99"/>
      <c r="AZ65" s="94">
        <f t="shared" si="13"/>
        <v>-98.60182362022384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2.0758278656889231</v>
      </c>
      <c r="AM66" s="93">
        <v>0</v>
      </c>
      <c r="AN66" s="94">
        <f t="shared" si="23"/>
        <v>0</v>
      </c>
      <c r="AO66" s="95">
        <f t="shared" si="24"/>
        <v>-2.0758278656889231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-2.0758278656889231</v>
      </c>
      <c r="AW66" s="234">
        <f t="shared" si="44"/>
        <v>0</v>
      </c>
      <c r="AX66" s="234">
        <f t="shared" si="45"/>
        <v>-2.132334736198175E-2</v>
      </c>
      <c r="AY66" s="99"/>
      <c r="AZ66" s="94">
        <f t="shared" si="13"/>
        <v>-197.20364724044768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98" si="47">IFERROR($AL$127*H67/$H$127,0)</f>
        <v>0</v>
      </c>
      <c r="AM67" s="93">
        <v>0</v>
      </c>
      <c r="AN67" s="94">
        <f t="shared" si="23"/>
        <v>0</v>
      </c>
      <c r="AO67" s="95">
        <f t="shared" si="24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8">N68/7</f>
        <v>0</v>
      </c>
      <c r="R68" s="92">
        <f t="shared" ref="R68:R104" si="49">U68/7</f>
        <v>0</v>
      </c>
      <c r="S68" s="93">
        <v>0</v>
      </c>
      <c r="T68" s="93">
        <v>0</v>
      </c>
      <c r="U68" s="92">
        <f t="shared" ref="U68:U104" si="50">S68+T68</f>
        <v>0</v>
      </c>
      <c r="V68" s="93">
        <v>0</v>
      </c>
      <c r="W68" s="93">
        <v>0</v>
      </c>
      <c r="X68" s="92">
        <f t="shared" ref="X68:X104" si="51">V68+W68</f>
        <v>0</v>
      </c>
      <c r="Y68" s="93">
        <v>0</v>
      </c>
      <c r="Z68" s="93">
        <v>0</v>
      </c>
      <c r="AA68" s="92">
        <f t="shared" ref="AA68:AA104" si="52">Y68+Z68</f>
        <v>0</v>
      </c>
      <c r="AB68" s="92">
        <f t="shared" ref="AB68:AB104" si="53">N68*O68*P68/100</f>
        <v>0</v>
      </c>
      <c r="AC68" s="234">
        <f t="shared" ref="AC68:AC104" si="54">AA68/$AA$127</f>
        <v>0</v>
      </c>
      <c r="AD68" s="92">
        <f t="shared" ref="AD68:AD104" si="55">U68*K68</f>
        <v>0</v>
      </c>
      <c r="AE68" s="93">
        <v>0</v>
      </c>
      <c r="AF68" s="234">
        <f t="shared" ref="AF68:AF104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104" si="57">X68*5.71%</f>
        <v>0</v>
      </c>
      <c r="AO68" s="95">
        <f t="shared" ref="AO68:AO104" si="58">AA68-AD68-AE68-AG68-AH68-AI68-AJ68-AK68-AL68-AN68-AM68</f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4</v>
      </c>
      <c r="F69" s="93">
        <v>2</v>
      </c>
      <c r="G69" s="93">
        <v>1</v>
      </c>
      <c r="H69" s="93" t="s">
        <v>100</v>
      </c>
      <c r="I69" s="93">
        <v>0</v>
      </c>
      <c r="J69" s="93">
        <v>1</v>
      </c>
      <c r="K69" s="93">
        <v>140.63999999999999</v>
      </c>
      <c r="L69" s="92">
        <f t="shared" si="42"/>
        <v>562.55999999999995</v>
      </c>
      <c r="M69" s="89">
        <v>12</v>
      </c>
      <c r="N69" s="89">
        <v>2</v>
      </c>
      <c r="O69" s="89">
        <v>998</v>
      </c>
      <c r="P69" s="89">
        <v>0</v>
      </c>
      <c r="Q69" s="233">
        <f t="shared" si="48"/>
        <v>0.2857142857142857</v>
      </c>
      <c r="R69" s="92">
        <f t="shared" si="49"/>
        <v>0.14285714285714285</v>
      </c>
      <c r="S69" s="93">
        <v>1</v>
      </c>
      <c r="T69" s="93">
        <v>0</v>
      </c>
      <c r="U69" s="92">
        <f t="shared" si="50"/>
        <v>1</v>
      </c>
      <c r="V69" s="93">
        <v>669</v>
      </c>
      <c r="W69" s="93">
        <v>0</v>
      </c>
      <c r="X69" s="92">
        <f t="shared" si="51"/>
        <v>669</v>
      </c>
      <c r="Y69" s="93">
        <v>998</v>
      </c>
      <c r="Z69" s="93">
        <v>0</v>
      </c>
      <c r="AA69" s="92">
        <f t="shared" si="52"/>
        <v>998</v>
      </c>
      <c r="AB69" s="92">
        <f t="shared" si="53"/>
        <v>0</v>
      </c>
      <c r="AC69" s="234">
        <f t="shared" si="54"/>
        <v>4.1370670675901965E-4</v>
      </c>
      <c r="AD69" s="92">
        <f t="shared" si="55"/>
        <v>140.63999999999999</v>
      </c>
      <c r="AE69" s="93">
        <v>378.55999999999995</v>
      </c>
      <c r="AF69" s="234">
        <f t="shared" si="56"/>
        <v>0.37931863727454906</v>
      </c>
      <c r="AG69" s="93">
        <v>234.41</v>
      </c>
      <c r="AH69" s="93"/>
      <c r="AI69" s="93"/>
      <c r="AJ69" s="93"/>
      <c r="AK69" s="93"/>
      <c r="AL69" s="122">
        <f t="shared" si="47"/>
        <v>0</v>
      </c>
      <c r="AM69" s="93">
        <v>0</v>
      </c>
      <c r="AN69" s="94">
        <f t="shared" si="57"/>
        <v>38.1999</v>
      </c>
      <c r="AO69" s="95">
        <f t="shared" si="58"/>
        <v>206.19010000000009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378.55999999999995</v>
      </c>
      <c r="AT69" s="98">
        <f t="shared" si="10"/>
        <v>234.41</v>
      </c>
      <c r="AU69" s="98">
        <f t="shared" si="25"/>
        <v>0</v>
      </c>
      <c r="AV69" s="98">
        <f t="array" ref="AV69">_xlfn.IFS(U69=0,AO69,U69&lt;0,AO69/-U69,U69&gt;0,AO69/U69)</f>
        <v>206.19010000000009</v>
      </c>
      <c r="AW69" s="234">
        <f t="shared" si="44"/>
        <v>0.20660330661322654</v>
      </c>
      <c r="AX69" s="234">
        <f t="shared" si="45"/>
        <v>1.4660843287827083</v>
      </c>
      <c r="AY69" s="99"/>
      <c r="AZ69" s="94">
        <f t="shared" si="13"/>
        <v>824.76040000000035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47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5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27</v>
      </c>
      <c r="F71" s="93">
        <v>1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8"/>
        <v>0.14285714285714285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87.509999999999991</v>
      </c>
      <c r="AH71" s="93"/>
      <c r="AI71" s="93"/>
      <c r="AJ71" s="93"/>
      <c r="AK71" s="93"/>
      <c r="AL71" s="122">
        <f t="shared" si="47"/>
        <v>1.0379139328444615</v>
      </c>
      <c r="AM71" s="93">
        <v>0</v>
      </c>
      <c r="AN71" s="94">
        <f t="shared" si="57"/>
        <v>0</v>
      </c>
      <c r="AO71" s="95">
        <f t="shared" si="58"/>
        <v>-88.547913932844452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87.509999999999991</v>
      </c>
      <c r="AU71" s="98">
        <f t="shared" ref="AU71:AU104" si="59">IF(S71=0,0,(AH71+AI71+AJ71)/S71)</f>
        <v>0</v>
      </c>
      <c r="AV71" s="98">
        <f t="array" ref="AV71">_xlfn.IFS(U71=0,AO71,U71&lt;0,AO71/-U71,U71&gt;0,AO71/U71)</f>
        <v>-88.547913932844452</v>
      </c>
      <c r="AW71" s="234">
        <f t="shared" si="44"/>
        <v>0</v>
      </c>
      <c r="AX71" s="234">
        <f t="shared" si="45"/>
        <v>-0.71937536707160976</v>
      </c>
      <c r="AY71" s="99"/>
      <c r="AZ71" s="94">
        <f t="shared" si="13"/>
        <v>-2390.7936761868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246.18</v>
      </c>
      <c r="M73" s="89">
        <v>999</v>
      </c>
      <c r="N73" s="89">
        <v>2</v>
      </c>
      <c r="O73" s="89">
        <v>807</v>
      </c>
      <c r="P73" s="89">
        <v>50</v>
      </c>
      <c r="Q73" s="233">
        <f t="shared" si="48"/>
        <v>0.2857142857142857</v>
      </c>
      <c r="R73" s="92">
        <f t="shared" si="49"/>
        <v>0.14285714285714285</v>
      </c>
      <c r="S73" s="93">
        <v>1</v>
      </c>
      <c r="T73" s="93">
        <v>0</v>
      </c>
      <c r="U73" s="92">
        <f t="shared" si="50"/>
        <v>1</v>
      </c>
      <c r="V73" s="93">
        <v>611</v>
      </c>
      <c r="W73" s="93">
        <v>0</v>
      </c>
      <c r="X73" s="92">
        <f t="shared" si="51"/>
        <v>611</v>
      </c>
      <c r="Y73" s="93">
        <v>807</v>
      </c>
      <c r="Z73" s="93">
        <v>0</v>
      </c>
      <c r="AA73" s="92">
        <f t="shared" si="52"/>
        <v>807</v>
      </c>
      <c r="AB73" s="92">
        <f t="shared" si="53"/>
        <v>807</v>
      </c>
      <c r="AC73" s="234">
        <f t="shared" si="54"/>
        <v>3.3453037310073031E-4</v>
      </c>
      <c r="AD73" s="92">
        <f t="shared" si="55"/>
        <v>123.09</v>
      </c>
      <c r="AE73" s="93">
        <v>314.27999999999997</v>
      </c>
      <c r="AF73" s="234">
        <f t="shared" si="56"/>
        <v>0.38944237918215607</v>
      </c>
      <c r="AG73" s="93">
        <v>127.94999999999999</v>
      </c>
      <c r="AH73" s="93"/>
      <c r="AI73" s="93"/>
      <c r="AJ73" s="93"/>
      <c r="AK73" s="93"/>
      <c r="AL73" s="122">
        <f t="shared" si="47"/>
        <v>1.0379139328444615</v>
      </c>
      <c r="AM73" s="93">
        <v>0</v>
      </c>
      <c r="AN73" s="94">
        <f t="shared" si="57"/>
        <v>34.888100000000001</v>
      </c>
      <c r="AO73" s="95">
        <f t="shared" si="58"/>
        <v>205.75398606715552</v>
      </c>
      <c r="AP73" s="96"/>
      <c r="AQ73" s="97">
        <f t="shared" si="7"/>
        <v>807</v>
      </c>
      <c r="AR73" s="98">
        <f t="shared" si="35"/>
        <v>123.09</v>
      </c>
      <c r="AS73" s="98">
        <f t="shared" si="9"/>
        <v>314.27999999999997</v>
      </c>
      <c r="AT73" s="98">
        <f t="shared" si="10"/>
        <v>127.94999999999999</v>
      </c>
      <c r="AU73" s="98">
        <f t="shared" si="59"/>
        <v>0</v>
      </c>
      <c r="AV73" s="98">
        <f t="array" ref="AV73">_xlfn.IFS(U73=0,AO73,U73&lt;0,AO73/-U73,U73&gt;0,AO73/U73)</f>
        <v>205.75398606715552</v>
      </c>
      <c r="AW73" s="234">
        <f t="shared" si="44"/>
        <v>0.25496156885645044</v>
      </c>
      <c r="AX73" s="234">
        <f t="shared" si="45"/>
        <v>1.6715735321078522</v>
      </c>
      <c r="AY73" s="99"/>
      <c r="AZ73" s="94">
        <f t="shared" si="13"/>
        <v>411.50797213431105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9</v>
      </c>
      <c r="F75" s="93">
        <v>7</v>
      </c>
      <c r="G75" s="93">
        <v>1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2"/>
        <v>1213.1099999999999</v>
      </c>
      <c r="M75" s="89">
        <v>21</v>
      </c>
      <c r="N75" s="89">
        <v>4</v>
      </c>
      <c r="O75" s="89">
        <v>763</v>
      </c>
      <c r="P75" s="89">
        <v>0</v>
      </c>
      <c r="Q75" s="233">
        <f t="shared" si="48"/>
        <v>0.5714285714285714</v>
      </c>
      <c r="R75" s="92">
        <f t="shared" si="49"/>
        <v>0.14285714285714285</v>
      </c>
      <c r="S75" s="93">
        <v>1</v>
      </c>
      <c r="T75" s="93">
        <v>0</v>
      </c>
      <c r="U75" s="92">
        <f t="shared" si="50"/>
        <v>1</v>
      </c>
      <c r="V75" s="93">
        <v>569.44000000000005</v>
      </c>
      <c r="W75" s="93">
        <v>0</v>
      </c>
      <c r="X75" s="92">
        <f t="shared" si="51"/>
        <v>569.44000000000005</v>
      </c>
      <c r="Y75" s="93">
        <v>763.01</v>
      </c>
      <c r="Z75" s="93">
        <v>0</v>
      </c>
      <c r="AA75" s="92">
        <f t="shared" si="52"/>
        <v>763.01</v>
      </c>
      <c r="AB75" s="92">
        <f t="shared" si="53"/>
        <v>0</v>
      </c>
      <c r="AC75" s="234">
        <f t="shared" si="54"/>
        <v>3.1629494421262481E-4</v>
      </c>
      <c r="AD75" s="92">
        <f t="shared" si="55"/>
        <v>134.79</v>
      </c>
      <c r="AE75" s="93">
        <v>282.05</v>
      </c>
      <c r="AF75" s="234">
        <f t="shared" si="56"/>
        <v>0.36965439509311804</v>
      </c>
      <c r="AG75" s="93">
        <v>361.5</v>
      </c>
      <c r="AH75" s="93"/>
      <c r="AI75" s="93"/>
      <c r="AJ75" s="93"/>
      <c r="AK75" s="93"/>
      <c r="AL75" s="122">
        <f t="shared" si="47"/>
        <v>0</v>
      </c>
      <c r="AM75" s="93">
        <v>0</v>
      </c>
      <c r="AN75" s="94">
        <f t="shared" si="57"/>
        <v>32.515024000000004</v>
      </c>
      <c r="AO75" s="95">
        <f t="shared" si="58"/>
        <v>-47.845023999999988</v>
      </c>
      <c r="AP75" s="96"/>
      <c r="AQ75" s="97">
        <f t="shared" si="7"/>
        <v>763.01</v>
      </c>
      <c r="AR75" s="98">
        <f t="shared" si="35"/>
        <v>134.79</v>
      </c>
      <c r="AS75" s="98">
        <f t="shared" si="9"/>
        <v>282.05</v>
      </c>
      <c r="AT75" s="98">
        <f t="shared" si="10"/>
        <v>361.5</v>
      </c>
      <c r="AU75" s="98">
        <f t="shared" si="59"/>
        <v>0</v>
      </c>
      <c r="AV75" s="98">
        <f t="array" ref="AV75">_xlfn.IFS(U75=0,AO75,U75&lt;0,AO75/-U75,U75&gt;0,AO75/U75)</f>
        <v>-47.845023999999988</v>
      </c>
      <c r="AW75" s="234">
        <f t="shared" si="44"/>
        <v>-6.2705631643097712E-2</v>
      </c>
      <c r="AX75" s="234">
        <f t="shared" si="45"/>
        <v>-0.35495974478818898</v>
      </c>
      <c r="AY75" s="99"/>
      <c r="AZ75" s="94">
        <f t="shared" si="13"/>
        <v>-430.60521599999987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39</v>
      </c>
      <c r="F76" s="93">
        <v>5</v>
      </c>
      <c r="G76" s="93">
        <v>2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999</v>
      </c>
      <c r="N76" s="89">
        <v>7</v>
      </c>
      <c r="O76" s="89">
        <v>1050</v>
      </c>
      <c r="P76" s="89">
        <v>0</v>
      </c>
      <c r="Q76" s="233">
        <f t="shared" si="48"/>
        <v>1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390.60000000000008</v>
      </c>
      <c r="AH76" s="93"/>
      <c r="AI76" s="93">
        <v>1000</v>
      </c>
      <c r="AJ76" s="93"/>
      <c r="AK76" s="93"/>
      <c r="AL76" s="122">
        <f t="shared" si="47"/>
        <v>32.175331918178308</v>
      </c>
      <c r="AM76" s="93">
        <v>0</v>
      </c>
      <c r="AN76" s="94">
        <f t="shared" si="57"/>
        <v>0</v>
      </c>
      <c r="AO76" s="95">
        <f t="shared" si="58"/>
        <v>-1422.7753319181784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390.60000000000008</v>
      </c>
      <c r="AU76" s="98">
        <f t="shared" si="59"/>
        <v>0</v>
      </c>
      <c r="AV76" s="98">
        <f t="array" ref="AV76">_xlfn.IFS(U76=0,AO76,U76&lt;0,AO76/-U76,U76&gt;0,AO76/U76)</f>
        <v>-1422.7753319181784</v>
      </c>
      <c r="AW76" s="234">
        <f t="shared" si="44"/>
        <v>0</v>
      </c>
      <c r="AX76" s="234">
        <f t="shared" si="45"/>
        <v>-11.558821447056449</v>
      </c>
      <c r="AY76" s="99"/>
      <c r="AZ76" s="94">
        <f t="shared" si="13"/>
        <v>-55488.237944808956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29</v>
      </c>
      <c r="F77" s="93">
        <v>4</v>
      </c>
      <c r="G77" s="93" t="s">
        <v>100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2"/>
        <v>3569.61</v>
      </c>
      <c r="M77" s="89">
        <v>132</v>
      </c>
      <c r="N77" s="89">
        <v>6</v>
      </c>
      <c r="O77" s="89">
        <v>1150</v>
      </c>
      <c r="P77" s="89">
        <v>50</v>
      </c>
      <c r="Q77" s="233">
        <f t="shared" si="48"/>
        <v>0.8571428571428571</v>
      </c>
      <c r="R77" s="92">
        <f t="shared" si="49"/>
        <v>0.14285714285714285</v>
      </c>
      <c r="S77" s="93">
        <v>1</v>
      </c>
      <c r="T77" s="93">
        <v>0</v>
      </c>
      <c r="U77" s="92">
        <f t="shared" si="50"/>
        <v>1</v>
      </c>
      <c r="V77" s="93">
        <v>714</v>
      </c>
      <c r="W77" s="93">
        <v>0</v>
      </c>
      <c r="X77" s="92">
        <f t="shared" si="51"/>
        <v>714</v>
      </c>
      <c r="Y77" s="93">
        <v>1126</v>
      </c>
      <c r="Z77" s="93">
        <v>0</v>
      </c>
      <c r="AA77" s="92">
        <f t="shared" si="52"/>
        <v>1126</v>
      </c>
      <c r="AB77" s="92">
        <f t="shared" si="53"/>
        <v>3450</v>
      </c>
      <c r="AC77" s="234">
        <f t="shared" si="54"/>
        <v>4.6676728638342298E-4</v>
      </c>
      <c r="AD77" s="92">
        <f t="shared" si="55"/>
        <v>123.09</v>
      </c>
      <c r="AE77" s="93">
        <v>425.48</v>
      </c>
      <c r="AF77" s="234">
        <f t="shared" si="56"/>
        <v>0.37786856127886326</v>
      </c>
      <c r="AG77" s="93">
        <v>465.61</v>
      </c>
      <c r="AH77" s="93"/>
      <c r="AI77" s="93">
        <f>944+8</f>
        <v>952</v>
      </c>
      <c r="AJ77" s="93"/>
      <c r="AK77" s="93"/>
      <c r="AL77" s="122">
        <f t="shared" si="47"/>
        <v>21.796192589733696</v>
      </c>
      <c r="AM77" s="93">
        <v>0</v>
      </c>
      <c r="AN77" s="94">
        <f t="shared" si="57"/>
        <v>40.769399999999997</v>
      </c>
      <c r="AO77" s="95">
        <f t="shared" si="58"/>
        <v>-902.74559258973375</v>
      </c>
      <c r="AP77" s="96"/>
      <c r="AQ77" s="97">
        <f t="shared" si="7"/>
        <v>1126</v>
      </c>
      <c r="AR77" s="98">
        <f t="shared" si="35"/>
        <v>123.09</v>
      </c>
      <c r="AS77" s="98">
        <f t="shared" si="9"/>
        <v>425.48</v>
      </c>
      <c r="AT77" s="98">
        <f t="shared" si="10"/>
        <v>465.61</v>
      </c>
      <c r="AU77" s="98">
        <f t="shared" si="59"/>
        <v>952</v>
      </c>
      <c r="AV77" s="98">
        <f t="array" ref="AV77">_xlfn.IFS(U77=0,AO77,U77&lt;0,AO77/-U77,U77&gt;0,AO77/U77)</f>
        <v>-902.74559258973375</v>
      </c>
      <c r="AW77" s="234">
        <f t="shared" si="44"/>
        <v>-0.80172787974221471</v>
      </c>
      <c r="AX77" s="234">
        <f t="shared" si="45"/>
        <v>-7.3340286992422916</v>
      </c>
      <c r="AY77" s="99"/>
      <c r="AZ77" s="94">
        <f t="shared" si="13"/>
        <v>-26179.622185102278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16</v>
      </c>
      <c r="F78" s="93">
        <v>4</v>
      </c>
      <c r="G78" s="93">
        <v>4</v>
      </c>
      <c r="H78" s="93">
        <v>7</v>
      </c>
      <c r="I78" s="93">
        <v>0</v>
      </c>
      <c r="J78" s="93">
        <v>1</v>
      </c>
      <c r="K78" s="93">
        <v>123.09</v>
      </c>
      <c r="L78" s="92">
        <f t="shared" si="42"/>
        <v>1969.44</v>
      </c>
      <c r="M78" s="89">
        <v>53</v>
      </c>
      <c r="N78" s="89">
        <v>5</v>
      </c>
      <c r="O78" s="89">
        <v>1000</v>
      </c>
      <c r="P78" s="89">
        <v>0</v>
      </c>
      <c r="Q78" s="233">
        <f t="shared" si="48"/>
        <v>0.7142857142857143</v>
      </c>
      <c r="R78" s="92">
        <f t="shared" si="49"/>
        <v>0.14285714285714285</v>
      </c>
      <c r="S78" s="93">
        <v>1</v>
      </c>
      <c r="T78" s="93">
        <v>0</v>
      </c>
      <c r="U78" s="92">
        <f t="shared" si="50"/>
        <v>1</v>
      </c>
      <c r="V78" s="93">
        <v>611</v>
      </c>
      <c r="W78" s="93">
        <v>0</v>
      </c>
      <c r="X78" s="92">
        <f t="shared" si="51"/>
        <v>611</v>
      </c>
      <c r="Y78" s="93">
        <v>979</v>
      </c>
      <c r="Z78" s="93">
        <v>0</v>
      </c>
      <c r="AA78" s="92">
        <f t="shared" si="52"/>
        <v>979</v>
      </c>
      <c r="AB78" s="92">
        <f t="shared" si="53"/>
        <v>0</v>
      </c>
      <c r="AC78" s="234">
        <f t="shared" si="54"/>
        <v>4.058305269710223E-4</v>
      </c>
      <c r="AD78" s="92">
        <f t="shared" si="55"/>
        <v>123.09</v>
      </c>
      <c r="AE78" s="93">
        <v>369.53</v>
      </c>
      <c r="AF78" s="234">
        <f t="shared" si="56"/>
        <v>0.37745658835546475</v>
      </c>
      <c r="AG78" s="93">
        <v>305.10000000000002</v>
      </c>
      <c r="AH78" s="93"/>
      <c r="AI78" s="93"/>
      <c r="AJ78" s="93"/>
      <c r="AK78" s="93"/>
      <c r="AL78" s="122">
        <f t="shared" si="47"/>
        <v>7.2653975299112314</v>
      </c>
      <c r="AM78" s="93">
        <v>0</v>
      </c>
      <c r="AN78" s="94">
        <f t="shared" si="57"/>
        <v>34.888100000000001</v>
      </c>
      <c r="AO78" s="95">
        <f t="shared" si="58"/>
        <v>139.12650247008872</v>
      </c>
      <c r="AP78" s="96"/>
      <c r="AQ78" s="97">
        <f t="shared" si="7"/>
        <v>979</v>
      </c>
      <c r="AR78" s="98">
        <f t="shared" si="35"/>
        <v>123.09</v>
      </c>
      <c r="AS78" s="98">
        <f t="shared" si="9"/>
        <v>369.53</v>
      </c>
      <c r="AT78" s="98">
        <f t="shared" si="10"/>
        <v>305.10000000000002</v>
      </c>
      <c r="AU78" s="98">
        <f t="shared" si="59"/>
        <v>0</v>
      </c>
      <c r="AV78" s="98">
        <f t="array" ref="AV78">_xlfn.IFS(U78=0,AO78,U78&lt;0,AO78/-U78,U78&gt;0,AO78/U78)</f>
        <v>139.12650247008872</v>
      </c>
      <c r="AW78" s="234">
        <f t="shared" si="44"/>
        <v>0.14211082989794557</v>
      </c>
      <c r="AX78" s="234">
        <f t="shared" si="45"/>
        <v>1.1302827400283428</v>
      </c>
      <c r="AY78" s="99"/>
      <c r="AZ78" s="94">
        <f t="shared" si="13"/>
        <v>2226.0240395214196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35</v>
      </c>
      <c r="F79" s="93">
        <v>13</v>
      </c>
      <c r="G79" s="93">
        <v>8</v>
      </c>
      <c r="H79" s="93">
        <v>13</v>
      </c>
      <c r="I79" s="93">
        <v>0</v>
      </c>
      <c r="J79" s="93">
        <v>1</v>
      </c>
      <c r="K79" s="93">
        <v>164.04</v>
      </c>
      <c r="L79" s="92">
        <f t="shared" si="42"/>
        <v>5741.4</v>
      </c>
      <c r="M79" s="89">
        <v>42</v>
      </c>
      <c r="N79" s="89">
        <v>21</v>
      </c>
      <c r="O79" s="89">
        <v>1300</v>
      </c>
      <c r="P79" s="89">
        <v>44</v>
      </c>
      <c r="Q79" s="233">
        <f t="shared" si="48"/>
        <v>3</v>
      </c>
      <c r="R79" s="92">
        <f t="shared" si="49"/>
        <v>0.7142857142857143</v>
      </c>
      <c r="S79" s="93">
        <v>5</v>
      </c>
      <c r="T79" s="93">
        <v>0</v>
      </c>
      <c r="U79" s="92">
        <f t="shared" si="50"/>
        <v>5</v>
      </c>
      <c r="V79" s="93">
        <v>4529</v>
      </c>
      <c r="W79" s="93">
        <v>0</v>
      </c>
      <c r="X79" s="92">
        <f t="shared" si="51"/>
        <v>4529</v>
      </c>
      <c r="Y79" s="93">
        <v>6443</v>
      </c>
      <c r="Z79" s="93">
        <v>0</v>
      </c>
      <c r="AA79" s="92">
        <f t="shared" si="52"/>
        <v>6443</v>
      </c>
      <c r="AB79" s="92">
        <f t="shared" si="53"/>
        <v>12012</v>
      </c>
      <c r="AC79" s="234">
        <f t="shared" si="54"/>
        <v>2.6708540196877391E-3</v>
      </c>
      <c r="AD79" s="92">
        <f t="shared" si="55"/>
        <v>820.19999999999993</v>
      </c>
      <c r="AE79" s="93">
        <v>2393.17</v>
      </c>
      <c r="AF79" s="234">
        <f t="shared" si="56"/>
        <v>0.37143721868694707</v>
      </c>
      <c r="AG79" s="93">
        <v>1066.6900000000003</v>
      </c>
      <c r="AH79" s="93"/>
      <c r="AI79" s="93">
        <v>830</v>
      </c>
      <c r="AJ79" s="93"/>
      <c r="AK79" s="93"/>
      <c r="AL79" s="122">
        <f t="shared" si="47"/>
        <v>13.492881126978</v>
      </c>
      <c r="AM79" s="93">
        <v>0</v>
      </c>
      <c r="AN79" s="94">
        <f t="shared" si="57"/>
        <v>258.60589999999996</v>
      </c>
      <c r="AO79" s="95">
        <f t="shared" si="58"/>
        <v>1060.8412188730215</v>
      </c>
      <c r="AP79" s="96"/>
      <c r="AQ79" s="97">
        <f t="shared" si="7"/>
        <v>1288.5999999999999</v>
      </c>
      <c r="AR79" s="98">
        <f t="shared" si="35"/>
        <v>164.04</v>
      </c>
      <c r="AS79" s="98">
        <f t="shared" si="9"/>
        <v>478.63400000000001</v>
      </c>
      <c r="AT79" s="98">
        <f t="shared" si="10"/>
        <v>213.33800000000005</v>
      </c>
      <c r="AU79" s="98">
        <f t="shared" si="59"/>
        <v>166</v>
      </c>
      <c r="AV79" s="98">
        <f t="array" ref="AV79">_xlfn.IFS(U79=0,AO79,U79&lt;0,AO79/-U79,U79&gt;0,AO79/U79)</f>
        <v>212.16824377460429</v>
      </c>
      <c r="AW79" s="234">
        <f t="shared" si="44"/>
        <v>0.16465019693823088</v>
      </c>
      <c r="AX79" s="234">
        <f t="shared" si="45"/>
        <v>1.293393341713023</v>
      </c>
      <c r="AY79" s="99"/>
      <c r="AZ79" s="94">
        <f t="shared" si="13"/>
        <v>7425.8885321111502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25</v>
      </c>
      <c r="F80" s="93">
        <v>4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2"/>
        <v>4101</v>
      </c>
      <c r="M80" s="89">
        <v>112</v>
      </c>
      <c r="N80" s="89">
        <v>5</v>
      </c>
      <c r="O80" s="89">
        <v>987</v>
      </c>
      <c r="P80" s="89">
        <v>0</v>
      </c>
      <c r="Q80" s="233">
        <f t="shared" si="48"/>
        <v>0.7142857142857143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732.65999999999985</v>
      </c>
      <c r="AH80" s="93">
        <f>129+162</f>
        <v>291</v>
      </c>
      <c r="AI80" s="93">
        <f>32+39</f>
        <v>71</v>
      </c>
      <c r="AJ80" s="93"/>
      <c r="AK80" s="93"/>
      <c r="AL80" s="122">
        <f t="shared" si="47"/>
        <v>17.644536858355849</v>
      </c>
      <c r="AM80" s="93">
        <v>0</v>
      </c>
      <c r="AN80" s="94">
        <f t="shared" si="57"/>
        <v>0</v>
      </c>
      <c r="AO80" s="95">
        <f t="shared" si="58"/>
        <v>-1112.3045368583557</v>
      </c>
      <c r="AP80" s="96"/>
      <c r="AQ80" s="97">
        <f t="shared" si="7"/>
        <v>0</v>
      </c>
      <c r="AR80" s="98">
        <f t="shared" si="35"/>
        <v>164.04</v>
      </c>
      <c r="AS80" s="98">
        <f t="shared" si="9"/>
        <v>0</v>
      </c>
      <c r="AT80" s="98">
        <f t="shared" si="10"/>
        <v>732.65999999999985</v>
      </c>
      <c r="AU80" s="98">
        <f t="shared" si="59"/>
        <v>0</v>
      </c>
      <c r="AV80" s="98">
        <f t="array" ref="AV80">_xlfn.IFS(U80=0,AO80,U80&lt;0,AO80/-U80,U80&gt;0,AO80/U80)</f>
        <v>-1112.3045368583557</v>
      </c>
      <c r="AW80" s="234">
        <f t="shared" si="44"/>
        <v>0</v>
      </c>
      <c r="AX80" s="234">
        <f t="shared" si="45"/>
        <v>-6.7806909098900014</v>
      </c>
      <c r="AY80" s="99"/>
      <c r="AZ80" s="94">
        <f t="shared" si="13"/>
        <v>-27807.613421458893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2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47"/>
        <v>13.492881126978</v>
      </c>
      <c r="AM81" s="93">
        <v>0</v>
      </c>
      <c r="AN81" s="94">
        <f t="shared" si="57"/>
        <v>0</v>
      </c>
      <c r="AO81" s="95">
        <f t="shared" si="58"/>
        <v>-13.492881126978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-13.492881126978</v>
      </c>
      <c r="AW81" s="234">
        <f t="shared" si="44"/>
        <v>0</v>
      </c>
      <c r="AX81" s="234">
        <f t="shared" si="45"/>
        <v>-0.10464464965858539</v>
      </c>
      <c r="AY81" s="99"/>
      <c r="AZ81" s="94">
        <f t="shared" si="13"/>
        <v>-188.90033577769199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43</v>
      </c>
      <c r="F82" s="93">
        <v>4</v>
      </c>
      <c r="G82" s="93" t="s">
        <v>100</v>
      </c>
      <c r="H82" s="93">
        <v>38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314</v>
      </c>
      <c r="N82" s="89">
        <v>4</v>
      </c>
      <c r="O82" s="89">
        <v>1174</v>
      </c>
      <c r="P82" s="89">
        <v>0</v>
      </c>
      <c r="Q82" s="233">
        <f t="shared" si="48"/>
        <v>0.5714285714285714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1.64</v>
      </c>
      <c r="AH82" s="93"/>
      <c r="AI82" s="93">
        <v>298</v>
      </c>
      <c r="AJ82" s="93">
        <v>1980</v>
      </c>
      <c r="AK82" s="93"/>
      <c r="AL82" s="122">
        <f t="shared" si="47"/>
        <v>39.440729448089542</v>
      </c>
      <c r="AM82" s="93">
        <v>0</v>
      </c>
      <c r="AN82" s="94">
        <f t="shared" si="57"/>
        <v>0</v>
      </c>
      <c r="AO82" s="95">
        <f t="shared" si="58"/>
        <v>-2319.0807294480892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1.64</v>
      </c>
      <c r="AU82" s="98">
        <f t="shared" si="59"/>
        <v>0</v>
      </c>
      <c r="AV82" s="98">
        <f t="array" ref="AV82">_xlfn.IFS(U82=0,AO82,U82&lt;0,AO82/-U82,U82&gt;0,AO82/U82)</f>
        <v>-2319.0807294480892</v>
      </c>
      <c r="AW82" s="234">
        <f t="shared" si="44"/>
        <v>0</v>
      </c>
      <c r="AX82" s="234">
        <f t="shared" si="45"/>
        <v>-17.985735454072355</v>
      </c>
      <c r="AY82" s="99"/>
      <c r="AZ82" s="94">
        <f t="shared" si="13"/>
        <v>-99720.47136626784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43</v>
      </c>
      <c r="F83" s="93">
        <v>1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90.84</v>
      </c>
      <c r="AH83" s="93"/>
      <c r="AI83" s="93"/>
      <c r="AJ83" s="93"/>
      <c r="AK83" s="93"/>
      <c r="AL83" s="122">
        <f t="shared" si="47"/>
        <v>42.554471246622931</v>
      </c>
      <c r="AM83" s="93">
        <v>0</v>
      </c>
      <c r="AN83" s="94">
        <f t="shared" si="57"/>
        <v>0</v>
      </c>
      <c r="AO83" s="95">
        <f t="shared" si="58"/>
        <v>-133.39447124662294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90.84</v>
      </c>
      <c r="AU83" s="98">
        <f t="shared" si="59"/>
        <v>0</v>
      </c>
      <c r="AV83" s="98">
        <f t="array" ref="AV83">_xlfn.IFS(U83=0,AO83,U83&lt;0,AO83/-U83,U83&gt;0,AO83/U83)</f>
        <v>-133.39447124662294</v>
      </c>
      <c r="AW83" s="234">
        <f t="shared" si="44"/>
        <v>0</v>
      </c>
      <c r="AX83" s="234">
        <f t="shared" si="45"/>
        <v>-1.0837149341670562</v>
      </c>
      <c r="AY83" s="99"/>
      <c r="AZ83" s="94">
        <f t="shared" si="13"/>
        <v>-5735.9622636047861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41</v>
      </c>
      <c r="F84" s="93">
        <v>1</v>
      </c>
      <c r="G84" s="93" t="s">
        <v>100</v>
      </c>
      <c r="H84" s="93">
        <v>39</v>
      </c>
      <c r="I84" s="93">
        <v>0</v>
      </c>
      <c r="J84" s="93">
        <v>1</v>
      </c>
      <c r="K84" s="93">
        <v>146.49</v>
      </c>
      <c r="L84" s="92">
        <f t="shared" si="42"/>
        <v>6006.09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8"/>
        <v>0.14285714285714285</v>
      </c>
      <c r="R84" s="92">
        <f t="shared" si="49"/>
        <v>0.14285714285714285</v>
      </c>
      <c r="S84" s="93">
        <v>1</v>
      </c>
      <c r="T84" s="93">
        <v>0</v>
      </c>
      <c r="U84" s="92">
        <f t="shared" si="50"/>
        <v>1</v>
      </c>
      <c r="V84" s="93">
        <v>908</v>
      </c>
      <c r="W84" s="93">
        <v>0</v>
      </c>
      <c r="X84" s="92">
        <f t="shared" si="51"/>
        <v>908</v>
      </c>
      <c r="Y84" s="93">
        <v>1438</v>
      </c>
      <c r="Z84" s="93">
        <v>0</v>
      </c>
      <c r="AA84" s="92">
        <f t="shared" si="52"/>
        <v>1438</v>
      </c>
      <c r="AB84" s="92">
        <f t="shared" si="53"/>
        <v>0</v>
      </c>
      <c r="AC84" s="234">
        <f t="shared" si="54"/>
        <v>5.9610244921790608E-4</v>
      </c>
      <c r="AD84" s="92">
        <f t="shared" si="55"/>
        <v>146.49</v>
      </c>
      <c r="AE84" s="93">
        <v>543.22</v>
      </c>
      <c r="AF84" s="234">
        <f t="shared" si="56"/>
        <v>0.37776077885952714</v>
      </c>
      <c r="AG84" s="93">
        <v>363.44</v>
      </c>
      <c r="AH84" s="93"/>
      <c r="AI84" s="93">
        <v>208</v>
      </c>
      <c r="AJ84" s="93"/>
      <c r="AK84" s="93"/>
      <c r="AL84" s="122">
        <f t="shared" si="47"/>
        <v>40.478643380934002</v>
      </c>
      <c r="AM84" s="93">
        <v>0</v>
      </c>
      <c r="AN84" s="94">
        <f t="shared" si="57"/>
        <v>51.846799999999995</v>
      </c>
      <c r="AO84" s="95">
        <f t="shared" si="58"/>
        <v>84.524556619065976</v>
      </c>
      <c r="AP84" s="96"/>
      <c r="AQ84" s="97">
        <f t="shared" si="7"/>
        <v>1438</v>
      </c>
      <c r="AR84" s="98">
        <f t="shared" si="35"/>
        <v>146.49</v>
      </c>
      <c r="AS84" s="98">
        <f t="shared" si="9"/>
        <v>543.22</v>
      </c>
      <c r="AT84" s="98">
        <f t="shared" si="10"/>
        <v>363.44</v>
      </c>
      <c r="AU84" s="98">
        <f t="shared" si="59"/>
        <v>208</v>
      </c>
      <c r="AV84" s="98">
        <f t="array" ref="AV84">_xlfn.IFS(U84=0,AO84,U84&lt;0,AO84/-U84,U84&gt;0,AO84/U84)</f>
        <v>84.524556619065976</v>
      </c>
      <c r="AW84" s="234">
        <f t="shared" si="44"/>
        <v>5.8779246605748244E-2</v>
      </c>
      <c r="AX84" s="234">
        <f t="shared" si="45"/>
        <v>0.576998816431606</v>
      </c>
      <c r="AY84" s="99"/>
      <c r="AZ84" s="94">
        <f t="shared" si="13"/>
        <v>3465.5068213817049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2</v>
      </c>
      <c r="G85" s="93" t="s">
        <v>100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1</v>
      </c>
      <c r="O85" s="89">
        <v>900</v>
      </c>
      <c r="P85" s="89">
        <v>0</v>
      </c>
      <c r="Q85" s="233">
        <f t="shared" si="48"/>
        <v>0.14285714285714285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190.61999999999998</v>
      </c>
      <c r="AH85" s="93"/>
      <c r="AI85" s="93">
        <v>466</v>
      </c>
      <c r="AJ85" s="93">
        <v>410</v>
      </c>
      <c r="AK85" s="93"/>
      <c r="AL85" s="122">
        <f t="shared" si="47"/>
        <v>34.251159783867237</v>
      </c>
      <c r="AM85" s="93">
        <v>0</v>
      </c>
      <c r="AN85" s="94">
        <f t="shared" si="57"/>
        <v>0</v>
      </c>
      <c r="AO85" s="95">
        <f t="shared" si="58"/>
        <v>-1100.8711597838671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190.61999999999998</v>
      </c>
      <c r="AU85" s="98">
        <f t="shared" si="59"/>
        <v>0</v>
      </c>
      <c r="AV85" s="98">
        <f t="array" ref="AV85">_xlfn.IFS(U85=0,AO85,U85&lt;0,AO85/-U85,U85&gt;0,AO85/U85)</f>
        <v>-1100.8711597838671</v>
      </c>
      <c r="AW85" s="234">
        <f t="shared" si="44"/>
        <v>0</v>
      </c>
      <c r="AX85" s="234">
        <f t="shared" si="45"/>
        <v>-10.667356199456076</v>
      </c>
      <c r="AY85" s="99"/>
      <c r="AZ85" s="94">
        <f t="shared" si="13"/>
        <v>-39631.361752219214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41</v>
      </c>
      <c r="F86" s="93">
        <v>13</v>
      </c>
      <c r="G86" s="93" t="s">
        <v>100</v>
      </c>
      <c r="H86" s="93">
        <v>27</v>
      </c>
      <c r="I86" s="93">
        <v>0</v>
      </c>
      <c r="J86" s="93">
        <v>1</v>
      </c>
      <c r="K86" s="93">
        <v>150</v>
      </c>
      <c r="L86" s="92">
        <f t="shared" si="42"/>
        <v>6150</v>
      </c>
      <c r="M86" s="89">
        <v>283</v>
      </c>
      <c r="N86" s="89">
        <v>15</v>
      </c>
      <c r="O86" s="89">
        <v>1064</v>
      </c>
      <c r="P86" s="89">
        <v>100</v>
      </c>
      <c r="Q86" s="233">
        <f t="shared" si="48"/>
        <v>2.1428571428571428</v>
      </c>
      <c r="R86" s="92">
        <f t="shared" si="49"/>
        <v>0.2857142857142857</v>
      </c>
      <c r="S86" s="93">
        <v>2</v>
      </c>
      <c r="T86" s="93">
        <v>0</v>
      </c>
      <c r="U86" s="92">
        <f t="shared" si="50"/>
        <v>2</v>
      </c>
      <c r="V86" s="93">
        <v>1504</v>
      </c>
      <c r="W86" s="93">
        <v>0</v>
      </c>
      <c r="X86" s="92">
        <f t="shared" si="51"/>
        <v>1504</v>
      </c>
      <c r="Y86" s="93">
        <v>2128</v>
      </c>
      <c r="Z86" s="93">
        <v>0</v>
      </c>
      <c r="AA86" s="92">
        <f t="shared" si="52"/>
        <v>2128</v>
      </c>
      <c r="AB86" s="92">
        <f t="shared" si="53"/>
        <v>15960</v>
      </c>
      <c r="AC86" s="234">
        <f t="shared" si="54"/>
        <v>8.8213213625570528E-4</v>
      </c>
      <c r="AD86" s="92">
        <f t="shared" si="55"/>
        <v>300</v>
      </c>
      <c r="AE86" s="93">
        <v>816.82999999999993</v>
      </c>
      <c r="AF86" s="234">
        <f t="shared" si="56"/>
        <v>0.38384868421052626</v>
      </c>
      <c r="AG86" s="93">
        <v>103.04</v>
      </c>
      <c r="AH86" s="93"/>
      <c r="AI86" s="93">
        <v>70</v>
      </c>
      <c r="AJ86" s="93"/>
      <c r="AK86" s="93"/>
      <c r="AL86" s="122">
        <f t="shared" si="47"/>
        <v>28.023676186800465</v>
      </c>
      <c r="AM86" s="93">
        <v>0</v>
      </c>
      <c r="AN86" s="94">
        <f t="shared" si="57"/>
        <v>85.878399999999999</v>
      </c>
      <c r="AO86" s="95">
        <f t="shared" si="58"/>
        <v>724.2279238131996</v>
      </c>
      <c r="AP86" s="96"/>
      <c r="AQ86" s="97">
        <f t="shared" si="7"/>
        <v>1064</v>
      </c>
      <c r="AR86" s="98">
        <f t="shared" si="35"/>
        <v>150</v>
      </c>
      <c r="AS86" s="98">
        <f t="shared" si="9"/>
        <v>408.41499999999996</v>
      </c>
      <c r="AT86" s="98">
        <f t="shared" si="10"/>
        <v>51.52</v>
      </c>
      <c r="AU86" s="98">
        <f t="shared" si="59"/>
        <v>35</v>
      </c>
      <c r="AV86" s="98">
        <f t="array" ref="AV86">_xlfn.IFS(U86=0,AO86,U86&lt;0,AO86/-U86,U86&gt;0,AO86/U86)</f>
        <v>362.1139619065998</v>
      </c>
      <c r="AW86" s="234">
        <f t="shared" si="44"/>
        <v>0.34033267096484943</v>
      </c>
      <c r="AX86" s="234">
        <f t="shared" si="45"/>
        <v>2.4140930793773321</v>
      </c>
      <c r="AY86" s="99"/>
      <c r="AZ86" s="94">
        <f t="shared" si="13"/>
        <v>14846.672438170592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7</v>
      </c>
      <c r="F87" s="93">
        <v>4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1050</v>
      </c>
      <c r="M87" s="89">
        <v>999</v>
      </c>
      <c r="N87" s="89">
        <v>7</v>
      </c>
      <c r="O87" s="89">
        <v>1056</v>
      </c>
      <c r="P87" s="89">
        <v>75</v>
      </c>
      <c r="Q87" s="233">
        <f t="shared" si="48"/>
        <v>1</v>
      </c>
      <c r="R87" s="92">
        <f t="shared" si="49"/>
        <v>0.5714285714285714</v>
      </c>
      <c r="S87" s="93">
        <v>4</v>
      </c>
      <c r="T87" s="93">
        <v>0</v>
      </c>
      <c r="U87" s="92">
        <f t="shared" si="50"/>
        <v>4</v>
      </c>
      <c r="V87" s="93">
        <v>2914</v>
      </c>
      <c r="W87" s="93">
        <v>0</v>
      </c>
      <c r="X87" s="92">
        <f t="shared" si="51"/>
        <v>2914</v>
      </c>
      <c r="Y87" s="93">
        <v>4224</v>
      </c>
      <c r="Z87" s="93">
        <v>0</v>
      </c>
      <c r="AA87" s="92">
        <f t="shared" si="52"/>
        <v>4224</v>
      </c>
      <c r="AB87" s="92">
        <f t="shared" si="53"/>
        <v>5544</v>
      </c>
      <c r="AC87" s="234">
        <f t="shared" si="54"/>
        <v>1.7509991276053096E-3</v>
      </c>
      <c r="AD87" s="92">
        <f t="shared" si="55"/>
        <v>600</v>
      </c>
      <c r="AE87" s="93">
        <v>1611.94</v>
      </c>
      <c r="AF87" s="234">
        <f t="shared" si="56"/>
        <v>0.38161458333333337</v>
      </c>
      <c r="AG87" s="93">
        <v>455.26</v>
      </c>
      <c r="AH87" s="93"/>
      <c r="AI87" s="93"/>
      <c r="AJ87" s="93"/>
      <c r="AK87" s="93"/>
      <c r="AL87" s="122">
        <f t="shared" si="47"/>
        <v>0</v>
      </c>
      <c r="AM87" s="93">
        <v>0</v>
      </c>
      <c r="AN87" s="94">
        <f t="shared" si="57"/>
        <v>166.38939999999999</v>
      </c>
      <c r="AO87" s="95">
        <f t="shared" si="58"/>
        <v>1390.4105999999999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402.98500000000001</v>
      </c>
      <c r="AT87" s="98">
        <f t="shared" si="10"/>
        <v>113.815</v>
      </c>
      <c r="AU87" s="98">
        <f t="shared" si="59"/>
        <v>0</v>
      </c>
      <c r="AV87" s="98">
        <f t="array" ref="AV87">_xlfn.IFS(U87=0,AO87,U87&lt;0,AO87/-U87,U87&gt;0,AO87/U87)</f>
        <v>347.60264999999998</v>
      </c>
      <c r="AW87" s="234">
        <f t="shared" si="44"/>
        <v>0.32916917613636359</v>
      </c>
      <c r="AX87" s="234">
        <f t="shared" si="45"/>
        <v>2.3173509999999999</v>
      </c>
      <c r="AY87" s="99"/>
      <c r="AZ87" s="94">
        <f t="shared" si="13"/>
        <v>2433.2185500000001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</v>
      </c>
      <c r="F88" s="93" t="s">
        <v>100</v>
      </c>
      <c r="G88" s="93">
        <v>2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8"/>
        <v>0.14285714285714285</v>
      </c>
      <c r="R88" s="92">
        <f t="shared" si="49"/>
        <v>0</v>
      </c>
      <c r="S88" s="93">
        <v>0</v>
      </c>
      <c r="T88" s="93">
        <v>0</v>
      </c>
      <c r="U88" s="92">
        <f t="shared" si="50"/>
        <v>0</v>
      </c>
      <c r="V88" s="93">
        <v>0</v>
      </c>
      <c r="W88" s="93">
        <v>0</v>
      </c>
      <c r="X88" s="92">
        <f t="shared" si="51"/>
        <v>0</v>
      </c>
      <c r="Y88" s="93">
        <v>0</v>
      </c>
      <c r="Z88" s="93">
        <v>0</v>
      </c>
      <c r="AA88" s="92">
        <f t="shared" si="52"/>
        <v>0</v>
      </c>
      <c r="AB88" s="92">
        <f t="shared" si="53"/>
        <v>0</v>
      </c>
      <c r="AC88" s="234">
        <f t="shared" si="54"/>
        <v>0</v>
      </c>
      <c r="AD88" s="92">
        <f t="shared" si="55"/>
        <v>0</v>
      </c>
      <c r="AE88" s="93">
        <v>0</v>
      </c>
      <c r="AF88" s="234">
        <f t="shared" si="56"/>
        <v>0</v>
      </c>
      <c r="AG88" s="93">
        <v>259.75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0</v>
      </c>
      <c r="AO88" s="95">
        <f t="shared" si="58"/>
        <v>-259.75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259.75</v>
      </c>
      <c r="AU88" s="98">
        <f t="shared" si="59"/>
        <v>0</v>
      </c>
      <c r="AV88" s="98">
        <f t="array" ref="AV88">_xlfn.IFS(U88=0,AO88,U88&lt;0,AO88/-U88,U88&gt;0,AO88/U88)</f>
        <v>-259.75</v>
      </c>
      <c r="AW88" s="234">
        <f t="shared" si="44"/>
        <v>0</v>
      </c>
      <c r="AX88" s="234">
        <f t="shared" si="45"/>
        <v>-1.7316666666666667</v>
      </c>
      <c r="AY88" s="99"/>
      <c r="AZ88" s="94">
        <f t="shared" si="13"/>
        <v>-779.25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7</v>
      </c>
      <c r="F89" s="93">
        <v>3</v>
      </c>
      <c r="G89" s="93">
        <v>2</v>
      </c>
      <c r="H89" s="93">
        <v>1</v>
      </c>
      <c r="I89" s="93">
        <v>0</v>
      </c>
      <c r="J89" s="93">
        <v>1</v>
      </c>
      <c r="K89" s="93">
        <v>169.89</v>
      </c>
      <c r="L89" s="92">
        <f t="shared" si="42"/>
        <v>1189.23</v>
      </c>
      <c r="M89" s="89">
        <v>53</v>
      </c>
      <c r="N89" s="89">
        <v>4</v>
      </c>
      <c r="O89" s="89">
        <v>1504</v>
      </c>
      <c r="P89" s="89">
        <v>0</v>
      </c>
      <c r="Q89" s="233">
        <f t="shared" si="48"/>
        <v>0.5714285714285714</v>
      </c>
      <c r="R89" s="92">
        <f t="shared" si="49"/>
        <v>0.14285714285714285</v>
      </c>
      <c r="S89" s="93">
        <v>1</v>
      </c>
      <c r="T89" s="93">
        <v>0</v>
      </c>
      <c r="U89" s="92">
        <f t="shared" si="50"/>
        <v>1</v>
      </c>
      <c r="V89" s="93">
        <v>1016</v>
      </c>
      <c r="W89" s="93">
        <v>0</v>
      </c>
      <c r="X89" s="92">
        <f t="shared" si="51"/>
        <v>1016</v>
      </c>
      <c r="Y89" s="93">
        <v>1504</v>
      </c>
      <c r="Z89" s="93">
        <v>0</v>
      </c>
      <c r="AA89" s="92">
        <f t="shared" si="52"/>
        <v>1504</v>
      </c>
      <c r="AB89" s="92">
        <f t="shared" si="53"/>
        <v>0</v>
      </c>
      <c r="AC89" s="234">
        <f t="shared" si="54"/>
        <v>6.2346181058673907E-4</v>
      </c>
      <c r="AD89" s="92">
        <f t="shared" si="55"/>
        <v>169.89</v>
      </c>
      <c r="AE89" s="93">
        <v>570.79999999999995</v>
      </c>
      <c r="AF89" s="234">
        <f t="shared" si="56"/>
        <v>0.37952127659574464</v>
      </c>
      <c r="AG89" s="93">
        <v>128.45999999999998</v>
      </c>
      <c r="AH89" s="93"/>
      <c r="AI89" s="93"/>
      <c r="AJ89" s="93"/>
      <c r="AK89" s="93"/>
      <c r="AL89" s="122">
        <f t="shared" si="47"/>
        <v>1.0379139328444615</v>
      </c>
      <c r="AM89" s="93">
        <v>0</v>
      </c>
      <c r="AN89" s="94">
        <f t="shared" si="57"/>
        <v>58.013599999999997</v>
      </c>
      <c r="AO89" s="95">
        <f t="shared" si="58"/>
        <v>575.79848606715564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570.79999999999995</v>
      </c>
      <c r="AT89" s="98">
        <f t="shared" si="10"/>
        <v>128.45999999999998</v>
      </c>
      <c r="AU89" s="98">
        <f t="shared" si="59"/>
        <v>0</v>
      </c>
      <c r="AV89" s="98">
        <f t="array" ref="AV89">_xlfn.IFS(U89=0,AO89,U89&lt;0,AO89/-U89,U89&gt;0,AO89/U89)</f>
        <v>575.79848606715564</v>
      </c>
      <c r="AW89" s="234">
        <f t="shared" si="44"/>
        <v>0.38284473807656627</v>
      </c>
      <c r="AX89" s="234">
        <f t="shared" si="45"/>
        <v>3.3892429576028942</v>
      </c>
      <c r="AY89" s="99"/>
      <c r="AZ89" s="94">
        <f t="shared" si="13"/>
        <v>4030.5894024700892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725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49.819868776534157</v>
      </c>
      <c r="AM90" s="93">
        <v>0</v>
      </c>
      <c r="AN90" s="94">
        <f t="shared" si="57"/>
        <v>0</v>
      </c>
      <c r="AO90" s="95">
        <f t="shared" si="58"/>
        <v>-49.819868776534157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-49.819868776534157</v>
      </c>
      <c r="AW90" s="234">
        <f t="shared" si="44"/>
        <v>0</v>
      </c>
      <c r="AX90" s="234">
        <f t="shared" si="45"/>
        <v>-0.46180820148808083</v>
      </c>
      <c r="AY90" s="99"/>
      <c r="AZ90" s="94">
        <f t="shared" si="13"/>
        <v>-2441.1735700501736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33</v>
      </c>
      <c r="F91" s="93">
        <v>3</v>
      </c>
      <c r="G91" s="93">
        <v>2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2"/>
        <v>3096.7200000000003</v>
      </c>
      <c r="M91" s="89">
        <v>999</v>
      </c>
      <c r="N91" s="89">
        <v>3</v>
      </c>
      <c r="O91" s="89">
        <v>1075</v>
      </c>
      <c r="P91" s="89">
        <v>0</v>
      </c>
      <c r="Q91" s="233">
        <f t="shared" si="48"/>
        <v>0.42857142857142855</v>
      </c>
      <c r="R91" s="92">
        <f t="shared" si="49"/>
        <v>0.14285714285714285</v>
      </c>
      <c r="S91" s="93">
        <v>1</v>
      </c>
      <c r="T91" s="93">
        <v>0</v>
      </c>
      <c r="U91" s="92">
        <f t="shared" si="50"/>
        <v>1</v>
      </c>
      <c r="V91" s="93">
        <v>732</v>
      </c>
      <c r="W91" s="93">
        <v>0</v>
      </c>
      <c r="X91" s="92">
        <f t="shared" si="51"/>
        <v>732</v>
      </c>
      <c r="Y91" s="93">
        <v>1075</v>
      </c>
      <c r="Z91" s="93">
        <v>0</v>
      </c>
      <c r="AA91" s="92">
        <f t="shared" si="52"/>
        <v>1075</v>
      </c>
      <c r="AB91" s="92">
        <f t="shared" si="53"/>
        <v>0</v>
      </c>
      <c r="AC91" s="234">
        <f t="shared" si="54"/>
        <v>4.456259616893248E-4</v>
      </c>
      <c r="AD91" s="92">
        <f t="shared" si="55"/>
        <v>93.84</v>
      </c>
      <c r="AE91" s="93">
        <v>381.86</v>
      </c>
      <c r="AF91" s="234">
        <f t="shared" si="56"/>
        <v>0.35521860465116278</v>
      </c>
      <c r="AG91" s="93">
        <v>652.79</v>
      </c>
      <c r="AH91" s="93"/>
      <c r="AI91" s="93">
        <f>721+352</f>
        <v>1073</v>
      </c>
      <c r="AJ91" s="93"/>
      <c r="AK91" s="93"/>
      <c r="AL91" s="122">
        <f t="shared" si="47"/>
        <v>22.834106522578157</v>
      </c>
      <c r="AM91" s="93">
        <v>0</v>
      </c>
      <c r="AN91" s="94">
        <f t="shared" si="57"/>
        <v>41.797199999999997</v>
      </c>
      <c r="AO91" s="95">
        <f t="shared" si="58"/>
        <v>-1191.1213065225782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381.86</v>
      </c>
      <c r="AT91" s="98">
        <f t="shared" si="10"/>
        <v>652.79</v>
      </c>
      <c r="AU91" s="98">
        <f t="shared" si="59"/>
        <v>1073</v>
      </c>
      <c r="AV91" s="98">
        <f t="array" ref="AV91">_xlfn.IFS(U91=0,AO91,U91&lt;0,AO91/-U91,U91&gt;0,AO91/U91)</f>
        <v>-1191.1213065225782</v>
      </c>
      <c r="AW91" s="234">
        <f t="shared" si="44"/>
        <v>-1.108019820021003</v>
      </c>
      <c r="AX91" s="234">
        <f t="shared" si="45"/>
        <v>-12.693108552030884</v>
      </c>
      <c r="AY91" s="99"/>
      <c r="AZ91" s="94">
        <f t="shared" si="13"/>
        <v>-39307.003115245076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47</v>
      </c>
      <c r="F92" s="93">
        <v>2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2"/>
        <v>6555.09</v>
      </c>
      <c r="M92" s="89">
        <v>212</v>
      </c>
      <c r="N92" s="89">
        <v>5</v>
      </c>
      <c r="O92" s="89">
        <v>1250</v>
      </c>
      <c r="P92" s="89">
        <v>0</v>
      </c>
      <c r="Q92" s="233">
        <f t="shared" si="48"/>
        <v>0.7142857142857143</v>
      </c>
      <c r="R92" s="92">
        <f t="shared" si="49"/>
        <v>0.2857142857142857</v>
      </c>
      <c r="S92" s="93">
        <v>2</v>
      </c>
      <c r="T92" s="93">
        <v>0</v>
      </c>
      <c r="U92" s="92">
        <f t="shared" si="50"/>
        <v>2</v>
      </c>
      <c r="V92" s="93">
        <v>1593</v>
      </c>
      <c r="W92" s="93">
        <v>0</v>
      </c>
      <c r="X92" s="92">
        <f t="shared" si="51"/>
        <v>1593</v>
      </c>
      <c r="Y92" s="93">
        <v>2462.5</v>
      </c>
      <c r="Z92" s="93">
        <v>0</v>
      </c>
      <c r="AA92" s="92">
        <f t="shared" si="52"/>
        <v>2462.5</v>
      </c>
      <c r="AB92" s="92">
        <f t="shared" si="53"/>
        <v>0</v>
      </c>
      <c r="AC92" s="234">
        <f t="shared" si="54"/>
        <v>1.0207943541022905E-3</v>
      </c>
      <c r="AD92" s="92">
        <f t="shared" si="55"/>
        <v>278.94</v>
      </c>
      <c r="AE92" s="93">
        <v>939.13999999999987</v>
      </c>
      <c r="AF92" s="234">
        <f t="shared" si="56"/>
        <v>0.38137664974619284</v>
      </c>
      <c r="AG92" s="93">
        <v>508.2</v>
      </c>
      <c r="AH92" s="93"/>
      <c r="AI92" s="93">
        <v>774</v>
      </c>
      <c r="AJ92" s="93"/>
      <c r="AK92" s="93"/>
      <c r="AL92" s="122">
        <f t="shared" si="47"/>
        <v>44.630299112311853</v>
      </c>
      <c r="AM92" s="93">
        <v>0</v>
      </c>
      <c r="AN92" s="94">
        <f t="shared" si="57"/>
        <v>90.960300000000004</v>
      </c>
      <c r="AO92" s="95">
        <f t="shared" si="58"/>
        <v>-173.37059911231182</v>
      </c>
      <c r="AP92" s="96"/>
      <c r="AQ92" s="97">
        <f t="shared" si="7"/>
        <v>1231.25</v>
      </c>
      <c r="AR92" s="98">
        <f t="shared" si="35"/>
        <v>139.47</v>
      </c>
      <c r="AS92" s="98">
        <f t="shared" si="9"/>
        <v>469.56999999999994</v>
      </c>
      <c r="AT92" s="98">
        <f t="shared" si="10"/>
        <v>254.1</v>
      </c>
      <c r="AU92" s="98">
        <f t="shared" si="59"/>
        <v>387</v>
      </c>
      <c r="AV92" s="98">
        <f t="array" ref="AV92">_xlfn.IFS(U92=0,AO92,U92&lt;0,AO92/-U92,U92&gt;0,AO92/U92)</f>
        <v>-86.685299556155911</v>
      </c>
      <c r="AW92" s="234">
        <f t="shared" si="44"/>
        <v>-7.0404304208045415E-2</v>
      </c>
      <c r="AX92" s="234">
        <f t="shared" si="45"/>
        <v>-0.62153365997100385</v>
      </c>
      <c r="AY92" s="99"/>
      <c r="AZ92" s="94">
        <f t="shared" si="13"/>
        <v>-4074.209079139328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/>
      <c r="G93" s="93"/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999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177.58</v>
      </c>
      <c r="AH93" s="93"/>
      <c r="AI93" s="93"/>
      <c r="AJ93" s="93"/>
      <c r="AK93" s="93"/>
      <c r="AL93" s="122">
        <f t="shared" si="47"/>
        <v>40.478643380934002</v>
      </c>
      <c r="AM93" s="93">
        <v>0</v>
      </c>
      <c r="AN93" s="94">
        <f t="shared" si="57"/>
        <v>0</v>
      </c>
      <c r="AO93" s="95">
        <f t="shared" si="58"/>
        <v>-218.05864338093403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177.58</v>
      </c>
      <c r="AU93" s="98">
        <f t="shared" si="59"/>
        <v>0</v>
      </c>
      <c r="AV93" s="98">
        <f t="array" ref="AV93">_xlfn.IFS(U93=0,AO93,U93&lt;0,AO93/-U93,U93&gt;0,AO93/U93)</f>
        <v>-218.05864338093403</v>
      </c>
      <c r="AW93" s="234">
        <f t="shared" si="44"/>
        <v>0</v>
      </c>
      <c r="AX93" s="234">
        <f t="shared" si="45"/>
        <v>-1.5634806293893599</v>
      </c>
      <c r="AY93" s="99"/>
      <c r="AZ93" s="94">
        <f t="shared" si="13"/>
        <v>-8722.3457352373607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 t="s">
        <v>100</v>
      </c>
      <c r="G97" s="93"/>
      <c r="H97" s="93">
        <v>2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3.88</v>
      </c>
      <c r="AH97" s="93"/>
      <c r="AI97" s="93"/>
      <c r="AJ97" s="93"/>
      <c r="AK97" s="93"/>
      <c r="AL97" s="122">
        <f t="shared" si="47"/>
        <v>2.0758278656889231</v>
      </c>
      <c r="AM97" s="93">
        <v>0</v>
      </c>
      <c r="AN97" s="94">
        <f t="shared" si="57"/>
        <v>0</v>
      </c>
      <c r="AO97" s="95">
        <f t="shared" si="58"/>
        <v>-5.9558278656889225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3.88</v>
      </c>
      <c r="AU97" s="98">
        <f t="shared" si="59"/>
        <v>0</v>
      </c>
      <c r="AV97" s="98">
        <f t="array" ref="AV97">_xlfn.IFS(U97=0,AO97,U97&lt;0,AO97/-U97,U97&gt;0,AO97/U97)</f>
        <v>-5.9558278656889225</v>
      </c>
      <c r="AW97" s="234">
        <f t="shared" si="44"/>
        <v>0</v>
      </c>
      <c r="AX97" s="234">
        <f t="shared" si="45"/>
        <v>-1.4886592345753156E-2</v>
      </c>
      <c r="AY97" s="99"/>
      <c r="AZ97" s="94">
        <f t="shared" si="13"/>
        <v>-11.911655731377845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7</v>
      </c>
      <c r="F98" s="93">
        <v>2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2"/>
        <v>2100.56</v>
      </c>
      <c r="M98" s="89">
        <v>43</v>
      </c>
      <c r="N98" s="89">
        <v>3</v>
      </c>
      <c r="O98" s="89">
        <v>878</v>
      </c>
      <c r="P98" s="89">
        <v>100</v>
      </c>
      <c r="Q98" s="233">
        <f t="shared" si="48"/>
        <v>0.42857142857142855</v>
      </c>
      <c r="R98" s="92">
        <f t="shared" si="49"/>
        <v>0.2857142857142857</v>
      </c>
      <c r="S98" s="93">
        <v>2</v>
      </c>
      <c r="T98" s="93">
        <v>0</v>
      </c>
      <c r="U98" s="92">
        <f t="shared" si="50"/>
        <v>2</v>
      </c>
      <c r="V98" s="93">
        <v>1269</v>
      </c>
      <c r="W98" s="93">
        <v>0</v>
      </c>
      <c r="X98" s="92">
        <f t="shared" si="51"/>
        <v>1269</v>
      </c>
      <c r="Y98" s="93">
        <v>1756</v>
      </c>
      <c r="Z98" s="93">
        <v>0</v>
      </c>
      <c r="AA98" s="92">
        <f t="shared" si="52"/>
        <v>1756</v>
      </c>
      <c r="AB98" s="92">
        <f t="shared" si="53"/>
        <v>2634</v>
      </c>
      <c r="AC98" s="234">
        <f t="shared" si="54"/>
        <v>7.279248267222831E-4</v>
      </c>
      <c r="AD98" s="92">
        <f t="shared" si="55"/>
        <v>600.16</v>
      </c>
      <c r="AE98" s="93">
        <v>675.59999999999991</v>
      </c>
      <c r="AF98" s="234">
        <f t="shared" si="56"/>
        <v>0.38473804100227788</v>
      </c>
      <c r="AG98" s="93">
        <v>177.41</v>
      </c>
      <c r="AH98" s="93"/>
      <c r="AI98" s="93"/>
      <c r="AJ98" s="93"/>
      <c r="AK98" s="93"/>
      <c r="AL98" s="122">
        <f t="shared" si="47"/>
        <v>5.1895696642223088</v>
      </c>
      <c r="AM98" s="93">
        <v>0</v>
      </c>
      <c r="AN98" s="94">
        <f t="shared" si="57"/>
        <v>72.45989999999999</v>
      </c>
      <c r="AO98" s="95">
        <f t="shared" si="58"/>
        <v>225.18053033577797</v>
      </c>
      <c r="AP98" s="96"/>
      <c r="AQ98" s="97">
        <f t="shared" ref="AQ98:AQ104" si="60">IF(U98=0,0,AA98/U98)</f>
        <v>878</v>
      </c>
      <c r="AR98" s="98">
        <f t="shared" si="35"/>
        <v>300.08</v>
      </c>
      <c r="AS98" s="98">
        <f t="shared" ref="AS98:AS104" si="61">IF(U98=0,0,AE98/U98)</f>
        <v>337.79999999999995</v>
      </c>
      <c r="AT98" s="98">
        <f t="shared" ref="AT98:AT104" si="62">IF(S98=0,AG98/1,AG98/S98)</f>
        <v>88.704999999999998</v>
      </c>
      <c r="AU98" s="98">
        <f t="shared" si="59"/>
        <v>0</v>
      </c>
      <c r="AV98" s="98">
        <f t="array" ref="AV98">_xlfn.IFS(U98=0,AO98,U98&lt;0,AO98/-U98,U98&gt;0,AO98/U98)</f>
        <v>112.59026516788899</v>
      </c>
      <c r="AW98" s="234">
        <f t="shared" si="44"/>
        <v>0.12823492615932686</v>
      </c>
      <c r="AX98" s="234">
        <f t="shared" si="45"/>
        <v>0.37520083033820645</v>
      </c>
      <c r="AY98" s="99"/>
      <c r="AZ98" s="94">
        <f t="shared" ref="AZ98:AZ104" si="63">AV98*E98</f>
        <v>788.13185617522288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4" si="65">IFERROR($AL$127*H99/$H$127,0)</f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4" si="66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4" si="67">IF(AQ99=0,0,AV99/AQ99)</f>
        <v>0</v>
      </c>
      <c r="AX99" s="234">
        <f t="shared" ref="AX99:AX104" si="68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33</v>
      </c>
      <c r="F100" s="93">
        <v>3</v>
      </c>
      <c r="G100" s="93"/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4"/>
        <v>4718.3399999999992</v>
      </c>
      <c r="M100" s="89">
        <v>143</v>
      </c>
      <c r="N100" s="89">
        <v>4</v>
      </c>
      <c r="O100" s="89">
        <v>1300</v>
      </c>
      <c r="P100" s="89">
        <v>100</v>
      </c>
      <c r="Q100" s="233">
        <f t="shared" si="48"/>
        <v>0.5714285714285714</v>
      </c>
      <c r="R100" s="92">
        <f t="shared" si="49"/>
        <v>0.14285714285714285</v>
      </c>
      <c r="S100" s="93">
        <v>1</v>
      </c>
      <c r="T100" s="93">
        <v>0</v>
      </c>
      <c r="U100" s="92">
        <f t="shared" si="50"/>
        <v>1</v>
      </c>
      <c r="V100" s="93">
        <v>834</v>
      </c>
      <c r="W100" s="93">
        <v>0</v>
      </c>
      <c r="X100" s="92">
        <f t="shared" si="51"/>
        <v>834</v>
      </c>
      <c r="Y100" s="93">
        <v>1300</v>
      </c>
      <c r="Z100" s="93">
        <v>0</v>
      </c>
      <c r="AA100" s="92">
        <f t="shared" si="52"/>
        <v>1300</v>
      </c>
      <c r="AB100" s="92">
        <f t="shared" si="53"/>
        <v>5200</v>
      </c>
      <c r="AC100" s="234">
        <f t="shared" si="54"/>
        <v>5.3889651181034625E-4</v>
      </c>
      <c r="AD100" s="92">
        <f t="shared" si="55"/>
        <v>142.97999999999999</v>
      </c>
      <c r="AE100" s="93">
        <v>491.61</v>
      </c>
      <c r="AF100" s="234">
        <f t="shared" si="56"/>
        <v>0.37816153846153849</v>
      </c>
      <c r="AG100" s="93">
        <v>206.16</v>
      </c>
      <c r="AH100" s="93"/>
      <c r="AI100" s="93"/>
      <c r="AJ100" s="93"/>
      <c r="AK100" s="93"/>
      <c r="AL100" s="122">
        <f t="shared" si="65"/>
        <v>31.137417985333848</v>
      </c>
      <c r="AM100" s="93">
        <v>0</v>
      </c>
      <c r="AN100" s="94">
        <f t="shared" si="57"/>
        <v>47.621400000000001</v>
      </c>
      <c r="AO100" s="95">
        <f t="shared" si="58"/>
        <v>380.49118201466615</v>
      </c>
      <c r="AP100" s="96"/>
      <c r="AQ100" s="97">
        <f t="shared" si="60"/>
        <v>1300</v>
      </c>
      <c r="AR100" s="98">
        <f t="shared" si="66"/>
        <v>142.97999999999999</v>
      </c>
      <c r="AS100" s="98">
        <f t="shared" si="61"/>
        <v>491.61</v>
      </c>
      <c r="AT100" s="98">
        <f t="shared" si="62"/>
        <v>206.16</v>
      </c>
      <c r="AU100" s="98">
        <f t="shared" si="59"/>
        <v>0</v>
      </c>
      <c r="AV100" s="98">
        <f t="array" ref="AV100">_xlfn.IFS(U100=0,AO100,U100&lt;0,AO100/-U100,U100&gt;0,AO100/U100)</f>
        <v>380.49118201466615</v>
      </c>
      <c r="AW100" s="234">
        <f t="shared" si="67"/>
        <v>0.29268552462666625</v>
      </c>
      <c r="AX100" s="234">
        <f t="shared" si="68"/>
        <v>2.6611496853732421</v>
      </c>
      <c r="AY100" s="99"/>
      <c r="AZ100" s="94">
        <f t="shared" si="63"/>
        <v>12556.209006483983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5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6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7"/>
        <v>0</v>
      </c>
      <c r="AX101" s="234">
        <f t="shared" si="68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124</v>
      </c>
      <c r="F102" s="93">
        <v>4</v>
      </c>
      <c r="G102" s="93">
        <v>4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4"/>
        <v>15263.16</v>
      </c>
      <c r="M102" s="89">
        <v>169</v>
      </c>
      <c r="N102" s="89">
        <v>9</v>
      </c>
      <c r="O102" s="89">
        <v>1300</v>
      </c>
      <c r="P102" s="89">
        <v>20</v>
      </c>
      <c r="Q102" s="233">
        <f t="shared" si="48"/>
        <v>1.2857142857142858</v>
      </c>
      <c r="R102" s="92">
        <f t="shared" si="49"/>
        <v>0.42857142857142855</v>
      </c>
      <c r="S102" s="93">
        <v>3</v>
      </c>
      <c r="T102" s="93">
        <v>0</v>
      </c>
      <c r="U102" s="92">
        <f t="shared" si="50"/>
        <v>3</v>
      </c>
      <c r="V102" s="93">
        <v>2520</v>
      </c>
      <c r="W102" s="93">
        <v>0</v>
      </c>
      <c r="X102" s="92">
        <f t="shared" si="51"/>
        <v>2520</v>
      </c>
      <c r="Y102" s="93">
        <v>3900</v>
      </c>
      <c r="Z102" s="93">
        <v>0</v>
      </c>
      <c r="AA102" s="92">
        <f t="shared" si="52"/>
        <v>3900</v>
      </c>
      <c r="AB102" s="92">
        <f t="shared" si="53"/>
        <v>2340</v>
      </c>
      <c r="AC102" s="234">
        <f t="shared" si="54"/>
        <v>1.6166895354310388E-3</v>
      </c>
      <c r="AD102" s="92">
        <f t="shared" si="55"/>
        <v>369.27</v>
      </c>
      <c r="AE102" s="93">
        <v>1475.5500000000002</v>
      </c>
      <c r="AF102" s="234">
        <f t="shared" si="56"/>
        <v>0.37834615384615389</v>
      </c>
      <c r="AG102" s="93">
        <v>1087.3999999999999</v>
      </c>
      <c r="AH102" s="93"/>
      <c r="AI102" s="93"/>
      <c r="AJ102" s="93"/>
      <c r="AK102" s="93"/>
      <c r="AL102" s="122">
        <f t="shared" si="65"/>
        <v>120.39801620995755</v>
      </c>
      <c r="AM102" s="93">
        <v>0</v>
      </c>
      <c r="AN102" s="94">
        <f t="shared" si="57"/>
        <v>143.892</v>
      </c>
      <c r="AO102" s="95">
        <f t="shared" si="58"/>
        <v>703.48998379004252</v>
      </c>
      <c r="AP102" s="96"/>
      <c r="AQ102" s="97">
        <f t="shared" si="60"/>
        <v>1300</v>
      </c>
      <c r="AR102" s="98">
        <f t="shared" si="66"/>
        <v>123.09</v>
      </c>
      <c r="AS102" s="98">
        <f t="shared" si="61"/>
        <v>491.85000000000008</v>
      </c>
      <c r="AT102" s="98">
        <f t="shared" si="62"/>
        <v>362.46666666666664</v>
      </c>
      <c r="AU102" s="98">
        <f t="shared" si="59"/>
        <v>0</v>
      </c>
      <c r="AV102" s="98">
        <f t="array" ref="AV102">_xlfn.IFS(U102=0,AO102,U102&lt;0,AO102/-U102,U102&gt;0,AO102/U102)</f>
        <v>234.49666126334751</v>
      </c>
      <c r="AW102" s="234">
        <f t="shared" si="67"/>
        <v>0.18038204712565192</v>
      </c>
      <c r="AX102" s="234">
        <f t="shared" si="68"/>
        <v>1.9050829577004427</v>
      </c>
      <c r="AY102" s="99"/>
      <c r="AZ102" s="94">
        <f t="shared" si="63"/>
        <v>29077.585996655092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5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6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7"/>
        <v>0</v>
      </c>
      <c r="AX103" s="234">
        <f t="shared" si="68"/>
        <v>0</v>
      </c>
      <c r="AY103" s="99"/>
      <c r="AZ103" s="94">
        <f t="shared" si="63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6"/>
        <v>294</v>
      </c>
      <c r="F104" s="93">
        <v>6</v>
      </c>
      <c r="G104" s="93">
        <v>2</v>
      </c>
      <c r="H104" s="93">
        <v>86</v>
      </c>
      <c r="I104" s="93">
        <v>0</v>
      </c>
      <c r="J104" s="93">
        <v>200</v>
      </c>
      <c r="K104" s="93">
        <v>142.97999999999999</v>
      </c>
      <c r="L104" s="93">
        <f t="shared" si="64"/>
        <v>42036.119999999995</v>
      </c>
      <c r="M104" s="500">
        <v>107</v>
      </c>
      <c r="N104" s="500">
        <v>21</v>
      </c>
      <c r="O104" s="500">
        <v>1990</v>
      </c>
      <c r="P104" s="500">
        <v>93</v>
      </c>
      <c r="Q104" s="242">
        <f t="shared" si="48"/>
        <v>3</v>
      </c>
      <c r="R104" s="93">
        <f t="shared" si="49"/>
        <v>2.1428571428571428</v>
      </c>
      <c r="S104" s="93">
        <v>15</v>
      </c>
      <c r="T104" s="93">
        <v>0</v>
      </c>
      <c r="U104" s="93">
        <f t="shared" si="50"/>
        <v>15</v>
      </c>
      <c r="V104" s="93">
        <v>26600.010000000002</v>
      </c>
      <c r="W104" s="93">
        <v>0</v>
      </c>
      <c r="X104" s="93">
        <f t="shared" si="51"/>
        <v>26600.010000000002</v>
      </c>
      <c r="Y104" s="93">
        <v>29849.89</v>
      </c>
      <c r="Z104" s="93">
        <v>0</v>
      </c>
      <c r="AA104" s="93">
        <f t="shared" si="52"/>
        <v>29849.89</v>
      </c>
      <c r="AB104" s="93">
        <f t="shared" si="53"/>
        <v>38864.699999999997</v>
      </c>
      <c r="AC104" s="243">
        <f t="shared" si="54"/>
        <v>1.2373847383786567E-2</v>
      </c>
      <c r="AD104" s="93">
        <f t="shared" si="55"/>
        <v>2144.6999999999998</v>
      </c>
      <c r="AE104" s="93">
        <v>6066.8900000000031</v>
      </c>
      <c r="AF104" s="243">
        <f t="shared" si="56"/>
        <v>0.20324664513001567</v>
      </c>
      <c r="AG104" s="93">
        <v>403.36</v>
      </c>
      <c r="AH104" s="93"/>
      <c r="AI104" s="93">
        <v>83</v>
      </c>
      <c r="AJ104" s="93"/>
      <c r="AK104" s="93"/>
      <c r="AL104" s="122">
        <f t="shared" si="65"/>
        <v>89.260598224623706</v>
      </c>
      <c r="AM104" s="93">
        <v>0</v>
      </c>
      <c r="AN104" s="123">
        <f t="shared" si="57"/>
        <v>1518.8605710000002</v>
      </c>
      <c r="AO104" s="124">
        <f t="shared" si="58"/>
        <v>19543.81883077537</v>
      </c>
      <c r="AP104" s="123"/>
      <c r="AQ104" s="502">
        <f t="shared" si="60"/>
        <v>1989.9926666666665</v>
      </c>
      <c r="AR104" s="503">
        <f t="shared" si="66"/>
        <v>142.97999999999999</v>
      </c>
      <c r="AS104" s="503">
        <f t="shared" si="61"/>
        <v>404.45933333333352</v>
      </c>
      <c r="AT104" s="503">
        <f t="shared" si="62"/>
        <v>26.890666666666668</v>
      </c>
      <c r="AU104" s="503">
        <f t="shared" si="59"/>
        <v>5.5333333333333332</v>
      </c>
      <c r="AV104" s="503">
        <f t="array" ref="AV104">_xlfn.IFS(U104=0,AO104,U104&lt;0,AO104/-U104,U104&gt;0,AO104/U104)</f>
        <v>1302.9212553850246</v>
      </c>
      <c r="AW104" s="243">
        <f t="shared" si="67"/>
        <v>0.65473671195355732</v>
      </c>
      <c r="AX104" s="243">
        <f t="shared" si="68"/>
        <v>9.1126119414255466</v>
      </c>
      <c r="AY104" s="504"/>
      <c r="AZ104" s="123">
        <f t="shared" si="63"/>
        <v>383058.84908319724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9">AVERAGE(AQ7:AQ98)</f>
        <v>638.40109374510826</v>
      </c>
      <c r="AR105" s="111">
        <f t="shared" si="69"/>
        <v>141.22217391304349</v>
      </c>
      <c r="AS105" s="111">
        <f t="shared" si="69"/>
        <v>241.54720605181373</v>
      </c>
      <c r="AT105" s="111">
        <f t="shared" si="69"/>
        <v>129.86794786521568</v>
      </c>
      <c r="AU105" s="111">
        <f t="shared" si="69"/>
        <v>107.15038509119222</v>
      </c>
      <c r="AV105" s="111">
        <f t="shared" si="69"/>
        <v>-33.511813633432965</v>
      </c>
      <c r="AW105" s="112">
        <f t="shared" si="69"/>
        <v>4.7512506799559283E-2</v>
      </c>
      <c r="AX105" s="112">
        <f t="shared" si="69"/>
        <v>-0.38321934015649678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70">SUM(E3:E104)</f>
        <v>61664</v>
      </c>
      <c r="F106" s="116">
        <f t="shared" si="70"/>
        <v>2097</v>
      </c>
      <c r="G106" s="116">
        <f t="shared" si="70"/>
        <v>665</v>
      </c>
      <c r="H106" s="116">
        <f t="shared" si="70"/>
        <v>10364</v>
      </c>
      <c r="I106" s="116">
        <f t="shared" si="70"/>
        <v>1461</v>
      </c>
      <c r="J106" s="116">
        <f t="shared" si="70"/>
        <v>47077</v>
      </c>
      <c r="K106" s="116"/>
      <c r="L106" s="116">
        <f>SUM(L3:L104)</f>
        <v>7645825.3100000033</v>
      </c>
      <c r="M106" s="116"/>
      <c r="N106" s="116">
        <f>SUM(N3:N104)</f>
        <v>3101</v>
      </c>
      <c r="O106" s="116"/>
      <c r="P106" s="116"/>
      <c r="Q106" s="212"/>
      <c r="R106" s="116"/>
      <c r="S106" s="116">
        <f t="shared" ref="S106:AE106" si="71">SUM(S3:S104)</f>
        <v>1730</v>
      </c>
      <c r="T106" s="116">
        <f t="shared" si="71"/>
        <v>-35</v>
      </c>
      <c r="U106" s="116">
        <f t="shared" si="71"/>
        <v>1695</v>
      </c>
      <c r="V106" s="116">
        <f t="shared" si="71"/>
        <v>1694803.0599999998</v>
      </c>
      <c r="W106" s="116">
        <f t="shared" si="71"/>
        <v>-35587.440000000002</v>
      </c>
      <c r="X106" s="116">
        <f t="shared" si="71"/>
        <v>1659215.6199999999</v>
      </c>
      <c r="Y106" s="116">
        <f t="shared" si="71"/>
        <v>2465283.2499999995</v>
      </c>
      <c r="Z106" s="116">
        <f t="shared" si="71"/>
        <v>-52946.239999999998</v>
      </c>
      <c r="AA106" s="116">
        <f t="shared" si="71"/>
        <v>2412337.0099999993</v>
      </c>
      <c r="AB106" s="116">
        <f t="shared" si="71"/>
        <v>2481597.0999999996</v>
      </c>
      <c r="AC106" s="239">
        <f t="shared" si="71"/>
        <v>1.0000000000000004</v>
      </c>
      <c r="AD106" s="117">
        <f t="shared" si="71"/>
        <v>210794.49999999997</v>
      </c>
      <c r="AE106" s="116">
        <f t="shared" si="71"/>
        <v>908073.200000001</v>
      </c>
      <c r="AF106" s="239">
        <f>AE106/AA106</f>
        <v>0.37642883072958422</v>
      </c>
      <c r="AG106" s="116">
        <f t="shared" ref="AG106:AO106" si="72">SUM(AG3:AG104)</f>
        <v>226778.54999999976</v>
      </c>
      <c r="AH106" s="117">
        <f t="shared" si="72"/>
        <v>6217</v>
      </c>
      <c r="AI106" s="117">
        <f t="shared" si="72"/>
        <v>172288</v>
      </c>
      <c r="AJ106" s="117">
        <f t="shared" si="72"/>
        <v>215420</v>
      </c>
      <c r="AK106" s="117">
        <f t="shared" si="72"/>
        <v>0</v>
      </c>
      <c r="AL106" s="117">
        <f t="shared" si="72"/>
        <v>10756.940000000004</v>
      </c>
      <c r="AM106" s="116">
        <f t="shared" si="72"/>
        <v>1310</v>
      </c>
      <c r="AN106" s="117">
        <f t="shared" si="72"/>
        <v>94741.211902000054</v>
      </c>
      <c r="AO106" s="117">
        <f t="shared" si="72"/>
        <v>565957.60809799959</v>
      </c>
      <c r="AP106" s="118"/>
      <c r="AQ106" s="116"/>
      <c r="AR106" s="116"/>
      <c r="AS106" s="116"/>
      <c r="AT106" s="116"/>
      <c r="AU106" s="240">
        <f>(AH106+AI106+AJ106)/S106</f>
        <v>227.70231213872833</v>
      </c>
      <c r="AV106" s="116"/>
      <c r="AW106" s="116"/>
      <c r="AX106" s="116"/>
      <c r="AY106" s="119"/>
      <c r="AZ106" s="116">
        <f>SUM(AZ3:AZ104)</f>
        <v>18946682.832591519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91"/>
      <c r="AI107" s="591"/>
      <c r="AJ107" s="448"/>
      <c r="AK107" s="448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48"/>
      <c r="AI113" s="448"/>
      <c r="AJ113" s="448"/>
      <c r="AK113" s="448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3">AVERAGE(AS108:AS112)</f>
        <v>#DIV/0!</v>
      </c>
      <c r="AT113" s="245" t="e">
        <f t="shared" si="73"/>
        <v>#DIV/0!</v>
      </c>
      <c r="AU113" s="245" t="e">
        <f t="shared" si="73"/>
        <v>#DIV/0!</v>
      </c>
      <c r="AV113" s="245" t="e">
        <f t="shared" si="73"/>
        <v>#DIV/0!</v>
      </c>
      <c r="AW113" s="246" t="e">
        <f t="shared" si="73"/>
        <v>#DIV/0!</v>
      </c>
      <c r="AX113" s="246" t="e">
        <f t="shared" si="73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4">SUM(E108:E112)</f>
        <v>0</v>
      </c>
      <c r="F114" s="249">
        <f t="shared" si="74"/>
        <v>0</v>
      </c>
      <c r="G114" s="249">
        <f t="shared" si="74"/>
        <v>0</v>
      </c>
      <c r="H114" s="249">
        <f t="shared" si="74"/>
        <v>0</v>
      </c>
      <c r="I114" s="249">
        <f t="shared" si="74"/>
        <v>0</v>
      </c>
      <c r="J114" s="249">
        <f t="shared" si="74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5">SUM(S108:S112)</f>
        <v>0</v>
      </c>
      <c r="T114" s="249">
        <f t="shared" si="75"/>
        <v>0</v>
      </c>
      <c r="U114" s="249">
        <f t="shared" si="75"/>
        <v>0</v>
      </c>
      <c r="V114" s="249">
        <f t="shared" si="75"/>
        <v>0</v>
      </c>
      <c r="W114" s="249">
        <f t="shared" si="75"/>
        <v>0</v>
      </c>
      <c r="X114" s="249">
        <f t="shared" si="75"/>
        <v>0</v>
      </c>
      <c r="Y114" s="249">
        <f t="shared" si="75"/>
        <v>0</v>
      </c>
      <c r="Z114" s="249">
        <f t="shared" si="75"/>
        <v>0</v>
      </c>
      <c r="AA114" s="249">
        <f t="shared" si="75"/>
        <v>0</v>
      </c>
      <c r="AB114" s="249">
        <f t="shared" si="75"/>
        <v>0</v>
      </c>
      <c r="AC114" s="252">
        <f t="shared" si="75"/>
        <v>0</v>
      </c>
      <c r="AD114" s="253">
        <f t="shared" si="75"/>
        <v>0</v>
      </c>
      <c r="AE114" s="249">
        <f t="shared" si="75"/>
        <v>0</v>
      </c>
      <c r="AF114" s="252" t="e">
        <f>AE114/AA114</f>
        <v>#DIV/0!</v>
      </c>
      <c r="AG114" s="249">
        <f t="shared" ref="AG114:AO114" si="76">SUM(AG108:AG112)</f>
        <v>0</v>
      </c>
      <c r="AH114" s="253">
        <f t="shared" si="76"/>
        <v>0</v>
      </c>
      <c r="AI114" s="253">
        <f t="shared" si="76"/>
        <v>0</v>
      </c>
      <c r="AJ114" s="253">
        <f t="shared" si="76"/>
        <v>0</v>
      </c>
      <c r="AK114" s="253">
        <f t="shared" si="76"/>
        <v>0</v>
      </c>
      <c r="AL114" s="253">
        <f t="shared" si="76"/>
        <v>0</v>
      </c>
      <c r="AM114" s="249">
        <f t="shared" si="76"/>
        <v>0</v>
      </c>
      <c r="AN114" s="253">
        <f t="shared" si="76"/>
        <v>0</v>
      </c>
      <c r="AO114" s="253">
        <f t="shared" si="76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92"/>
      <c r="AI115" s="593"/>
      <c r="AJ115" s="449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7">AVERAGE(AQ116:AQ123)</f>
        <v>#DIV/0!</v>
      </c>
      <c r="AR124" s="130" t="e">
        <f t="shared" si="77"/>
        <v>#DIV/0!</v>
      </c>
      <c r="AS124" s="130" t="e">
        <f t="shared" si="77"/>
        <v>#DIV/0!</v>
      </c>
      <c r="AT124" s="130" t="e">
        <f t="shared" si="77"/>
        <v>#DIV/0!</v>
      </c>
      <c r="AU124" s="130" t="e">
        <f t="shared" si="77"/>
        <v>#DIV/0!</v>
      </c>
      <c r="AV124" s="130" t="e">
        <f t="shared" si="77"/>
        <v>#DIV/0!</v>
      </c>
      <c r="AW124" s="131" t="e">
        <f t="shared" si="77"/>
        <v>#DIV/0!</v>
      </c>
      <c r="AX124" s="131" t="e">
        <f t="shared" si="77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8">SUM(E116:E123)</f>
        <v>0</v>
      </c>
      <c r="F125" s="134">
        <f t="shared" si="78"/>
        <v>0</v>
      </c>
      <c r="G125" s="134">
        <f t="shared" si="78"/>
        <v>0</v>
      </c>
      <c r="H125" s="134">
        <f t="shared" si="78"/>
        <v>0</v>
      </c>
      <c r="I125" s="134">
        <f t="shared" si="78"/>
        <v>0</v>
      </c>
      <c r="J125" s="134">
        <f t="shared" si="78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9">SUM(S116:S123)</f>
        <v>0</v>
      </c>
      <c r="T125" s="134">
        <f t="shared" si="79"/>
        <v>0</v>
      </c>
      <c r="U125" s="134">
        <f t="shared" si="79"/>
        <v>0</v>
      </c>
      <c r="V125" s="134">
        <f t="shared" si="79"/>
        <v>0</v>
      </c>
      <c r="W125" s="134">
        <f t="shared" si="79"/>
        <v>0</v>
      </c>
      <c r="X125" s="134">
        <f t="shared" si="79"/>
        <v>0</v>
      </c>
      <c r="Y125" s="134">
        <f t="shared" si="79"/>
        <v>0</v>
      </c>
      <c r="Z125" s="134">
        <f t="shared" si="79"/>
        <v>0</v>
      </c>
      <c r="AA125" s="134">
        <f t="shared" si="79"/>
        <v>0</v>
      </c>
      <c r="AB125" s="134">
        <f t="shared" si="79"/>
        <v>0</v>
      </c>
      <c r="AC125" s="265">
        <f t="shared" si="79"/>
        <v>0</v>
      </c>
      <c r="AD125" s="135">
        <f t="shared" si="79"/>
        <v>0</v>
      </c>
      <c r="AE125" s="134">
        <f t="shared" si="79"/>
        <v>0</v>
      </c>
      <c r="AF125" s="265" t="e">
        <f>AE125/AA125</f>
        <v>#DIV/0!</v>
      </c>
      <c r="AG125" s="134">
        <f t="shared" ref="AG125:AO125" si="80">SUM(AG116:AG123)</f>
        <v>0</v>
      </c>
      <c r="AH125" s="134">
        <f t="shared" si="80"/>
        <v>0</v>
      </c>
      <c r="AI125" s="134">
        <f t="shared" si="80"/>
        <v>0</v>
      </c>
      <c r="AJ125" s="134">
        <f t="shared" si="80"/>
        <v>0</v>
      </c>
      <c r="AK125" s="134">
        <f t="shared" si="80"/>
        <v>0</v>
      </c>
      <c r="AL125" s="136">
        <f t="shared" si="80"/>
        <v>0</v>
      </c>
      <c r="AM125" s="134">
        <f t="shared" si="80"/>
        <v>0</v>
      </c>
      <c r="AN125" s="134">
        <f t="shared" si="80"/>
        <v>0</v>
      </c>
      <c r="AO125" s="134">
        <f t="shared" si="80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55066</v>
      </c>
      <c r="F126" s="431">
        <f>SUM(F3:F18)+F28+F45+F47+F48+F49+F50</f>
        <v>1927</v>
      </c>
      <c r="G126" s="431">
        <f>SUM(G3:G18)+G28+G45+G47+G48+G49+G50</f>
        <v>602</v>
      </c>
      <c r="H126" s="431">
        <f t="shared" ref="H126:AO126" si="81">SUM(H3:H18)+H28+H45+H47+H48+H49+H50</f>
        <v>8270</v>
      </c>
      <c r="I126" s="431">
        <f t="shared" si="81"/>
        <v>13</v>
      </c>
      <c r="J126" s="431">
        <f t="shared" si="81"/>
        <v>44254</v>
      </c>
      <c r="K126" s="431"/>
      <c r="L126" s="431">
        <f t="shared" si="81"/>
        <v>6790395.21</v>
      </c>
      <c r="M126" s="431">
        <f t="shared" si="81"/>
        <v>1432</v>
      </c>
      <c r="N126" s="431">
        <f t="shared" si="81"/>
        <v>2848</v>
      </c>
      <c r="O126" s="431"/>
      <c r="P126" s="431"/>
      <c r="Q126" s="483">
        <f t="shared" si="81"/>
        <v>406.85714285714289</v>
      </c>
      <c r="R126" s="483">
        <f t="shared" si="81"/>
        <v>230.42857142857142</v>
      </c>
      <c r="S126" s="431">
        <f t="shared" si="81"/>
        <v>1645</v>
      </c>
      <c r="T126" s="431">
        <f>SUM(T3:T18)+T28+T45+T47+T48+T49+T50</f>
        <v>-32</v>
      </c>
      <c r="U126" s="431">
        <f t="shared" si="81"/>
        <v>1613</v>
      </c>
      <c r="V126" s="431">
        <f t="shared" si="81"/>
        <v>1612009.31</v>
      </c>
      <c r="W126" s="431">
        <f t="shared" si="81"/>
        <v>-33188</v>
      </c>
      <c r="X126" s="431">
        <f t="shared" si="81"/>
        <v>1578821.31</v>
      </c>
      <c r="Y126" s="431">
        <f t="shared" si="81"/>
        <v>2353906.9299999992</v>
      </c>
      <c r="Z126" s="431">
        <f t="shared" si="81"/>
        <v>-49562.13</v>
      </c>
      <c r="AA126" s="431">
        <f t="shared" si="81"/>
        <v>2304344.7999999993</v>
      </c>
      <c r="AB126" s="431">
        <f t="shared" si="81"/>
        <v>2341488.7599999993</v>
      </c>
      <c r="AC126" s="434">
        <f t="shared" si="81"/>
        <v>0.95523336517562318</v>
      </c>
      <c r="AD126" s="435">
        <f t="shared" si="81"/>
        <v>199750.43999999997</v>
      </c>
      <c r="AE126" s="431">
        <f t="shared" si="81"/>
        <v>872396.0900000009</v>
      </c>
      <c r="AF126" s="434">
        <f t="shared" ref="AF126" si="82">AE126/AA126</f>
        <v>0.3785874796167662</v>
      </c>
      <c r="AG126" s="431">
        <f t="shared" si="81"/>
        <v>210197.65999999974</v>
      </c>
      <c r="AH126" s="435">
        <f t="shared" si="81"/>
        <v>5159</v>
      </c>
      <c r="AI126" s="435">
        <f t="shared" si="81"/>
        <v>163766</v>
      </c>
      <c r="AJ126" s="435">
        <f t="shared" si="81"/>
        <v>212040</v>
      </c>
      <c r="AK126" s="435">
        <f t="shared" si="81"/>
        <v>0</v>
      </c>
      <c r="AL126" s="435">
        <f t="shared" si="81"/>
        <v>8583.5482246236988</v>
      </c>
      <c r="AM126" s="431">
        <f t="shared" si="81"/>
        <v>1310</v>
      </c>
      <c r="AN126" s="435">
        <f t="shared" si="81"/>
        <v>90150.696801000013</v>
      </c>
      <c r="AO126" s="435">
        <f t="shared" si="81"/>
        <v>540991.36497437581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3">E106+E114+E125</f>
        <v>61664</v>
      </c>
      <c r="F127" s="267">
        <f>F106+F114+F125</f>
        <v>2097</v>
      </c>
      <c r="G127" s="267">
        <f t="shared" si="83"/>
        <v>665</v>
      </c>
      <c r="H127" s="267">
        <f t="shared" si="83"/>
        <v>10364</v>
      </c>
      <c r="I127" s="267">
        <f t="shared" si="83"/>
        <v>1461</v>
      </c>
      <c r="J127" s="267">
        <f t="shared" si="83"/>
        <v>47077</v>
      </c>
      <c r="K127" s="267">
        <f t="shared" si="83"/>
        <v>0</v>
      </c>
      <c r="L127" s="267">
        <f t="shared" si="83"/>
        <v>7645825.3100000033</v>
      </c>
      <c r="M127" s="267">
        <f t="shared" si="83"/>
        <v>0</v>
      </c>
      <c r="N127" s="267">
        <f t="shared" si="83"/>
        <v>3101</v>
      </c>
      <c r="O127" s="267">
        <f t="shared" si="83"/>
        <v>0</v>
      </c>
      <c r="P127" s="267">
        <f t="shared" si="83"/>
        <v>0</v>
      </c>
      <c r="Q127" s="215">
        <f t="shared" si="83"/>
        <v>0</v>
      </c>
      <c r="R127" s="267">
        <f t="shared" si="83"/>
        <v>0</v>
      </c>
      <c r="S127" s="267">
        <f t="shared" si="83"/>
        <v>1730</v>
      </c>
      <c r="T127" s="267">
        <f t="shared" si="83"/>
        <v>-35</v>
      </c>
      <c r="U127" s="267">
        <f t="shared" si="83"/>
        <v>1695</v>
      </c>
      <c r="V127" s="267">
        <f t="shared" si="83"/>
        <v>1694803.0599999998</v>
      </c>
      <c r="W127" s="267">
        <f t="shared" si="83"/>
        <v>-35587.440000000002</v>
      </c>
      <c r="X127" s="267">
        <f t="shared" si="83"/>
        <v>1659215.6199999999</v>
      </c>
      <c r="Y127" s="267">
        <f t="shared" si="83"/>
        <v>2465283.2499999995</v>
      </c>
      <c r="Z127" s="267">
        <f t="shared" si="83"/>
        <v>-52946.239999999998</v>
      </c>
      <c r="AA127" s="267">
        <f t="shared" si="83"/>
        <v>2412337.0099999993</v>
      </c>
      <c r="AB127" s="267">
        <f t="shared" si="83"/>
        <v>2481597.0999999996</v>
      </c>
      <c r="AC127" s="267">
        <f t="shared" si="83"/>
        <v>1.0000000000000004</v>
      </c>
      <c r="AD127" s="267">
        <f t="shared" si="83"/>
        <v>210794.49999999997</v>
      </c>
      <c r="AE127" s="267">
        <f t="shared" si="83"/>
        <v>908073.200000001</v>
      </c>
      <c r="AF127" s="268">
        <f>AE127/AA127</f>
        <v>0.37642883072958422</v>
      </c>
      <c r="AG127" s="267">
        <f>AG106+AG114+AG125+AG126</f>
        <v>436976.2099999995</v>
      </c>
      <c r="AH127" s="267">
        <f>AH106+AH114+AH125</f>
        <v>6217</v>
      </c>
      <c r="AI127" s="267">
        <f>AI106+AI114+AI125</f>
        <v>172288</v>
      </c>
      <c r="AJ127" s="267">
        <f>AJ106+AJ114+AJ125</f>
        <v>215420</v>
      </c>
      <c r="AK127" s="267">
        <f>AK106+AK114+AK125</f>
        <v>0</v>
      </c>
      <c r="AL127" s="156">
        <v>10756.94</v>
      </c>
      <c r="AM127" s="267">
        <f>AM106+AM114+AM125</f>
        <v>1310</v>
      </c>
      <c r="AN127" s="267">
        <f>AN106+AN114+AN125</f>
        <v>94741.211902000054</v>
      </c>
      <c r="AO127" s="267">
        <f>AO106+AO114+AO125</f>
        <v>565957.60809799959</v>
      </c>
      <c r="AP127" s="155"/>
      <c r="AQ127" s="155"/>
      <c r="AR127" s="155"/>
      <c r="AS127" s="155"/>
      <c r="AT127" s="155"/>
      <c r="AU127" s="155">
        <f>(AH127+AI127)/S127</f>
        <v>103.1820809248555</v>
      </c>
      <c r="AV127" s="155"/>
      <c r="AW127" s="155"/>
      <c r="AX127" s="155"/>
      <c r="AY127" s="157"/>
      <c r="AZ127" s="155">
        <f>AZ106+AZ125</f>
        <v>18946682.832591519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50"/>
      <c r="AK128" s="450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6" priority="15" operator="greaterThan">
      <formula>0.23</formula>
    </cfRule>
  </conditionalFormatting>
  <conditionalFormatting sqref="M124:O124 M107:M113 M3:M105">
    <cfRule type="cellIs" dxfId="105" priority="26" operator="greaterThan">
      <formula>120</formula>
    </cfRule>
  </conditionalFormatting>
  <conditionalFormatting sqref="AC128">
    <cfRule type="cellIs" dxfId="104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{CD9095A0-E0D3-4230-B415-FECA2E8F8E21}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{7BBD27E0-9A21-4241-8E68-C8A635713EA9}</x14:id>
        </ext>
      </extLst>
    </cfRule>
  </conditionalFormatting>
  <conditionalFormatting sqref="AC1">
    <cfRule type="cellIs" dxfId="103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{AE9A138E-E8B8-4EB9-9C5B-F32DE57539D8}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{8E749962-41A2-411E-A996-09F566BE0301}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{301628DB-00B1-43D8-9C82-7556B95ECEC9}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{570D72E3-9D7C-4B62-9BAF-5437B0871838}</x14:id>
        </ext>
      </extLst>
    </cfRule>
  </conditionalFormatting>
  <conditionalFormatting sqref="Q124">
    <cfRule type="cellIs" dxfId="10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{FE543429-ACCA-4F68-A4C3-B44A0748AAE1}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{A1451D0B-6D50-4AA6-A3CF-7BFE6C6FCD13}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{0005F3DE-5FCE-4C13-95B5-3F0BB4BC2CAF}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{45EDE2E5-CCDE-4B76-A941-F08B30D24B32}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{095F434B-CCAF-4BE2-BC89-94E4A9F73A64}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{887B0A81-B7EA-4BDE-B797-47AD842C11E4}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{D1B672A1-08D9-4199-A280-362D6A75660E}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{3E1DE570-F503-4097-B213-EF0AC6E0771F}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{65CB1289-2DE9-4276-AC0E-B62F4B0EC1FB}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{586D965F-E254-41B0-A6FE-8CFE4C19B97C}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{9537ADBC-149B-455F-9EC0-C567C3F7BC4C}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{34599C41-D2DE-4B39-B14E-CBF42EDAB309}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{35D4E0B0-B054-403A-946B-718D66460E18}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{C49BDCD3-F415-45DA-A5F2-82869FEE2BB8}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{B1E82C35-BAE4-4186-9B6C-C233EEC89F41}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{91700894-2A01-47B2-9036-45C550BCCAC3}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{472BA1CD-D77C-46D3-BE4F-35949970C1CF}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{A4DDA2BA-3B1A-4BB8-9109-32B820D668AF}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{3C76C757-FBB4-4E75-B194-482CC25B9766}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{359997CE-6B92-4423-A050-B76461D2BFAB}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{CE640600-51F2-4DBF-81B0-D6D060FD8CBF}</x14:id>
        </ext>
      </extLst>
    </cfRule>
  </conditionalFormatting>
  <conditionalFormatting sqref="M116:M123">
    <cfRule type="cellIs" dxfId="101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{0A167829-960E-4673-A6BF-31599F63228D}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{5B6DEBCF-D73C-4D01-8B81-DB53F1A49ACC}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{4FDE7051-7A27-4B08-92BE-DEA3CF842D91}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{8794BABE-4924-4507-AE44-11B045AA0EC8}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{405A308E-62E1-41A4-BAE2-9A2AF29CC06B}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{8B24B4FC-0F15-4B87-A401-506B3E5F63C3}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95A0-E0D3-4230-B415-FECA2E8F8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7BBD27E0-9A21-4241-8E68-C8A635713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AE9A138E-E8B8-4EB9-9C5B-F32DE57539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E749962-41A2-411E-A996-09F566BE0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01628DB-00B1-43D8-9C82-7556B95EC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570D72E3-9D7C-4B62-9BAF-5437B0871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FE543429-ACCA-4F68-A4C3-B44A0748AA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1451D0B-6D50-4AA6-A3CF-7BFE6C6FC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005F3DE-5FCE-4C13-95B5-3F0BB4BC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45EDE2E5-CCDE-4B76-A941-F08B30D24B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095F434B-CCAF-4BE2-BC89-94E4A9F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87B0A81-B7EA-4BDE-B797-47AD842C1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1B672A1-08D9-4199-A280-362D6A756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3E1DE570-F503-4097-B213-EF0AC6E07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5CB1289-2DE9-4276-AC0E-B62F4B0EC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586D965F-E254-41B0-A6FE-8CFE4C19B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9537ADBC-149B-455F-9EC0-C567C3F7B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34599C41-D2DE-4B39-B14E-CBF42EDA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5D4E0B0-B054-403A-946B-718D6646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49BDCD3-F415-45DA-A5F2-82869FEE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1E82C35-BAE4-4186-9B6C-C233EEC8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91700894-2A01-47B2-9036-45C550BCC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472BA1CD-D77C-46D3-BE4F-35949970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4DDA2BA-3B1A-4BB8-9109-32B820D6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C76C757-FBB4-4E75-B194-482CC25B97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359997CE-6B92-4423-A050-B76461D2B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CE640600-51F2-4DBF-81B0-D6D060FD8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0A167829-960E-4673-A6BF-31599F632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B6DEBCF-D73C-4D01-8B81-DB53F1A49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4FDE7051-7A27-4B08-92BE-DEA3CF842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794BABE-4924-4507-AE44-11B045AA0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405A308E-62E1-41A4-BAE2-9A2AF29CC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8B24B4FC-0F15-4B87-A401-506B3E5F6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sheetPr codeName="Лист26"/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K126" sqref="K12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15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414"/>
      <c r="AL1" s="41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2712</v>
      </c>
      <c r="F3" s="93">
        <v>124</v>
      </c>
      <c r="G3" s="93">
        <v>30</v>
      </c>
      <c r="H3" s="93">
        <v>868</v>
      </c>
      <c r="I3" s="93">
        <v>1</v>
      </c>
      <c r="J3" s="93">
        <v>1689</v>
      </c>
      <c r="K3" s="92">
        <v>142.97999999999999</v>
      </c>
      <c r="L3" s="92">
        <f t="shared" ref="L3" si="0">E3*K3</f>
        <v>387761.75999999995</v>
      </c>
      <c r="M3" s="89">
        <v>33</v>
      </c>
      <c r="N3" s="89">
        <v>176</v>
      </c>
      <c r="O3" s="89">
        <v>1503</v>
      </c>
      <c r="P3" s="89">
        <v>58</v>
      </c>
      <c r="Q3" s="233">
        <f>N3/7</f>
        <v>25.142857142857142</v>
      </c>
      <c r="R3" s="92">
        <f>U3/7</f>
        <v>16</v>
      </c>
      <c r="S3" s="93">
        <v>113</v>
      </c>
      <c r="T3" s="93">
        <v>-1</v>
      </c>
      <c r="U3" s="92">
        <f t="shared" ref="U3" si="1">S3+T3</f>
        <v>112</v>
      </c>
      <c r="V3" s="93">
        <v>115301.63999999998</v>
      </c>
      <c r="W3" s="93">
        <v>-976</v>
      </c>
      <c r="X3" s="92">
        <f t="shared" ref="X3" si="2">V3+W3</f>
        <v>114325.63999999998</v>
      </c>
      <c r="Y3" s="93">
        <v>173466.11</v>
      </c>
      <c r="Z3" s="93">
        <v>-1515</v>
      </c>
      <c r="AA3" s="92">
        <f>Y3+Z3</f>
        <v>171951.11</v>
      </c>
      <c r="AB3" s="92">
        <f>N3*O3*P3/100</f>
        <v>153426.23999999999</v>
      </c>
      <c r="AC3" s="234">
        <f>AA3/$AA$127</f>
        <v>5.9890781722978376E-2</v>
      </c>
      <c r="AD3" s="92">
        <f t="shared" ref="AD3" si="3">U3*K3</f>
        <v>16013.759999999998</v>
      </c>
      <c r="AE3" s="93">
        <v>64994.499999999949</v>
      </c>
      <c r="AF3" s="234">
        <f t="shared" ref="AF3" si="4">IF(AA3=0,0,AE3/AA3)</f>
        <v>0.3779824393108015</v>
      </c>
      <c r="AG3" s="93">
        <v>13279.180000000029</v>
      </c>
      <c r="AH3" s="93">
        <v>1000</v>
      </c>
      <c r="AI3" s="93">
        <v>17588</v>
      </c>
      <c r="AJ3" s="93"/>
      <c r="AK3" s="93"/>
      <c r="AL3" s="122">
        <f>IFERROR($AL$127*H3/$H$127,0)</f>
        <v>809.92774923960792</v>
      </c>
      <c r="AM3" s="93">
        <v>0</v>
      </c>
      <c r="AN3" s="94">
        <f>X3*5.71%</f>
        <v>6527.9940439999991</v>
      </c>
      <c r="AO3" s="95">
        <f>AA3-AD3-AE3-AG3-AH3-AI3-AK3-AL3-AN3-AM3</f>
        <v>51737.748206760407</v>
      </c>
      <c r="AP3" s="96"/>
      <c r="AQ3" s="97">
        <f t="shared" ref="AQ3:AQ97" si="5">IF(U3=0,0,AA3/U3)</f>
        <v>1535.2777678571426</v>
      </c>
      <c r="AR3" s="98">
        <f t="shared" ref="AR3:AR19" si="6">K3</f>
        <v>142.97999999999999</v>
      </c>
      <c r="AS3" s="98">
        <f t="shared" ref="AS3:AS97" si="7">IF(U3=0,0,AE3/U3)</f>
        <v>580.30803571428521</v>
      </c>
      <c r="AT3" s="98">
        <f t="shared" ref="AT3:AT97" si="8">IF(S3=0,AG3/1,AG3/S3)</f>
        <v>117.51486725663743</v>
      </c>
      <c r="AU3" s="98">
        <f>IF(S3=0,0,(AH3+AI3+AJ3)/S3)</f>
        <v>164.49557522123894</v>
      </c>
      <c r="AV3" s="98">
        <f>_xlfn.IFS(U3=0,AO3,U3&lt;0,AO3/-U3,U3&gt;0,AO3/U3)</f>
        <v>461.94418041750362</v>
      </c>
      <c r="AW3" s="234">
        <f t="shared" ref="AW3" si="9">IF(AQ3=0,0,AV3/AQ3)</f>
        <v>0.30088638687334102</v>
      </c>
      <c r="AX3" s="234">
        <f t="shared" ref="AX3" si="10">IF(AR3=0,0,AV3/AR3)</f>
        <v>3.2308307484788337</v>
      </c>
      <c r="AY3" s="99"/>
      <c r="AZ3" s="94">
        <f t="shared" ref="AZ3:AZ97" si="11">AV3*E3</f>
        <v>1252792.6172922698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1230</v>
      </c>
      <c r="F4" s="93">
        <v>355</v>
      </c>
      <c r="G4" s="93">
        <v>107</v>
      </c>
      <c r="H4" s="93">
        <v>702</v>
      </c>
      <c r="I4" s="93">
        <v>0</v>
      </c>
      <c r="J4" s="93">
        <v>66</v>
      </c>
      <c r="K4" s="92">
        <v>123.09</v>
      </c>
      <c r="L4" s="92">
        <f>E4*K4</f>
        <v>151400.70000000001</v>
      </c>
      <c r="M4" s="89">
        <v>16</v>
      </c>
      <c r="N4" s="89">
        <v>548</v>
      </c>
      <c r="O4" s="89">
        <v>1516</v>
      </c>
      <c r="P4" s="89">
        <v>60</v>
      </c>
      <c r="Q4" s="233">
        <f t="shared" ref="Q4:Q67" si="12">N4/7</f>
        <v>78.285714285714292</v>
      </c>
      <c r="R4" s="92">
        <f t="shared" ref="R4:R67" si="13">U4/7</f>
        <v>43.571428571428569</v>
      </c>
      <c r="S4" s="93">
        <v>312</v>
      </c>
      <c r="T4" s="93">
        <v>-7</v>
      </c>
      <c r="U4" s="92">
        <f t="shared" ref="U4:U67" si="14">S4+T4</f>
        <v>305</v>
      </c>
      <c r="V4" s="93">
        <v>326207.28000000009</v>
      </c>
      <c r="W4" s="93">
        <v>-7656.59</v>
      </c>
      <c r="X4" s="92">
        <f t="shared" ref="X4:X67" si="15">V4+W4</f>
        <v>318550.69000000006</v>
      </c>
      <c r="Y4" s="93">
        <v>487438.24999999994</v>
      </c>
      <c r="Z4" s="93">
        <v>-11172.05</v>
      </c>
      <c r="AA4" s="92">
        <f t="shared" ref="AA4:AA67" si="16">Y4+Z4</f>
        <v>476266.19999999995</v>
      </c>
      <c r="AB4" s="92">
        <f t="shared" ref="AB4:AB67" si="17">N4*O4*P4/100</f>
        <v>498460.8</v>
      </c>
      <c r="AC4" s="234">
        <f t="shared" ref="AC4:AC67" si="18">AA4/$AA$127</f>
        <v>0.1658840994177494</v>
      </c>
      <c r="AD4" s="92">
        <f t="shared" ref="AD4:AD67" si="19">U4*K4</f>
        <v>37542.450000000004</v>
      </c>
      <c r="AE4" s="93">
        <v>179899.72999999975</v>
      </c>
      <c r="AF4" s="234">
        <f t="shared" ref="AF4:AF67" si="20">IF(AA4=0,0,AE4/AA4)</f>
        <v>0.37772936647614247</v>
      </c>
      <c r="AG4" s="93">
        <v>37626.14000000005</v>
      </c>
      <c r="AH4" s="93">
        <v>6000</v>
      </c>
      <c r="AI4" s="93">
        <v>38000</v>
      </c>
      <c r="AJ4" s="93"/>
      <c r="AK4" s="93"/>
      <c r="AL4" s="122">
        <f t="shared" ref="AL4:AL67" si="21">IFERROR($AL$127*H4/$H$127,0)</f>
        <v>655.03373267995937</v>
      </c>
      <c r="AM4" s="93">
        <v>0</v>
      </c>
      <c r="AN4" s="94">
        <f t="shared" ref="AN4:AN67" si="22">X4*5.71%</f>
        <v>18189.244399000003</v>
      </c>
      <c r="AO4" s="95">
        <f>AA4-AD4-AE4-AG4-AH4-AI4-AK4-AL4-AN4-AM4</f>
        <v>158353.6018683202</v>
      </c>
      <c r="AP4" s="96"/>
      <c r="AQ4" s="97">
        <f t="shared" si="5"/>
        <v>1561.5285245901637</v>
      </c>
      <c r="AR4" s="98">
        <f t="shared" si="6"/>
        <v>123.09</v>
      </c>
      <c r="AS4" s="98">
        <f t="shared" si="7"/>
        <v>589.83518032786799</v>
      </c>
      <c r="AT4" s="98">
        <f t="shared" si="8"/>
        <v>120.59660256410272</v>
      </c>
      <c r="AU4" s="98">
        <f t="shared" ref="AU4:AU70" si="23">IF(S4=0,0,(AH4+AI4+AJ4)/S4)</f>
        <v>141.02564102564102</v>
      </c>
      <c r="AV4" s="98">
        <f t="array" ref="AV4">_xlfn.IFS(U4=0,AO4,U4&lt;0,AO4/-U4,U4&gt;0,AO4/U4)</f>
        <v>519.19213727318095</v>
      </c>
      <c r="AW4" s="234">
        <f>IF(AQ4=0,0,AV4/AQ4)</f>
        <v>0.33248969141274398</v>
      </c>
      <c r="AX4" s="234">
        <f>IF(AR4=0,0,AV4/AR4)</f>
        <v>4.2179879541244691</v>
      </c>
      <c r="AY4" s="99"/>
      <c r="AZ4" s="94">
        <f t="shared" si="11"/>
        <v>638606.32884601259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3588</v>
      </c>
      <c r="F5" s="93">
        <v>106</v>
      </c>
      <c r="G5" s="93">
        <v>30</v>
      </c>
      <c r="H5" s="93">
        <v>614</v>
      </c>
      <c r="I5" s="93">
        <v>0</v>
      </c>
      <c r="J5" s="93">
        <v>2838</v>
      </c>
      <c r="K5" s="92">
        <v>123.09</v>
      </c>
      <c r="L5" s="92">
        <f>E5*K5</f>
        <v>441646.92</v>
      </c>
      <c r="M5" s="89">
        <v>30</v>
      </c>
      <c r="N5" s="89">
        <v>163</v>
      </c>
      <c r="O5" s="89">
        <v>1500</v>
      </c>
      <c r="P5" s="89">
        <v>73</v>
      </c>
      <c r="Q5" s="233">
        <f t="shared" si="12"/>
        <v>23.285714285714285</v>
      </c>
      <c r="R5" s="92">
        <f t="shared" si="13"/>
        <v>15.571428571428571</v>
      </c>
      <c r="S5" s="93">
        <v>109</v>
      </c>
      <c r="T5" s="93">
        <v>0</v>
      </c>
      <c r="U5" s="92">
        <f t="shared" si="14"/>
        <v>109</v>
      </c>
      <c r="V5" s="93">
        <v>108179.36</v>
      </c>
      <c r="W5" s="93">
        <v>0</v>
      </c>
      <c r="X5" s="92">
        <f t="shared" si="15"/>
        <v>108179.36</v>
      </c>
      <c r="Y5" s="93">
        <v>161118.84000000003</v>
      </c>
      <c r="Z5" s="93">
        <v>0</v>
      </c>
      <c r="AA5" s="92">
        <f t="shared" si="16"/>
        <v>161118.84000000003</v>
      </c>
      <c r="AB5" s="92">
        <f t="shared" si="17"/>
        <v>178485</v>
      </c>
      <c r="AC5" s="234">
        <f t="shared" si="18"/>
        <v>5.6117888845843913E-2</v>
      </c>
      <c r="AD5" s="92">
        <f t="shared" si="19"/>
        <v>13416.81</v>
      </c>
      <c r="AE5" s="93">
        <v>60551.510000000068</v>
      </c>
      <c r="AF5" s="234">
        <f t="shared" si="20"/>
        <v>0.37581892967948416</v>
      </c>
      <c r="AG5" s="93">
        <v>10832.209999999994</v>
      </c>
      <c r="AH5" s="93">
        <v>1000</v>
      </c>
      <c r="AI5" s="93">
        <v>10065</v>
      </c>
      <c r="AJ5" s="93"/>
      <c r="AK5" s="93"/>
      <c r="AL5" s="122">
        <f t="shared" si="21"/>
        <v>572.92124197363967</v>
      </c>
      <c r="AM5" s="93">
        <v>0</v>
      </c>
      <c r="AN5" s="94">
        <f t="shared" si="22"/>
        <v>6177.0414559999999</v>
      </c>
      <c r="AO5" s="95">
        <f t="shared" ref="AO5:AO68" si="24">AA5-AD5-AE5-AG5-AH5-AI5-AK5-AL5-AN5-AM5</f>
        <v>58503.347302026326</v>
      </c>
      <c r="AP5" s="96"/>
      <c r="AQ5" s="97">
        <f t="shared" si="5"/>
        <v>1478.1544954128442</v>
      </c>
      <c r="AR5" s="98">
        <f t="shared" si="6"/>
        <v>123.09</v>
      </c>
      <c r="AS5" s="98">
        <f t="shared" si="7"/>
        <v>555.5184403669731</v>
      </c>
      <c r="AT5" s="98">
        <f t="shared" si="8"/>
        <v>99.37807339449536</v>
      </c>
      <c r="AU5" s="98">
        <f t="shared" si="23"/>
        <v>101.51376146788991</v>
      </c>
      <c r="AV5" s="98">
        <f t="array" ref="AV5">_xlfn.IFS(U5=0,AO5,U5&lt;0,AO5/-U5,U5&gt;0,AO5/U5)</f>
        <v>536.72795689932411</v>
      </c>
      <c r="AW5" s="234">
        <f>IF(AQ5=0,0,AV5/AQ5)</f>
        <v>0.36310680552334118</v>
      </c>
      <c r="AX5" s="234">
        <f>IF(AR5=0,0,AV5/AR5)</f>
        <v>4.3604513518508741</v>
      </c>
      <c r="AY5" s="99"/>
      <c r="AZ5" s="94">
        <f t="shared" si="11"/>
        <v>1925779.909354775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8934</v>
      </c>
      <c r="F6" s="93">
        <v>58</v>
      </c>
      <c r="G6" s="93">
        <v>17</v>
      </c>
      <c r="H6" s="93">
        <v>510</v>
      </c>
      <c r="I6" s="93">
        <v>0</v>
      </c>
      <c r="J6" s="93">
        <v>8349</v>
      </c>
      <c r="K6" s="92">
        <v>123.09</v>
      </c>
      <c r="L6" s="92">
        <f t="shared" ref="L6" si="26">E6*K6</f>
        <v>1099686.06</v>
      </c>
      <c r="M6" s="89">
        <v>55</v>
      </c>
      <c r="N6" s="89">
        <v>92</v>
      </c>
      <c r="O6" s="89">
        <v>1351</v>
      </c>
      <c r="P6" s="89">
        <v>72</v>
      </c>
      <c r="Q6" s="233">
        <f t="shared" si="12"/>
        <v>13.142857142857142</v>
      </c>
      <c r="R6" s="92">
        <f t="shared" si="13"/>
        <v>9</v>
      </c>
      <c r="S6" s="93">
        <v>64</v>
      </c>
      <c r="T6" s="93">
        <v>-1</v>
      </c>
      <c r="U6" s="92">
        <f t="shared" si="14"/>
        <v>63</v>
      </c>
      <c r="V6" s="93">
        <v>58819.66</v>
      </c>
      <c r="W6" s="93">
        <v>-947</v>
      </c>
      <c r="X6" s="92">
        <f t="shared" si="15"/>
        <v>57872.66</v>
      </c>
      <c r="Y6" s="93">
        <v>88450.049999999988</v>
      </c>
      <c r="Z6" s="93">
        <v>-1434</v>
      </c>
      <c r="AA6" s="92">
        <f t="shared" si="16"/>
        <v>87016.049999999988</v>
      </c>
      <c r="AB6" s="92">
        <f t="shared" si="17"/>
        <v>89490.240000000005</v>
      </c>
      <c r="AC6" s="234">
        <f t="shared" si="18"/>
        <v>3.0307796541387676E-2</v>
      </c>
      <c r="AD6" s="92">
        <f t="shared" si="19"/>
        <v>7754.67</v>
      </c>
      <c r="AE6" s="93">
        <v>32830.189999999981</v>
      </c>
      <c r="AF6" s="234">
        <f t="shared" si="20"/>
        <v>0.37728890244960539</v>
      </c>
      <c r="AG6" s="93">
        <v>6474.260000000002</v>
      </c>
      <c r="AH6" s="93">
        <v>200</v>
      </c>
      <c r="AI6" s="93">
        <v>5025</v>
      </c>
      <c r="AJ6" s="93"/>
      <c r="AK6" s="93"/>
      <c r="AL6" s="122">
        <f t="shared" si="21"/>
        <v>475.8792075025346</v>
      </c>
      <c r="AM6" s="93">
        <v>0</v>
      </c>
      <c r="AN6" s="94">
        <f t="shared" si="22"/>
        <v>3304.5288860000001</v>
      </c>
      <c r="AO6" s="95">
        <f t="shared" si="24"/>
        <v>30951.521906497474</v>
      </c>
      <c r="AP6" s="96"/>
      <c r="AQ6" s="97">
        <f t="shared" si="5"/>
        <v>1381.2071428571426</v>
      </c>
      <c r="AR6" s="98">
        <f t="shared" si="6"/>
        <v>123.09</v>
      </c>
      <c r="AS6" s="98">
        <f t="shared" si="7"/>
        <v>521.11412698412664</v>
      </c>
      <c r="AT6" s="98">
        <f t="shared" si="8"/>
        <v>101.16031250000003</v>
      </c>
      <c r="AU6" s="98">
        <f t="shared" si="23"/>
        <v>81.640625</v>
      </c>
      <c r="AV6" s="98">
        <f t="array" ref="AV6">_xlfn.IFS(U6=0,AO6,U6&lt;0,AO6/-U6,U6&gt;0,AO6/U6)</f>
        <v>491.29399851583293</v>
      </c>
      <c r="AW6" s="234">
        <f t="shared" ref="AW6" si="27">IF(AQ6=0,0,AV6/AQ6)</f>
        <v>0.35569899928228738</v>
      </c>
      <c r="AX6" s="234">
        <f t="shared" ref="AX6" si="28">IF(AR6=0,0,AV6/AR6)</f>
        <v>3.9913396581024689</v>
      </c>
      <c r="AY6" s="99"/>
      <c r="AZ6" s="94">
        <f t="shared" si="11"/>
        <v>4389220.5827404512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716</v>
      </c>
      <c r="F7" s="93">
        <v>123</v>
      </c>
      <c r="G7" s="93">
        <v>39</v>
      </c>
      <c r="H7" s="93">
        <v>471</v>
      </c>
      <c r="I7" s="93">
        <v>3</v>
      </c>
      <c r="J7" s="93">
        <v>80</v>
      </c>
      <c r="K7" s="92">
        <v>117.24</v>
      </c>
      <c r="L7" s="92">
        <f>E7*K7</f>
        <v>83943.84</v>
      </c>
      <c r="M7" s="89">
        <v>30</v>
      </c>
      <c r="N7" s="89">
        <v>185</v>
      </c>
      <c r="O7" s="89">
        <v>1473</v>
      </c>
      <c r="P7" s="89">
        <v>64</v>
      </c>
      <c r="Q7" s="233">
        <f t="shared" si="12"/>
        <v>26.428571428571427</v>
      </c>
      <c r="R7" s="92">
        <f t="shared" si="13"/>
        <v>16.857142857142858</v>
      </c>
      <c r="S7" s="93">
        <v>121</v>
      </c>
      <c r="T7" s="93">
        <v>-3</v>
      </c>
      <c r="U7" s="92">
        <f t="shared" si="14"/>
        <v>118</v>
      </c>
      <c r="V7" s="93">
        <v>118048.54999999999</v>
      </c>
      <c r="W7" s="93">
        <v>-2802</v>
      </c>
      <c r="X7" s="92">
        <f t="shared" si="15"/>
        <v>115246.54999999999</v>
      </c>
      <c r="Y7" s="93">
        <v>175913.1</v>
      </c>
      <c r="Z7" s="93">
        <v>-4328</v>
      </c>
      <c r="AA7" s="92">
        <f t="shared" si="16"/>
        <v>171585.1</v>
      </c>
      <c r="AB7" s="92">
        <f t="shared" si="17"/>
        <v>174403.20000000001</v>
      </c>
      <c r="AC7" s="234">
        <f t="shared" si="18"/>
        <v>5.9763299992744552E-2</v>
      </c>
      <c r="AD7" s="92">
        <f t="shared" si="19"/>
        <v>13834.32</v>
      </c>
      <c r="AE7" s="93">
        <v>64195.069999999971</v>
      </c>
      <c r="AF7" s="234">
        <f t="shared" si="20"/>
        <v>0.37412963013688233</v>
      </c>
      <c r="AG7" s="93">
        <v>13493.559999999972</v>
      </c>
      <c r="AH7" s="93">
        <v>1000</v>
      </c>
      <c r="AI7" s="93">
        <v>14839</v>
      </c>
      <c r="AJ7" s="93"/>
      <c r="AK7" s="93"/>
      <c r="AL7" s="122">
        <f t="shared" si="21"/>
        <v>439.48844457587018</v>
      </c>
      <c r="AM7" s="93">
        <v>0</v>
      </c>
      <c r="AN7" s="94">
        <f t="shared" si="22"/>
        <v>6580.5780049999994</v>
      </c>
      <c r="AO7" s="95">
        <f t="shared" si="24"/>
        <v>57203.083550424184</v>
      </c>
      <c r="AP7" s="96"/>
      <c r="AQ7" s="97">
        <f t="shared" si="5"/>
        <v>1454.1110169491526</v>
      </c>
      <c r="AR7" s="98">
        <f t="shared" si="6"/>
        <v>117.24</v>
      </c>
      <c r="AS7" s="98">
        <f t="shared" si="7"/>
        <v>544.02601694915234</v>
      </c>
      <c r="AT7" s="98">
        <f t="shared" si="8"/>
        <v>111.5170247933882</v>
      </c>
      <c r="AU7" s="98">
        <f t="shared" si="23"/>
        <v>130.900826446281</v>
      </c>
      <c r="AV7" s="98">
        <f t="array" ref="AV7">_xlfn.IFS(U7=0,AO7,U7&lt;0,AO7/-U7,U7&gt;0,AO7/U7)</f>
        <v>484.77189449512019</v>
      </c>
      <c r="AW7" s="234">
        <f>IF(AQ7=0,0,AV7/AQ7)</f>
        <v>0.33338025009411759</v>
      </c>
      <c r="AX7" s="234">
        <f>IF(AR7=0,0,AV7/AR7)</f>
        <v>4.1348677456083269</v>
      </c>
      <c r="AY7" s="99"/>
      <c r="AZ7" s="94">
        <f t="shared" si="11"/>
        <v>347096.67645850603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140</v>
      </c>
      <c r="F8" s="93">
        <v>40</v>
      </c>
      <c r="G8" s="93">
        <v>15</v>
      </c>
      <c r="H8" s="93">
        <v>85</v>
      </c>
      <c r="I8" s="93">
        <v>0</v>
      </c>
      <c r="J8" s="93">
        <v>0</v>
      </c>
      <c r="K8" s="92">
        <v>169.89</v>
      </c>
      <c r="L8" s="92">
        <f>E8*K8</f>
        <v>23784.6</v>
      </c>
      <c r="M8" s="89">
        <v>26</v>
      </c>
      <c r="N8" s="89">
        <v>49</v>
      </c>
      <c r="O8" s="89">
        <v>1464</v>
      </c>
      <c r="P8" s="89">
        <v>67</v>
      </c>
      <c r="Q8" s="233">
        <f t="shared" si="12"/>
        <v>7</v>
      </c>
      <c r="R8" s="92">
        <f t="shared" si="13"/>
        <v>4.1428571428571432</v>
      </c>
      <c r="S8" s="93">
        <v>29</v>
      </c>
      <c r="T8" s="93">
        <v>0</v>
      </c>
      <c r="U8" s="92">
        <f t="shared" si="14"/>
        <v>29</v>
      </c>
      <c r="V8" s="93">
        <v>28608.240000000002</v>
      </c>
      <c r="W8" s="93">
        <v>0</v>
      </c>
      <c r="X8" s="92">
        <f t="shared" si="15"/>
        <v>28608.240000000002</v>
      </c>
      <c r="Y8" s="93">
        <v>42456.17</v>
      </c>
      <c r="Z8" s="93">
        <v>0</v>
      </c>
      <c r="AA8" s="92">
        <f t="shared" si="16"/>
        <v>42456.17</v>
      </c>
      <c r="AB8" s="92">
        <f t="shared" si="17"/>
        <v>48063.12</v>
      </c>
      <c r="AC8" s="234">
        <f t="shared" si="18"/>
        <v>1.4787535888914372E-2</v>
      </c>
      <c r="AD8" s="92">
        <f t="shared" si="19"/>
        <v>4926.8099999999995</v>
      </c>
      <c r="AE8" s="93">
        <v>16104.329999999998</v>
      </c>
      <c r="AF8" s="234">
        <f t="shared" si="20"/>
        <v>0.37931659874171408</v>
      </c>
      <c r="AG8" s="93">
        <v>3436.2900000000036</v>
      </c>
      <c r="AH8" s="93"/>
      <c r="AI8" s="93">
        <v>2289</v>
      </c>
      <c r="AJ8" s="93"/>
      <c r="AK8" s="93"/>
      <c r="AL8" s="122">
        <f t="shared" si="21"/>
        <v>79.313201250422438</v>
      </c>
      <c r="AM8" s="93">
        <v>0</v>
      </c>
      <c r="AN8" s="94">
        <f t="shared" si="22"/>
        <v>1633.5305040000001</v>
      </c>
      <c r="AO8" s="95">
        <f t="shared" si="24"/>
        <v>13986.896294749575</v>
      </c>
      <c r="AP8" s="96"/>
      <c r="AQ8" s="97">
        <f t="shared" si="5"/>
        <v>1464.0058620689654</v>
      </c>
      <c r="AR8" s="98">
        <f t="shared" si="6"/>
        <v>169.89</v>
      </c>
      <c r="AS8" s="98">
        <f t="shared" si="7"/>
        <v>555.32172413793091</v>
      </c>
      <c r="AT8" s="98">
        <f t="shared" si="8"/>
        <v>118.49275862068978</v>
      </c>
      <c r="AU8" s="98">
        <f t="shared" si="23"/>
        <v>78.931034482758619</v>
      </c>
      <c r="AV8" s="98">
        <f t="array" ref="AV8">_xlfn.IFS(U8=0,AO8,U8&lt;0,AO8/-U8,U8&gt;0,AO8/U8)</f>
        <v>482.30676878446809</v>
      </c>
      <c r="AW8" s="234">
        <f>IF(AQ8=0,0,AV8/AQ8)</f>
        <v>0.32944319505856456</v>
      </c>
      <c r="AX8" s="234">
        <f>IF(AR8=0,0,AV8/AR8)</f>
        <v>2.8389355982369069</v>
      </c>
      <c r="AY8" s="99"/>
      <c r="AZ8" s="94">
        <f t="shared" si="11"/>
        <v>67522.947629825532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9443</v>
      </c>
      <c r="F9" s="93">
        <v>221</v>
      </c>
      <c r="G9" s="93">
        <v>78</v>
      </c>
      <c r="H9" s="93">
        <v>722</v>
      </c>
      <c r="I9" s="93">
        <v>0</v>
      </c>
      <c r="J9" s="93">
        <v>8422</v>
      </c>
      <c r="K9" s="92">
        <v>123.09</v>
      </c>
      <c r="L9" s="92">
        <f>E9*K9</f>
        <v>1162338.8700000001</v>
      </c>
      <c r="M9" s="89">
        <v>17</v>
      </c>
      <c r="N9" s="89">
        <v>358</v>
      </c>
      <c r="O9" s="89">
        <v>1567</v>
      </c>
      <c r="P9" s="89">
        <v>51</v>
      </c>
      <c r="Q9" s="233">
        <f t="shared" si="12"/>
        <v>51.142857142857146</v>
      </c>
      <c r="R9" s="92">
        <f t="shared" si="13"/>
        <v>23.714285714285715</v>
      </c>
      <c r="S9" s="93">
        <v>171</v>
      </c>
      <c r="T9" s="93">
        <v>-5</v>
      </c>
      <c r="U9" s="92">
        <f t="shared" si="14"/>
        <v>166</v>
      </c>
      <c r="V9" s="93">
        <v>184080.5</v>
      </c>
      <c r="W9" s="93">
        <v>-5428</v>
      </c>
      <c r="X9" s="92">
        <f t="shared" si="15"/>
        <v>178652.5</v>
      </c>
      <c r="Y9" s="93">
        <v>275857.89999999997</v>
      </c>
      <c r="Z9" s="93">
        <v>-8148</v>
      </c>
      <c r="AA9" s="92">
        <f t="shared" si="16"/>
        <v>267709.89999999997</v>
      </c>
      <c r="AB9" s="92">
        <f t="shared" si="17"/>
        <v>286102.86</v>
      </c>
      <c r="AC9" s="234">
        <f t="shared" si="18"/>
        <v>9.3243685289268366E-2</v>
      </c>
      <c r="AD9" s="92">
        <f t="shared" si="19"/>
        <v>20432.940000000002</v>
      </c>
      <c r="AE9" s="93">
        <v>101415.9499999999</v>
      </c>
      <c r="AF9" s="234">
        <f t="shared" si="20"/>
        <v>0.37882779082880352</v>
      </c>
      <c r="AG9" s="93">
        <v>25997.370000000123</v>
      </c>
      <c r="AH9" s="93">
        <v>9000</v>
      </c>
      <c r="AI9" s="93">
        <v>38577</v>
      </c>
      <c r="AJ9" s="93"/>
      <c r="AK9" s="93"/>
      <c r="AL9" s="122">
        <f t="shared" si="21"/>
        <v>673.69566238594109</v>
      </c>
      <c r="AM9" s="93">
        <v>0</v>
      </c>
      <c r="AN9" s="94">
        <f t="shared" si="22"/>
        <v>10201.05775</v>
      </c>
      <c r="AO9" s="95">
        <f t="shared" si="24"/>
        <v>61411.886587613997</v>
      </c>
      <c r="AP9" s="96"/>
      <c r="AQ9" s="97">
        <f t="shared" si="5"/>
        <v>1612.7102409638553</v>
      </c>
      <c r="AR9" s="98">
        <f t="shared" si="6"/>
        <v>123.09</v>
      </c>
      <c r="AS9" s="98">
        <f t="shared" si="7"/>
        <v>610.93945783132472</v>
      </c>
      <c r="AT9" s="98">
        <f t="shared" si="8"/>
        <v>152.03140350877266</v>
      </c>
      <c r="AU9" s="98">
        <f t="shared" si="23"/>
        <v>278.22807017543857</v>
      </c>
      <c r="AV9" s="98">
        <f t="array" ref="AV9">_xlfn.IFS(U9=0,AO9,U9&lt;0,AO9/-U9,U9&gt;0,AO9/U9)</f>
        <v>369.95112402177108</v>
      </c>
      <c r="AW9" s="234">
        <f>IF(AQ9=0,0,AV9/AQ9)</f>
        <v>0.2293971444000166</v>
      </c>
      <c r="AX9" s="234">
        <f>IF(AR9=0,0,AV9/AR9)</f>
        <v>3.0055335447377614</v>
      </c>
      <c r="AY9" s="99"/>
      <c r="AZ9" s="94">
        <f t="shared" si="11"/>
        <v>3493448.4641375844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7780</v>
      </c>
      <c r="F10" s="93">
        <v>156</v>
      </c>
      <c r="G10" s="93">
        <v>43</v>
      </c>
      <c r="H10" s="93">
        <v>593</v>
      </c>
      <c r="I10" s="93">
        <v>0</v>
      </c>
      <c r="J10" s="93">
        <v>6988</v>
      </c>
      <c r="K10" s="92">
        <v>123.09</v>
      </c>
      <c r="L10" s="92">
        <f>E10*K10</f>
        <v>957640.20000000007</v>
      </c>
      <c r="M10" s="89">
        <v>27</v>
      </c>
      <c r="N10" s="89">
        <v>242</v>
      </c>
      <c r="O10" s="89">
        <v>1334</v>
      </c>
      <c r="P10" s="89">
        <v>64</v>
      </c>
      <c r="Q10" s="233">
        <f t="shared" si="12"/>
        <v>34.571428571428569</v>
      </c>
      <c r="R10" s="92">
        <f t="shared" si="13"/>
        <v>19.857142857142858</v>
      </c>
      <c r="S10" s="93">
        <v>147</v>
      </c>
      <c r="T10" s="93">
        <v>-8</v>
      </c>
      <c r="U10" s="92">
        <f t="shared" si="14"/>
        <v>139</v>
      </c>
      <c r="V10" s="93">
        <v>132293.57000000004</v>
      </c>
      <c r="W10" s="93">
        <v>-7438</v>
      </c>
      <c r="X10" s="92">
        <f t="shared" si="15"/>
        <v>124855.57000000004</v>
      </c>
      <c r="Y10" s="93">
        <v>198403.57000000004</v>
      </c>
      <c r="Z10" s="93">
        <v>-11024</v>
      </c>
      <c r="AA10" s="92">
        <f t="shared" si="16"/>
        <v>187379.57000000004</v>
      </c>
      <c r="AB10" s="92">
        <f t="shared" si="17"/>
        <v>206609.92000000001</v>
      </c>
      <c r="AC10" s="234">
        <f t="shared" si="18"/>
        <v>6.5264533193275395E-2</v>
      </c>
      <c r="AD10" s="92">
        <f t="shared" si="19"/>
        <v>17109.510000000002</v>
      </c>
      <c r="AE10" s="93">
        <v>70934.899999999994</v>
      </c>
      <c r="AF10" s="234">
        <f t="shared" si="20"/>
        <v>0.37856261491047277</v>
      </c>
      <c r="AG10" s="93">
        <v>17108.819999999949</v>
      </c>
      <c r="AH10" s="93">
        <v>5000</v>
      </c>
      <c r="AI10" s="93">
        <v>28500</v>
      </c>
      <c r="AJ10" s="93"/>
      <c r="AK10" s="93"/>
      <c r="AL10" s="122">
        <f t="shared" si="21"/>
        <v>553.32621578235887</v>
      </c>
      <c r="AM10" s="93">
        <v>0</v>
      </c>
      <c r="AN10" s="94">
        <f t="shared" si="22"/>
        <v>7129.253047000002</v>
      </c>
      <c r="AO10" s="95">
        <f t="shared" si="24"/>
        <v>41043.76073721773</v>
      </c>
      <c r="AP10" s="96"/>
      <c r="AQ10" s="97">
        <f t="shared" si="5"/>
        <v>1348.0544604316549</v>
      </c>
      <c r="AR10" s="98">
        <f t="shared" si="6"/>
        <v>123.09</v>
      </c>
      <c r="AS10" s="98">
        <f t="shared" si="7"/>
        <v>510.32302158273376</v>
      </c>
      <c r="AT10" s="98">
        <f t="shared" si="8"/>
        <v>116.38653061224456</v>
      </c>
      <c r="AU10" s="98">
        <f t="shared" si="23"/>
        <v>227.89115646258503</v>
      </c>
      <c r="AV10" s="98">
        <f t="array" ref="AV10">_xlfn.IFS(U10=0,AO10,U10&lt;0,AO10/-U10,U10&gt;0,AO10/U10)</f>
        <v>295.27885422458797</v>
      </c>
      <c r="AW10" s="234">
        <f>IF(AQ10=0,0,AV10/AQ10)</f>
        <v>0.21904074567583715</v>
      </c>
      <c r="AX10" s="234">
        <f>IF(AR10=0,0,AV10/AR10)</f>
        <v>2.3988858089575755</v>
      </c>
      <c r="AY10" s="99"/>
      <c r="AZ10" s="94">
        <f t="shared" si="11"/>
        <v>2297269.4858672945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733</v>
      </c>
      <c r="F11" s="93">
        <v>72</v>
      </c>
      <c r="G11" s="93">
        <v>19</v>
      </c>
      <c r="H11" s="93">
        <v>295</v>
      </c>
      <c r="I11" s="93">
        <v>0</v>
      </c>
      <c r="J11" s="93">
        <v>347</v>
      </c>
      <c r="K11" s="92">
        <v>123.09</v>
      </c>
      <c r="L11" s="92">
        <f t="shared" ref="L11" si="30">E11*K11</f>
        <v>90224.97</v>
      </c>
      <c r="M11" s="89">
        <v>17</v>
      </c>
      <c r="N11" s="89">
        <v>115</v>
      </c>
      <c r="O11" s="89">
        <v>1302</v>
      </c>
      <c r="P11" s="89">
        <v>63</v>
      </c>
      <c r="Q11" s="233">
        <f t="shared" si="12"/>
        <v>16.428571428571427</v>
      </c>
      <c r="R11" s="92">
        <f t="shared" si="13"/>
        <v>11.142857142857142</v>
      </c>
      <c r="S11" s="93">
        <v>79</v>
      </c>
      <c r="T11" s="93">
        <v>-1</v>
      </c>
      <c r="U11" s="92">
        <f t="shared" si="14"/>
        <v>78</v>
      </c>
      <c r="V11" s="93">
        <v>69075.199999999997</v>
      </c>
      <c r="W11" s="93">
        <v>-867</v>
      </c>
      <c r="X11" s="92">
        <f t="shared" si="15"/>
        <v>68208.2</v>
      </c>
      <c r="Y11" s="93">
        <v>103242.59</v>
      </c>
      <c r="Z11" s="93">
        <v>-1301</v>
      </c>
      <c r="AA11" s="92">
        <f t="shared" si="16"/>
        <v>101941.59</v>
      </c>
      <c r="AB11" s="92">
        <f t="shared" si="17"/>
        <v>94329.9</v>
      </c>
      <c r="AC11" s="234">
        <f t="shared" si="18"/>
        <v>3.5506380361158212E-2</v>
      </c>
      <c r="AD11" s="92">
        <f t="shared" si="19"/>
        <v>9601.02</v>
      </c>
      <c r="AE11" s="93">
        <v>38044.350000000013</v>
      </c>
      <c r="AF11" s="234">
        <f t="shared" si="20"/>
        <v>0.37319753399961697</v>
      </c>
      <c r="AG11" s="93">
        <v>8927.2599999999893</v>
      </c>
      <c r="AH11" s="93">
        <v>756</v>
      </c>
      <c r="AI11" s="93">
        <v>6676</v>
      </c>
      <c r="AJ11" s="93"/>
      <c r="AK11" s="93"/>
      <c r="AL11" s="122">
        <f t="shared" si="21"/>
        <v>275.26346316323077</v>
      </c>
      <c r="AM11" s="93">
        <v>0</v>
      </c>
      <c r="AN11" s="94">
        <f t="shared" si="22"/>
        <v>3894.6882199999995</v>
      </c>
      <c r="AO11" s="95">
        <f t="shared" si="24"/>
        <v>33767.008316836764</v>
      </c>
      <c r="AP11" s="96"/>
      <c r="AQ11" s="97">
        <f t="shared" si="5"/>
        <v>1306.9434615384614</v>
      </c>
      <c r="AR11" s="98">
        <f t="shared" si="6"/>
        <v>123.09</v>
      </c>
      <c r="AS11" s="98">
        <f t="shared" si="7"/>
        <v>487.74807692307706</v>
      </c>
      <c r="AT11" s="98">
        <f t="shared" si="8"/>
        <v>113.00329113924037</v>
      </c>
      <c r="AU11" s="98">
        <f t="shared" si="23"/>
        <v>94.075949367088612</v>
      </c>
      <c r="AV11" s="98">
        <f t="array" ref="AV11">_xlfn.IFS(U11=0,AO11,U11&lt;0,AO11/-U11,U11&gt;0,AO11/U11)</f>
        <v>432.91036303636878</v>
      </c>
      <c r="AW11" s="234">
        <f t="shared" ref="AW11:AW28" si="31">IF(AQ11=0,0,AV11/AQ11)</f>
        <v>0.33123878406091928</v>
      </c>
      <c r="AX11" s="234">
        <f t="shared" ref="AX11:AX28" si="32">IF(AR11=0,0,AV11/AR11)</f>
        <v>3.5170230159750488</v>
      </c>
      <c r="AY11" s="99"/>
      <c r="AZ11" s="94">
        <f t="shared" si="11"/>
        <v>317323.29610565829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6016</v>
      </c>
      <c r="F12" s="93">
        <v>108</v>
      </c>
      <c r="G12" s="93">
        <v>42</v>
      </c>
      <c r="H12" s="93">
        <v>637</v>
      </c>
      <c r="I12" s="93">
        <v>1</v>
      </c>
      <c r="J12" s="93">
        <v>5228</v>
      </c>
      <c r="K12" s="92">
        <v>117.24</v>
      </c>
      <c r="L12" s="92">
        <f>E12*K12</f>
        <v>705315.83999999997</v>
      </c>
      <c r="M12" s="89">
        <v>22</v>
      </c>
      <c r="N12" s="89">
        <v>178</v>
      </c>
      <c r="O12" s="89">
        <v>1354</v>
      </c>
      <c r="P12" s="89">
        <v>62</v>
      </c>
      <c r="Q12" s="233">
        <f t="shared" si="12"/>
        <v>25.428571428571427</v>
      </c>
      <c r="R12" s="92">
        <f t="shared" si="13"/>
        <v>14.142857142857142</v>
      </c>
      <c r="S12" s="93">
        <v>100</v>
      </c>
      <c r="T12" s="93">
        <v>-1</v>
      </c>
      <c r="U12" s="92">
        <f t="shared" si="14"/>
        <v>99</v>
      </c>
      <c r="V12" s="93">
        <v>91069.180000000022</v>
      </c>
      <c r="W12" s="93">
        <v>-904</v>
      </c>
      <c r="X12" s="92">
        <f t="shared" si="15"/>
        <v>90165.180000000022</v>
      </c>
      <c r="Y12" s="93">
        <v>135656.36999999997</v>
      </c>
      <c r="Z12" s="93">
        <v>-1378</v>
      </c>
      <c r="AA12" s="92">
        <f t="shared" si="16"/>
        <v>134278.36999999997</v>
      </c>
      <c r="AB12" s="92">
        <f t="shared" si="17"/>
        <v>149427.44</v>
      </c>
      <c r="AC12" s="234">
        <f t="shared" si="18"/>
        <v>4.6769320348018263E-2</v>
      </c>
      <c r="AD12" s="92">
        <f t="shared" si="19"/>
        <v>11606.76</v>
      </c>
      <c r="AE12" s="93">
        <v>50679.119999999988</v>
      </c>
      <c r="AF12" s="234">
        <f t="shared" si="20"/>
        <v>0.37741834369898891</v>
      </c>
      <c r="AG12" s="93">
        <v>12425.95</v>
      </c>
      <c r="AH12" s="93">
        <v>4051</v>
      </c>
      <c r="AI12" s="93">
        <v>18982</v>
      </c>
      <c r="AJ12" s="93"/>
      <c r="AK12" s="93"/>
      <c r="AL12" s="122">
        <f t="shared" si="21"/>
        <v>594.38246113551872</v>
      </c>
      <c r="AM12" s="93">
        <v>0</v>
      </c>
      <c r="AN12" s="94">
        <f t="shared" si="22"/>
        <v>5148.431778000001</v>
      </c>
      <c r="AO12" s="95">
        <f t="shared" si="24"/>
        <v>30790.725760864476</v>
      </c>
      <c r="AP12" s="96"/>
      <c r="AQ12" s="97">
        <f t="shared" si="5"/>
        <v>1356.3471717171715</v>
      </c>
      <c r="AR12" s="98">
        <f t="shared" si="6"/>
        <v>117.24</v>
      </c>
      <c r="AS12" s="98">
        <f t="shared" si="7"/>
        <v>511.91030303030288</v>
      </c>
      <c r="AT12" s="98">
        <f t="shared" si="8"/>
        <v>124.2595</v>
      </c>
      <c r="AU12" s="98">
        <f t="shared" si="23"/>
        <v>230.33</v>
      </c>
      <c r="AV12" s="98">
        <f t="array" ref="AV12">_xlfn.IFS(U12=0,AO12,U12&lt;0,AO12/-U12,U12&gt;0,AO12/U12)</f>
        <v>311.01743192792401</v>
      </c>
      <c r="AW12" s="234">
        <f t="shared" si="31"/>
        <v>0.22930517968653091</v>
      </c>
      <c r="AX12" s="234">
        <f t="shared" si="32"/>
        <v>2.6528269526435007</v>
      </c>
      <c r="AY12" s="99"/>
      <c r="AZ12" s="94">
        <f t="shared" si="11"/>
        <v>1871080.8704783907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2407</v>
      </c>
      <c r="F13" s="93">
        <v>208</v>
      </c>
      <c r="G13" s="93">
        <v>53</v>
      </c>
      <c r="H13" s="93">
        <v>902</v>
      </c>
      <c r="I13" s="93">
        <v>1</v>
      </c>
      <c r="J13" s="93">
        <v>1243</v>
      </c>
      <c r="K13" s="92">
        <v>123.09</v>
      </c>
      <c r="L13" s="92">
        <f t="shared" ref="L13:L28" si="33">E13*K13</f>
        <v>296277.63</v>
      </c>
      <c r="M13" s="89">
        <v>23</v>
      </c>
      <c r="N13" s="89">
        <v>331</v>
      </c>
      <c r="O13" s="89">
        <v>1575</v>
      </c>
      <c r="P13" s="89">
        <v>64</v>
      </c>
      <c r="Q13" s="233">
        <f t="shared" si="12"/>
        <v>47.285714285714285</v>
      </c>
      <c r="R13" s="92">
        <f t="shared" si="13"/>
        <v>25.857142857142858</v>
      </c>
      <c r="S13" s="93">
        <v>182</v>
      </c>
      <c r="T13" s="93">
        <v>-1</v>
      </c>
      <c r="U13" s="92">
        <f t="shared" si="14"/>
        <v>181</v>
      </c>
      <c r="V13" s="93">
        <v>197191.08</v>
      </c>
      <c r="W13" s="93">
        <v>-1189</v>
      </c>
      <c r="X13" s="92">
        <f t="shared" si="15"/>
        <v>196002.08</v>
      </c>
      <c r="Y13" s="93">
        <v>295841.33000000013</v>
      </c>
      <c r="Z13" s="93">
        <v>-1732</v>
      </c>
      <c r="AA13" s="92">
        <f t="shared" si="16"/>
        <v>294109.33000000013</v>
      </c>
      <c r="AB13" s="92">
        <f t="shared" si="17"/>
        <v>333648</v>
      </c>
      <c r="AC13" s="234">
        <f t="shared" si="18"/>
        <v>0.10243863901617981</v>
      </c>
      <c r="AD13" s="92">
        <f t="shared" si="19"/>
        <v>22279.29</v>
      </c>
      <c r="AE13" s="93">
        <v>111164.44000000015</v>
      </c>
      <c r="AF13" s="234">
        <f t="shared" si="20"/>
        <v>0.37796978422955879</v>
      </c>
      <c r="AG13" s="93">
        <v>22303.750000000025</v>
      </c>
      <c r="AH13" s="93">
        <v>6000</v>
      </c>
      <c r="AI13" s="93">
        <v>40366</v>
      </c>
      <c r="AJ13" s="93"/>
      <c r="AK13" s="93"/>
      <c r="AL13" s="122">
        <f t="shared" si="21"/>
        <v>841.65302973977691</v>
      </c>
      <c r="AM13" s="93">
        <v>2269</v>
      </c>
      <c r="AN13" s="94">
        <f t="shared" si="22"/>
        <v>11191.718767999999</v>
      </c>
      <c r="AO13" s="95">
        <f t="shared" si="24"/>
        <v>77693.478202260187</v>
      </c>
      <c r="AP13" s="96"/>
      <c r="AQ13" s="97">
        <f t="shared" si="5"/>
        <v>1624.9134254143653</v>
      </c>
      <c r="AR13" s="98">
        <f t="shared" si="6"/>
        <v>123.09</v>
      </c>
      <c r="AS13" s="98">
        <f t="shared" si="7"/>
        <v>614.16817679558096</v>
      </c>
      <c r="AT13" s="98">
        <f t="shared" si="8"/>
        <v>122.54807692307706</v>
      </c>
      <c r="AU13" s="98">
        <f t="shared" si="23"/>
        <v>254.75824175824175</v>
      </c>
      <c r="AV13" s="98">
        <f t="array" ref="AV13">_xlfn.IFS(U13=0,AO13,U13&lt;0,AO13/-U13,U13&gt;0,AO13/U13)</f>
        <v>429.24573592408944</v>
      </c>
      <c r="AW13" s="234">
        <f t="shared" si="31"/>
        <v>0.26416529595392352</v>
      </c>
      <c r="AX13" s="234">
        <f t="shared" si="32"/>
        <v>3.4872510839555564</v>
      </c>
      <c r="AY13" s="99"/>
      <c r="AZ13" s="94">
        <f t="shared" si="11"/>
        <v>1033194.4863692833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2086</v>
      </c>
      <c r="F14" s="93">
        <v>29</v>
      </c>
      <c r="G14" s="93">
        <v>17</v>
      </c>
      <c r="H14" s="93">
        <v>454</v>
      </c>
      <c r="I14" s="93">
        <v>2</v>
      </c>
      <c r="J14" s="93">
        <v>1584</v>
      </c>
      <c r="K14" s="92">
        <v>123.09</v>
      </c>
      <c r="L14" s="92">
        <f t="shared" si="33"/>
        <v>256765.74000000002</v>
      </c>
      <c r="M14" s="89">
        <v>44</v>
      </c>
      <c r="N14" s="89">
        <v>40</v>
      </c>
      <c r="O14" s="89">
        <v>1308</v>
      </c>
      <c r="P14" s="89">
        <v>65</v>
      </c>
      <c r="Q14" s="233">
        <f t="shared" si="12"/>
        <v>5.7142857142857144</v>
      </c>
      <c r="R14" s="92">
        <f t="shared" si="13"/>
        <v>3.4285714285714284</v>
      </c>
      <c r="S14" s="93">
        <v>28</v>
      </c>
      <c r="T14" s="93">
        <v>-4</v>
      </c>
      <c r="U14" s="92">
        <f t="shared" si="14"/>
        <v>24</v>
      </c>
      <c r="V14" s="93">
        <v>23678.18</v>
      </c>
      <c r="W14" s="93">
        <v>-3433</v>
      </c>
      <c r="X14" s="92">
        <f t="shared" si="15"/>
        <v>20245.18</v>
      </c>
      <c r="Y14" s="93">
        <v>35338.359999999993</v>
      </c>
      <c r="Z14" s="93">
        <v>-5229.28</v>
      </c>
      <c r="AA14" s="92">
        <f t="shared" si="16"/>
        <v>30109.079999999994</v>
      </c>
      <c r="AB14" s="92">
        <f t="shared" si="17"/>
        <v>34008</v>
      </c>
      <c r="AC14" s="234">
        <f t="shared" si="18"/>
        <v>1.0487029354795636E-2</v>
      </c>
      <c r="AD14" s="92">
        <f t="shared" si="19"/>
        <v>2954.16</v>
      </c>
      <c r="AE14" s="93">
        <v>10736.169999999991</v>
      </c>
      <c r="AF14" s="234">
        <f t="shared" si="20"/>
        <v>0.3565758236385832</v>
      </c>
      <c r="AG14" s="93">
        <v>4481.0299999999943</v>
      </c>
      <c r="AH14" s="93">
        <v>188</v>
      </c>
      <c r="AI14" s="93">
        <v>2656</v>
      </c>
      <c r="AJ14" s="93"/>
      <c r="AK14" s="93"/>
      <c r="AL14" s="122">
        <f t="shared" si="21"/>
        <v>423.62580432578568</v>
      </c>
      <c r="AM14" s="93">
        <v>0</v>
      </c>
      <c r="AN14" s="94">
        <f t="shared" si="22"/>
        <v>1155.9997779999999</v>
      </c>
      <c r="AO14" s="95">
        <f t="shared" si="24"/>
        <v>7514.0944176742232</v>
      </c>
      <c r="AP14" s="96"/>
      <c r="AQ14" s="97">
        <f t="shared" si="5"/>
        <v>1254.5449999999998</v>
      </c>
      <c r="AR14" s="98">
        <f t="shared" si="6"/>
        <v>123.09</v>
      </c>
      <c r="AS14" s="98">
        <f t="shared" si="7"/>
        <v>447.34041666666627</v>
      </c>
      <c r="AT14" s="98">
        <f t="shared" si="8"/>
        <v>160.03678571428551</v>
      </c>
      <c r="AU14" s="98">
        <f t="shared" si="23"/>
        <v>101.57142857142857</v>
      </c>
      <c r="AV14" s="98">
        <f t="array" ref="AV14">_xlfn.IFS(U14=0,AO14,U14&lt;0,AO14/-U14,U14&gt;0,AO14/U14)</f>
        <v>313.08726740309265</v>
      </c>
      <c r="AW14" s="234">
        <f t="shared" si="31"/>
        <v>0.24956240501782934</v>
      </c>
      <c r="AX14" s="234">
        <f t="shared" si="32"/>
        <v>2.5435637939970155</v>
      </c>
      <c r="AY14" s="99"/>
      <c r="AZ14" s="94">
        <f t="shared" si="11"/>
        <v>653100.03980285127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4156</v>
      </c>
      <c r="F15" s="93">
        <v>46</v>
      </c>
      <c r="G15" s="93">
        <v>8</v>
      </c>
      <c r="H15" s="93">
        <v>348</v>
      </c>
      <c r="I15" s="93">
        <v>0</v>
      </c>
      <c r="J15" s="93">
        <v>3754</v>
      </c>
      <c r="K15" s="92">
        <v>123.09</v>
      </c>
      <c r="L15" s="92">
        <f t="shared" si="33"/>
        <v>511562.04000000004</v>
      </c>
      <c r="M15" s="89">
        <v>48</v>
      </c>
      <c r="N15" s="89">
        <v>79</v>
      </c>
      <c r="O15" s="89">
        <v>1280</v>
      </c>
      <c r="P15" s="89">
        <v>67</v>
      </c>
      <c r="Q15" s="233">
        <f t="shared" si="12"/>
        <v>11.285714285714286</v>
      </c>
      <c r="R15" s="92">
        <f t="shared" si="13"/>
        <v>7.8571428571428568</v>
      </c>
      <c r="S15" s="93">
        <v>56</v>
      </c>
      <c r="T15" s="93">
        <v>-1</v>
      </c>
      <c r="U15" s="92">
        <f t="shared" si="14"/>
        <v>55</v>
      </c>
      <c r="V15" s="93">
        <v>48278.71</v>
      </c>
      <c r="W15" s="93">
        <v>-834</v>
      </c>
      <c r="X15" s="92">
        <f t="shared" si="15"/>
        <v>47444.71</v>
      </c>
      <c r="Y15" s="93">
        <v>72423.67</v>
      </c>
      <c r="Z15" s="93">
        <v>-1253</v>
      </c>
      <c r="AA15" s="92">
        <f t="shared" si="16"/>
        <v>71170.67</v>
      </c>
      <c r="AB15" s="92">
        <f t="shared" si="17"/>
        <v>67750.399999999994</v>
      </c>
      <c r="AC15" s="234">
        <f t="shared" si="18"/>
        <v>2.478883132564905E-2</v>
      </c>
      <c r="AD15" s="92">
        <f t="shared" si="19"/>
        <v>6769.95</v>
      </c>
      <c r="AE15" s="93">
        <v>26966.730000000003</v>
      </c>
      <c r="AF15" s="234">
        <f t="shared" si="20"/>
        <v>0.37890229219424243</v>
      </c>
      <c r="AG15" s="93">
        <v>5351.809999999994</v>
      </c>
      <c r="AH15" s="93">
        <v>536</v>
      </c>
      <c r="AI15" s="93">
        <v>2975</v>
      </c>
      <c r="AJ15" s="93"/>
      <c r="AK15" s="93"/>
      <c r="AL15" s="122">
        <f t="shared" si="21"/>
        <v>324.71757688408246</v>
      </c>
      <c r="AM15" s="93">
        <v>0</v>
      </c>
      <c r="AN15" s="94">
        <f t="shared" si="22"/>
        <v>2709.0929409999999</v>
      </c>
      <c r="AO15" s="95">
        <f t="shared" si="24"/>
        <v>25537.369482115922</v>
      </c>
      <c r="AP15" s="96"/>
      <c r="AQ15" s="97">
        <f t="shared" si="5"/>
        <v>1294.0121818181817</v>
      </c>
      <c r="AR15" s="98">
        <f t="shared" si="6"/>
        <v>123.09</v>
      </c>
      <c r="AS15" s="98">
        <f t="shared" si="7"/>
        <v>490.30418181818186</v>
      </c>
      <c r="AT15" s="98">
        <f t="shared" si="8"/>
        <v>95.568035714285614</v>
      </c>
      <c r="AU15" s="98">
        <f t="shared" si="23"/>
        <v>62.696428571428569</v>
      </c>
      <c r="AV15" s="98">
        <f t="array" ref="AV15">_xlfn.IFS(U15=0,AO15,U15&lt;0,AO15/-U15,U15&gt;0,AO15/U15)</f>
        <v>464.31580876574407</v>
      </c>
      <c r="AW15" s="234">
        <f t="shared" si="31"/>
        <v>0.35881873083555244</v>
      </c>
      <c r="AX15" s="234">
        <f t="shared" si="32"/>
        <v>3.7721651536740928</v>
      </c>
      <c r="AY15" s="99"/>
      <c r="AZ15" s="94">
        <f t="shared" si="11"/>
        <v>1929696.5012304324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2391</v>
      </c>
      <c r="F16" s="93">
        <v>122</v>
      </c>
      <c r="G16" s="93">
        <v>25</v>
      </c>
      <c r="H16" s="93">
        <v>688</v>
      </c>
      <c r="I16" s="93">
        <v>2</v>
      </c>
      <c r="J16" s="93">
        <v>1554</v>
      </c>
      <c r="K16" s="92">
        <v>117.24</v>
      </c>
      <c r="L16" s="92">
        <f t="shared" si="33"/>
        <v>280320.83999999997</v>
      </c>
      <c r="M16" s="89">
        <v>22</v>
      </c>
      <c r="N16" s="89">
        <v>208</v>
      </c>
      <c r="O16" s="89">
        <v>1513</v>
      </c>
      <c r="P16" s="89">
        <v>77</v>
      </c>
      <c r="Q16" s="233">
        <f t="shared" si="12"/>
        <v>29.714285714285715</v>
      </c>
      <c r="R16" s="92">
        <f t="shared" si="13"/>
        <v>24</v>
      </c>
      <c r="S16" s="93">
        <v>170</v>
      </c>
      <c r="T16" s="93">
        <v>-2</v>
      </c>
      <c r="U16" s="92">
        <f t="shared" si="14"/>
        <v>168</v>
      </c>
      <c r="V16" s="93">
        <v>172297.77000000002</v>
      </c>
      <c r="W16" s="93">
        <v>-2123</v>
      </c>
      <c r="X16" s="92">
        <f t="shared" si="15"/>
        <v>170174.77000000002</v>
      </c>
      <c r="Y16" s="93">
        <v>257246.15000000002</v>
      </c>
      <c r="Z16" s="93">
        <v>-3026</v>
      </c>
      <c r="AA16" s="92">
        <f t="shared" si="16"/>
        <v>254220.15000000002</v>
      </c>
      <c r="AB16" s="92">
        <f t="shared" si="17"/>
        <v>242322.08</v>
      </c>
      <c r="AC16" s="234">
        <f t="shared" si="18"/>
        <v>8.8545188880914019E-2</v>
      </c>
      <c r="AD16" s="92">
        <f t="shared" si="19"/>
        <v>19696.32</v>
      </c>
      <c r="AE16" s="93">
        <v>96099.590000000011</v>
      </c>
      <c r="AF16" s="234">
        <f t="shared" si="20"/>
        <v>0.37801720280630785</v>
      </c>
      <c r="AG16" s="93">
        <v>15230.879999999976</v>
      </c>
      <c r="AH16" s="93">
        <v>1708</v>
      </c>
      <c r="AI16" s="93">
        <v>11915</v>
      </c>
      <c r="AJ16" s="93"/>
      <c r="AK16" s="93"/>
      <c r="AL16" s="122">
        <f t="shared" si="21"/>
        <v>641.97038188577221</v>
      </c>
      <c r="AM16" s="93">
        <v>0</v>
      </c>
      <c r="AN16" s="94">
        <f t="shared" si="22"/>
        <v>9716.9793669999999</v>
      </c>
      <c r="AO16" s="95">
        <f t="shared" si="24"/>
        <v>99211.410251114256</v>
      </c>
      <c r="AP16" s="96"/>
      <c r="AQ16" s="97">
        <f t="shared" si="5"/>
        <v>1513.2151785714286</v>
      </c>
      <c r="AR16" s="98">
        <f t="shared" si="6"/>
        <v>117.24</v>
      </c>
      <c r="AS16" s="98">
        <f t="shared" si="7"/>
        <v>572.02136904761915</v>
      </c>
      <c r="AT16" s="98">
        <f t="shared" si="8"/>
        <v>89.593411764705735</v>
      </c>
      <c r="AU16" s="98">
        <f t="shared" si="23"/>
        <v>80.135294117647064</v>
      </c>
      <c r="AV16" s="98">
        <f t="array" ref="AV16">_xlfn.IFS(U16=0,AO16,U16&lt;0,AO16/-U16,U16&gt;0,AO16/U16)</f>
        <v>590.54410863758483</v>
      </c>
      <c r="AW16" s="234">
        <f t="shared" si="31"/>
        <v>0.39025785426967236</v>
      </c>
      <c r="AX16" s="234">
        <f t="shared" si="32"/>
        <v>5.0370531272397203</v>
      </c>
      <c r="AY16" s="99"/>
      <c r="AZ16" s="94">
        <f t="shared" si="11"/>
        <v>1411990.9637524653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1543</v>
      </c>
      <c r="F17" s="93">
        <v>29</v>
      </c>
      <c r="G17" s="93">
        <v>7</v>
      </c>
      <c r="H17" s="93">
        <v>113</v>
      </c>
      <c r="I17" s="93">
        <v>1</v>
      </c>
      <c r="J17" s="93">
        <v>1393</v>
      </c>
      <c r="K17" s="93">
        <v>123.09</v>
      </c>
      <c r="L17" s="92">
        <f t="shared" si="33"/>
        <v>189927.87</v>
      </c>
      <c r="M17" s="89">
        <v>24</v>
      </c>
      <c r="N17" s="89">
        <v>42</v>
      </c>
      <c r="O17" s="89">
        <v>1480</v>
      </c>
      <c r="P17" s="89">
        <v>58</v>
      </c>
      <c r="Q17" s="233">
        <f t="shared" si="12"/>
        <v>6</v>
      </c>
      <c r="R17" s="92">
        <f t="shared" si="13"/>
        <v>2.8571428571428572</v>
      </c>
      <c r="S17" s="93">
        <v>21</v>
      </c>
      <c r="T17" s="93">
        <v>-1</v>
      </c>
      <c r="U17" s="92">
        <f t="shared" si="14"/>
        <v>20</v>
      </c>
      <c r="V17" s="93">
        <v>20819.189999999999</v>
      </c>
      <c r="W17" s="93">
        <v>-957</v>
      </c>
      <c r="X17" s="92">
        <f t="shared" si="15"/>
        <v>19862.189999999999</v>
      </c>
      <c r="Y17" s="93">
        <v>30943.18</v>
      </c>
      <c r="Z17" s="93">
        <v>-1480</v>
      </c>
      <c r="AA17" s="92">
        <f t="shared" si="16"/>
        <v>29463.18</v>
      </c>
      <c r="AB17" s="92">
        <f t="shared" si="17"/>
        <v>36052.800000000003</v>
      </c>
      <c r="AC17" s="234">
        <f t="shared" si="18"/>
        <v>1.0262061595559471E-2</v>
      </c>
      <c r="AD17" s="92">
        <f t="shared" si="19"/>
        <v>2461.8000000000002</v>
      </c>
      <c r="AE17" s="93">
        <v>11198.23</v>
      </c>
      <c r="AF17" s="234">
        <f t="shared" si="20"/>
        <v>0.38007540258722922</v>
      </c>
      <c r="AG17" s="93">
        <v>2620.6600000000017</v>
      </c>
      <c r="AH17" s="93"/>
      <c r="AI17" s="93">
        <v>3789</v>
      </c>
      <c r="AJ17" s="93"/>
      <c r="AK17" s="93"/>
      <c r="AL17" s="122">
        <f t="shared" si="21"/>
        <v>105.43990283879688</v>
      </c>
      <c r="AM17" s="93">
        <v>0</v>
      </c>
      <c r="AN17" s="94">
        <f t="shared" si="22"/>
        <v>1134.1310489999998</v>
      </c>
      <c r="AO17" s="95">
        <f t="shared" si="24"/>
        <v>8153.919048161204</v>
      </c>
      <c r="AP17" s="96"/>
      <c r="AQ17" s="97">
        <f t="shared" si="5"/>
        <v>1473.1590000000001</v>
      </c>
      <c r="AR17" s="98">
        <f t="shared" si="6"/>
        <v>123.09</v>
      </c>
      <c r="AS17" s="98">
        <f t="shared" si="7"/>
        <v>559.91149999999993</v>
      </c>
      <c r="AT17" s="98">
        <f t="shared" si="8"/>
        <v>124.79333333333341</v>
      </c>
      <c r="AU17" s="98">
        <f t="shared" si="23"/>
        <v>180.42857142857142</v>
      </c>
      <c r="AV17" s="98">
        <f t="array" ref="AV17">_xlfn.IFS(U17=0,AO17,U17&lt;0,AO17/-U17,U17&gt;0,AO17/U17)</f>
        <v>407.69595240806018</v>
      </c>
      <c r="AW17" s="234">
        <f t="shared" si="31"/>
        <v>0.27674945637779774</v>
      </c>
      <c r="AX17" s="234">
        <f t="shared" si="32"/>
        <v>3.3121776944354551</v>
      </c>
      <c r="AY17" s="99"/>
      <c r="AZ17" s="94">
        <f t="shared" si="11"/>
        <v>629074.85456563684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1420</v>
      </c>
      <c r="F18" s="93">
        <v>42</v>
      </c>
      <c r="G18" s="93">
        <v>18</v>
      </c>
      <c r="H18" s="93">
        <v>399</v>
      </c>
      <c r="I18" s="93">
        <v>2</v>
      </c>
      <c r="J18" s="93">
        <v>959</v>
      </c>
      <c r="K18" s="93">
        <v>123.09</v>
      </c>
      <c r="L18" s="92">
        <f t="shared" si="33"/>
        <v>174787.80000000002</v>
      </c>
      <c r="M18" s="89">
        <v>107</v>
      </c>
      <c r="N18" s="89">
        <v>69</v>
      </c>
      <c r="O18" s="89">
        <v>1839</v>
      </c>
      <c r="P18" s="89">
        <v>41</v>
      </c>
      <c r="Q18" s="233">
        <f t="shared" si="12"/>
        <v>9.8571428571428577</v>
      </c>
      <c r="R18" s="92">
        <f t="shared" si="13"/>
        <v>4.1428571428571432</v>
      </c>
      <c r="S18" s="93">
        <v>29</v>
      </c>
      <c r="T18" s="93">
        <v>0</v>
      </c>
      <c r="U18" s="92">
        <f t="shared" si="14"/>
        <v>29</v>
      </c>
      <c r="V18" s="93">
        <v>34931</v>
      </c>
      <c r="W18" s="93">
        <v>0</v>
      </c>
      <c r="X18" s="92">
        <f t="shared" si="15"/>
        <v>34931</v>
      </c>
      <c r="Y18" s="93">
        <v>52960.98</v>
      </c>
      <c r="Z18" s="93">
        <v>0</v>
      </c>
      <c r="AA18" s="92">
        <f t="shared" si="16"/>
        <v>52960.98</v>
      </c>
      <c r="AB18" s="92">
        <f t="shared" si="17"/>
        <v>52025.31</v>
      </c>
      <c r="AC18" s="234">
        <f t="shared" si="18"/>
        <v>1.844637404791992E-2</v>
      </c>
      <c r="AD18" s="92">
        <f t="shared" si="19"/>
        <v>3569.61</v>
      </c>
      <c r="AE18" s="93">
        <v>19919.849999999999</v>
      </c>
      <c r="AF18" s="234">
        <f t="shared" si="20"/>
        <v>0.37612313820476884</v>
      </c>
      <c r="AG18" s="93">
        <v>4261.2000000000025</v>
      </c>
      <c r="AH18" s="93"/>
      <c r="AI18" s="93">
        <v>13350</v>
      </c>
      <c r="AJ18" s="93"/>
      <c r="AK18" s="93"/>
      <c r="AL18" s="122">
        <f t="shared" si="21"/>
        <v>372.30549763433595</v>
      </c>
      <c r="AM18" s="93">
        <v>0</v>
      </c>
      <c r="AN18" s="94">
        <f t="shared" si="22"/>
        <v>1994.5600999999999</v>
      </c>
      <c r="AO18" s="95">
        <f t="shared" si="24"/>
        <v>9493.4544023656636</v>
      </c>
      <c r="AP18" s="96"/>
      <c r="AQ18" s="97">
        <f t="shared" si="5"/>
        <v>1826.2406896551724</v>
      </c>
      <c r="AR18" s="98">
        <f t="shared" si="6"/>
        <v>123.09</v>
      </c>
      <c r="AS18" s="98">
        <f t="shared" si="7"/>
        <v>686.89137931034475</v>
      </c>
      <c r="AT18" s="98">
        <f t="shared" si="8"/>
        <v>146.93793103448286</v>
      </c>
      <c r="AU18" s="98">
        <f t="shared" si="23"/>
        <v>460.34482758620692</v>
      </c>
      <c r="AV18" s="98">
        <f t="array" ref="AV18">_xlfn.IFS(U18=0,AO18,U18&lt;0,AO18/-U18,U18&gt;0,AO18/U18)</f>
        <v>327.36049663329874</v>
      </c>
      <c r="AW18" s="234">
        <f t="shared" si="31"/>
        <v>0.17925375252432382</v>
      </c>
      <c r="AX18" s="234">
        <f t="shared" si="32"/>
        <v>2.6595214609903222</v>
      </c>
      <c r="AY18" s="99"/>
      <c r="AZ18" s="94">
        <f t="shared" si="11"/>
        <v>464851.90521928424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93">
        <v>0</v>
      </c>
      <c r="AF19" s="234">
        <f t="shared" si="20"/>
        <v>0</v>
      </c>
      <c r="AG19" s="93">
        <v>0</v>
      </c>
      <c r="AH19" s="93"/>
      <c r="AI19" s="93"/>
      <c r="AJ19" s="93"/>
      <c r="AK19" s="93"/>
      <c r="AL19" s="122">
        <f t="shared" si="21"/>
        <v>0</v>
      </c>
      <c r="AM19" s="93">
        <v>0</v>
      </c>
      <c r="AN19" s="94">
        <f t="shared" si="22"/>
        <v>0</v>
      </c>
      <c r="AO19" s="95">
        <f t="shared" si="24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300</v>
      </c>
      <c r="F20" s="93">
        <v>1</v>
      </c>
      <c r="G20" s="93" t="s">
        <v>100</v>
      </c>
      <c r="H20" s="93">
        <v>157</v>
      </c>
      <c r="I20" s="93">
        <v>1</v>
      </c>
      <c r="J20" s="93">
        <v>141</v>
      </c>
      <c r="K20" s="93">
        <v>117.24</v>
      </c>
      <c r="L20" s="92">
        <f t="shared" si="33"/>
        <v>35172</v>
      </c>
      <c r="M20" s="89">
        <v>102</v>
      </c>
      <c r="N20" s="89">
        <v>4</v>
      </c>
      <c r="O20" s="89">
        <v>1201</v>
      </c>
      <c r="P20" s="89">
        <v>33</v>
      </c>
      <c r="Q20" s="233">
        <f t="shared" si="12"/>
        <v>0.5714285714285714</v>
      </c>
      <c r="R20" s="92">
        <f t="shared" si="13"/>
        <v>0.5714285714285714</v>
      </c>
      <c r="S20" s="93">
        <v>5</v>
      </c>
      <c r="T20" s="93">
        <v>-1</v>
      </c>
      <c r="U20" s="92">
        <f t="shared" si="14"/>
        <v>4</v>
      </c>
      <c r="V20" s="93">
        <v>4280</v>
      </c>
      <c r="W20" s="93">
        <v>-824</v>
      </c>
      <c r="X20" s="92">
        <f t="shared" si="15"/>
        <v>3456</v>
      </c>
      <c r="Y20" s="93">
        <v>6397</v>
      </c>
      <c r="Z20" s="93">
        <v>-1201</v>
      </c>
      <c r="AA20" s="92">
        <f t="shared" si="16"/>
        <v>5196</v>
      </c>
      <c r="AB20" s="92">
        <f t="shared" si="17"/>
        <v>1585.32</v>
      </c>
      <c r="AC20" s="234">
        <f t="shared" si="18"/>
        <v>1.8097731490805478E-3</v>
      </c>
      <c r="AD20" s="92">
        <f t="shared" si="19"/>
        <v>468.96</v>
      </c>
      <c r="AE20" s="93">
        <v>1944.1499999999996</v>
      </c>
      <c r="AF20" s="234">
        <f t="shared" si="20"/>
        <v>0.37416281755196296</v>
      </c>
      <c r="AG20" s="93">
        <v>463.49</v>
      </c>
      <c r="AH20" s="93"/>
      <c r="AI20" s="93">
        <v>1081</v>
      </c>
      <c r="AJ20" s="93"/>
      <c r="AK20" s="93"/>
      <c r="AL20" s="122">
        <f t="shared" si="21"/>
        <v>146.49614819195673</v>
      </c>
      <c r="AM20" s="93">
        <v>0</v>
      </c>
      <c r="AN20" s="94">
        <f t="shared" si="22"/>
        <v>197.33759999999998</v>
      </c>
      <c r="AO20" s="95">
        <f t="shared" si="24"/>
        <v>894.56625180804383</v>
      </c>
      <c r="AP20" s="96"/>
      <c r="AQ20" s="97">
        <f t="shared" si="5"/>
        <v>1299</v>
      </c>
      <c r="AR20" s="98">
        <f>K20</f>
        <v>117.24</v>
      </c>
      <c r="AS20" s="98">
        <f t="shared" si="7"/>
        <v>486.03749999999991</v>
      </c>
      <c r="AT20" s="98">
        <f t="shared" si="8"/>
        <v>92.698000000000008</v>
      </c>
      <c r="AU20" s="98">
        <f t="shared" si="23"/>
        <v>216.2</v>
      </c>
      <c r="AV20" s="98">
        <f t="array" ref="AV20">_xlfn.IFS(U20=0,AO20,U20&lt;0,AO20/-U20,U20&gt;0,AO20/U20)</f>
        <v>223.64156295201096</v>
      </c>
      <c r="AW20" s="234">
        <f t="shared" si="31"/>
        <v>0.17216440565974669</v>
      </c>
      <c r="AX20" s="234">
        <f t="shared" si="32"/>
        <v>1.9075534199250339</v>
      </c>
      <c r="AY20" s="99"/>
      <c r="AZ20" s="94">
        <f t="shared" si="11"/>
        <v>67092.468885603288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306</v>
      </c>
      <c r="F21" s="93">
        <v>4</v>
      </c>
      <c r="G21" s="93" t="s">
        <v>100</v>
      </c>
      <c r="H21" s="93">
        <v>154</v>
      </c>
      <c r="I21" s="93">
        <v>1</v>
      </c>
      <c r="J21" s="93">
        <v>147</v>
      </c>
      <c r="K21" s="93">
        <v>117.24</v>
      </c>
      <c r="L21" s="92">
        <f t="shared" si="33"/>
        <v>35875.439999999995</v>
      </c>
      <c r="M21" s="89">
        <v>117</v>
      </c>
      <c r="N21" s="89">
        <v>8</v>
      </c>
      <c r="O21" s="89">
        <v>1201</v>
      </c>
      <c r="P21" s="89">
        <v>33</v>
      </c>
      <c r="Q21" s="233">
        <f t="shared" si="12"/>
        <v>1.1428571428571428</v>
      </c>
      <c r="R21" s="92">
        <f t="shared" si="13"/>
        <v>0.2857142857142857</v>
      </c>
      <c r="S21" s="93">
        <v>3</v>
      </c>
      <c r="T21" s="93">
        <v>-1</v>
      </c>
      <c r="U21" s="92">
        <f t="shared" si="14"/>
        <v>2</v>
      </c>
      <c r="V21" s="93">
        <v>2406</v>
      </c>
      <c r="W21" s="93">
        <v>-824</v>
      </c>
      <c r="X21" s="92">
        <f t="shared" si="15"/>
        <v>1582</v>
      </c>
      <c r="Y21" s="93">
        <v>3577</v>
      </c>
      <c r="Z21" s="93">
        <v>-1201</v>
      </c>
      <c r="AA21" s="92">
        <f t="shared" si="16"/>
        <v>2376</v>
      </c>
      <c r="AB21" s="92">
        <f t="shared" si="17"/>
        <v>3170.64</v>
      </c>
      <c r="AC21" s="234">
        <f t="shared" si="18"/>
        <v>8.2756370327470769E-4</v>
      </c>
      <c r="AD21" s="92">
        <f t="shared" si="19"/>
        <v>234.48</v>
      </c>
      <c r="AE21" s="93">
        <v>900.81</v>
      </c>
      <c r="AF21" s="234">
        <f t="shared" si="20"/>
        <v>0.37912878787878784</v>
      </c>
      <c r="AG21" s="93">
        <v>498.53</v>
      </c>
      <c r="AH21" s="93">
        <v>791</v>
      </c>
      <c r="AI21" s="93">
        <v>532</v>
      </c>
      <c r="AJ21" s="93"/>
      <c r="AK21" s="93"/>
      <c r="AL21" s="122">
        <f t="shared" si="21"/>
        <v>143.69685873605945</v>
      </c>
      <c r="AM21" s="93">
        <v>0</v>
      </c>
      <c r="AN21" s="94">
        <f t="shared" si="22"/>
        <v>90.3322</v>
      </c>
      <c r="AO21" s="95">
        <f t="shared" si="24"/>
        <v>-814.84905873605931</v>
      </c>
      <c r="AP21" s="96"/>
      <c r="AQ21" s="97">
        <f t="shared" si="5"/>
        <v>1188</v>
      </c>
      <c r="AR21" s="98">
        <f t="shared" ref="AR21:AR98" si="34">K21</f>
        <v>117.24</v>
      </c>
      <c r="AS21" s="98">
        <f t="shared" si="7"/>
        <v>450.40499999999997</v>
      </c>
      <c r="AT21" s="98">
        <f t="shared" si="8"/>
        <v>166.17666666666665</v>
      </c>
      <c r="AU21" s="98">
        <f t="shared" si="23"/>
        <v>441</v>
      </c>
      <c r="AV21" s="98">
        <f t="array" ref="AV21">_xlfn.IFS(U21=0,AO21,U21&lt;0,AO21/-U21,U21&gt;0,AO21/U21)</f>
        <v>-407.42452936802965</v>
      </c>
      <c r="AW21" s="234">
        <f t="shared" si="31"/>
        <v>-0.3429499405454795</v>
      </c>
      <c r="AX21" s="234">
        <f t="shared" si="32"/>
        <v>-3.4751324579326992</v>
      </c>
      <c r="AY21" s="99"/>
      <c r="AZ21" s="94">
        <f t="shared" si="11"/>
        <v>-124671.90598661707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296</v>
      </c>
      <c r="F22" s="93">
        <v>4</v>
      </c>
      <c r="G22" s="93" t="s">
        <v>100</v>
      </c>
      <c r="H22" s="93">
        <v>144</v>
      </c>
      <c r="I22" s="93">
        <v>1</v>
      </c>
      <c r="J22" s="93">
        <v>147</v>
      </c>
      <c r="K22" s="93">
        <v>117.24</v>
      </c>
      <c r="L22" s="92">
        <f t="shared" si="33"/>
        <v>34703.040000000001</v>
      </c>
      <c r="M22" s="89">
        <v>76</v>
      </c>
      <c r="N22" s="89">
        <v>8</v>
      </c>
      <c r="O22" s="89">
        <v>1201</v>
      </c>
      <c r="P22" s="89">
        <v>100</v>
      </c>
      <c r="Q22" s="233">
        <f t="shared" si="12"/>
        <v>1.1428571428571428</v>
      </c>
      <c r="R22" s="92">
        <f t="shared" si="13"/>
        <v>1</v>
      </c>
      <c r="S22" s="93">
        <v>7</v>
      </c>
      <c r="T22" s="93">
        <v>0</v>
      </c>
      <c r="U22" s="92">
        <f t="shared" si="14"/>
        <v>7</v>
      </c>
      <c r="V22" s="93">
        <v>5719.95</v>
      </c>
      <c r="W22" s="93">
        <v>0</v>
      </c>
      <c r="X22" s="92">
        <f t="shared" si="15"/>
        <v>5719.95</v>
      </c>
      <c r="Y22" s="93">
        <v>8418.66</v>
      </c>
      <c r="Z22" s="93">
        <v>0</v>
      </c>
      <c r="AA22" s="92">
        <f t="shared" si="16"/>
        <v>8418.66</v>
      </c>
      <c r="AB22" s="92">
        <f t="shared" si="17"/>
        <v>9608</v>
      </c>
      <c r="AC22" s="234">
        <f t="shared" si="18"/>
        <v>2.9322295649034727E-3</v>
      </c>
      <c r="AD22" s="92">
        <f t="shared" si="19"/>
        <v>820.68</v>
      </c>
      <c r="AE22" s="93">
        <v>3161.66</v>
      </c>
      <c r="AF22" s="234">
        <f t="shared" si="20"/>
        <v>0.37555382923173047</v>
      </c>
      <c r="AG22" s="93">
        <v>692.9899999999999</v>
      </c>
      <c r="AH22" s="93"/>
      <c r="AI22" s="93">
        <v>1000</v>
      </c>
      <c r="AJ22" s="93"/>
      <c r="AK22" s="93"/>
      <c r="AL22" s="122">
        <f t="shared" si="21"/>
        <v>134.36589388306859</v>
      </c>
      <c r="AM22" s="93">
        <v>0</v>
      </c>
      <c r="AN22" s="94">
        <f t="shared" si="22"/>
        <v>326.60914499999996</v>
      </c>
      <c r="AO22" s="95">
        <f t="shared" si="24"/>
        <v>2282.3549611169315</v>
      </c>
      <c r="AP22" s="96"/>
      <c r="AQ22" s="97">
        <f t="shared" si="5"/>
        <v>1202.6657142857143</v>
      </c>
      <c r="AR22" s="98">
        <f t="shared" si="34"/>
        <v>117.24</v>
      </c>
      <c r="AS22" s="98">
        <f t="shared" si="7"/>
        <v>451.66571428571427</v>
      </c>
      <c r="AT22" s="98">
        <f t="shared" si="8"/>
        <v>98.99857142857141</v>
      </c>
      <c r="AU22" s="98">
        <f t="shared" si="23"/>
        <v>142.85714285714286</v>
      </c>
      <c r="AV22" s="98">
        <f t="array" ref="AV22">_xlfn.IFS(U22=0,AO22,U22&lt;0,AO22/-U22,U22&gt;0,AO22/U22)</f>
        <v>326.05070873099021</v>
      </c>
      <c r="AW22" s="234">
        <f t="shared" si="31"/>
        <v>0.27110667981803888</v>
      </c>
      <c r="AX22" s="234">
        <f t="shared" si="32"/>
        <v>2.7810534692169075</v>
      </c>
      <c r="AY22" s="99"/>
      <c r="AZ22" s="94">
        <f t="shared" si="11"/>
        <v>96511.009784373106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93">
        <v>0</v>
      </c>
      <c r="AF23" s="234">
        <f t="shared" si="20"/>
        <v>0</v>
      </c>
      <c r="AG23" s="93">
        <v>0</v>
      </c>
      <c r="AH23" s="93"/>
      <c r="AI23" s="93"/>
      <c r="AJ23" s="93"/>
      <c r="AK23" s="93"/>
      <c r="AL23" s="122">
        <f t="shared" si="21"/>
        <v>0</v>
      </c>
      <c r="AM23" s="93">
        <v>0</v>
      </c>
      <c r="AN23" s="94">
        <f t="shared" si="22"/>
        <v>0</v>
      </c>
      <c r="AO23" s="95">
        <f t="shared" si="24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27</v>
      </c>
      <c r="F24" s="93">
        <v>1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3165.48</v>
      </c>
      <c r="M24" s="89">
        <v>129</v>
      </c>
      <c r="N24" s="89">
        <v>2</v>
      </c>
      <c r="O24" s="89">
        <v>918</v>
      </c>
      <c r="P24" s="89">
        <v>0</v>
      </c>
      <c r="Q24" s="233">
        <f t="shared" si="12"/>
        <v>0.2857142857142857</v>
      </c>
      <c r="R24" s="92">
        <f t="shared" si="13"/>
        <v>0.14285714285714285</v>
      </c>
      <c r="S24" s="93">
        <v>1</v>
      </c>
      <c r="T24" s="93">
        <v>0</v>
      </c>
      <c r="U24" s="92">
        <f t="shared" si="14"/>
        <v>1</v>
      </c>
      <c r="V24" s="93">
        <v>615</v>
      </c>
      <c r="W24" s="93">
        <v>0</v>
      </c>
      <c r="X24" s="92">
        <f t="shared" si="15"/>
        <v>615</v>
      </c>
      <c r="Y24" s="93">
        <v>918</v>
      </c>
      <c r="Z24" s="93">
        <v>0</v>
      </c>
      <c r="AA24" s="92">
        <f t="shared" si="16"/>
        <v>918</v>
      </c>
      <c r="AB24" s="92">
        <f t="shared" si="17"/>
        <v>0</v>
      </c>
      <c r="AC24" s="234">
        <f t="shared" si="18"/>
        <v>3.1974052171977345E-4</v>
      </c>
      <c r="AD24" s="92">
        <f t="shared" si="19"/>
        <v>117.24</v>
      </c>
      <c r="AE24" s="93">
        <v>348.20000000000005</v>
      </c>
      <c r="AF24" s="234">
        <f t="shared" si="20"/>
        <v>0.37930283224400879</v>
      </c>
      <c r="AG24" s="93">
        <v>124.82</v>
      </c>
      <c r="AH24" s="93"/>
      <c r="AI24" s="93"/>
      <c r="AJ24" s="93"/>
      <c r="AK24" s="93"/>
      <c r="AL24" s="122">
        <f t="shared" si="21"/>
        <v>23.327412132477189</v>
      </c>
      <c r="AM24" s="93">
        <v>0</v>
      </c>
      <c r="AN24" s="94">
        <f t="shared" si="22"/>
        <v>35.116500000000002</v>
      </c>
      <c r="AO24" s="95">
        <f t="shared" si="24"/>
        <v>269.29608786752271</v>
      </c>
      <c r="AP24" s="96"/>
      <c r="AQ24" s="97">
        <f t="shared" si="5"/>
        <v>918</v>
      </c>
      <c r="AR24" s="98">
        <f t="shared" si="34"/>
        <v>117.24</v>
      </c>
      <c r="AS24" s="98">
        <f t="shared" si="7"/>
        <v>348.20000000000005</v>
      </c>
      <c r="AT24" s="98">
        <f t="shared" si="8"/>
        <v>124.82</v>
      </c>
      <c r="AU24" s="98">
        <f t="shared" si="23"/>
        <v>0</v>
      </c>
      <c r="AV24" s="98">
        <f t="array" ref="AV24">_xlfn.IFS(U24=0,AO24,U24&lt;0,AO24/-U24,U24&gt;0,AO24/U24)</f>
        <v>269.29608786752271</v>
      </c>
      <c r="AW24" s="234">
        <f t="shared" si="31"/>
        <v>0.29335085824348878</v>
      </c>
      <c r="AX24" s="234">
        <f t="shared" si="32"/>
        <v>2.2969642431552604</v>
      </c>
      <c r="AY24" s="99"/>
      <c r="AZ24" s="94">
        <f t="shared" si="11"/>
        <v>7270.9943724231134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93">
        <v>0</v>
      </c>
      <c r="AF25" s="234">
        <f t="shared" si="20"/>
        <v>0</v>
      </c>
      <c r="AG25" s="93">
        <v>0</v>
      </c>
      <c r="AH25" s="93"/>
      <c r="AI25" s="93"/>
      <c r="AJ25" s="93"/>
      <c r="AK25" s="93"/>
      <c r="AL25" s="122">
        <f t="shared" si="21"/>
        <v>0</v>
      </c>
      <c r="AM25" s="93">
        <v>0</v>
      </c>
      <c r="AN25" s="94">
        <f t="shared" si="22"/>
        <v>0</v>
      </c>
      <c r="AO25" s="95">
        <f t="shared" si="24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760</v>
      </c>
      <c r="F26" s="93">
        <v>5</v>
      </c>
      <c r="G26" s="93">
        <v>8</v>
      </c>
      <c r="H26" s="93">
        <v>359</v>
      </c>
      <c r="I26" s="93">
        <v>376</v>
      </c>
      <c r="J26" s="93">
        <v>12</v>
      </c>
      <c r="K26" s="93">
        <v>123.09</v>
      </c>
      <c r="L26" s="92">
        <f t="shared" si="33"/>
        <v>93548.400000000009</v>
      </c>
      <c r="M26" s="89">
        <v>999</v>
      </c>
      <c r="N26" s="89">
        <v>9</v>
      </c>
      <c r="O26" s="89">
        <v>1240</v>
      </c>
      <c r="P26" s="89">
        <v>17</v>
      </c>
      <c r="Q26" s="233">
        <f t="shared" si="12"/>
        <v>1.2857142857142858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3332</v>
      </c>
      <c r="W26" s="93">
        <v>0</v>
      </c>
      <c r="X26" s="92">
        <f t="shared" si="15"/>
        <v>3332</v>
      </c>
      <c r="Y26" s="93">
        <v>4960</v>
      </c>
      <c r="Z26" s="93">
        <v>0</v>
      </c>
      <c r="AA26" s="92">
        <f t="shared" si="16"/>
        <v>4960</v>
      </c>
      <c r="AB26" s="92">
        <f t="shared" si="17"/>
        <v>1897.2</v>
      </c>
      <c r="AC26" s="234">
        <f t="shared" si="18"/>
        <v>1.727574060708144E-3</v>
      </c>
      <c r="AD26" s="92">
        <f t="shared" si="19"/>
        <v>615.45000000000005</v>
      </c>
      <c r="AE26" s="93">
        <v>1538.4900000000002</v>
      </c>
      <c r="AF26" s="234">
        <f t="shared" si="20"/>
        <v>0.310179435483871</v>
      </c>
      <c r="AG26" s="93">
        <v>1332.0300000000002</v>
      </c>
      <c r="AH26" s="93">
        <v>53</v>
      </c>
      <c r="AI26" s="93">
        <v>379</v>
      </c>
      <c r="AJ26" s="93"/>
      <c r="AK26" s="93"/>
      <c r="AL26" s="122">
        <f t="shared" si="21"/>
        <v>334.9816382223724</v>
      </c>
      <c r="AM26" s="93">
        <v>0</v>
      </c>
      <c r="AN26" s="94">
        <f t="shared" si="22"/>
        <v>190.25719999999998</v>
      </c>
      <c r="AO26" s="95">
        <f t="shared" si="24"/>
        <v>516.79116177762739</v>
      </c>
      <c r="AP26" s="96"/>
      <c r="AQ26" s="97">
        <f t="shared" si="5"/>
        <v>992</v>
      </c>
      <c r="AR26" s="98">
        <f t="shared" si="34"/>
        <v>123.09</v>
      </c>
      <c r="AS26" s="98">
        <f t="shared" si="7"/>
        <v>307.69800000000004</v>
      </c>
      <c r="AT26" s="98">
        <f t="shared" si="8"/>
        <v>266.40600000000006</v>
      </c>
      <c r="AU26" s="98">
        <f t="shared" si="23"/>
        <v>86.4</v>
      </c>
      <c r="AV26" s="98">
        <f t="array" ref="AV26">_xlfn.IFS(U26=0,AO26,U26&lt;0,AO26/-U26,U26&gt;0,AO26/U26)</f>
        <v>103.35823235552547</v>
      </c>
      <c r="AW26" s="234">
        <f t="shared" si="31"/>
        <v>0.10419176648742487</v>
      </c>
      <c r="AX26" s="234">
        <f t="shared" si="32"/>
        <v>0.83969642014400414</v>
      </c>
      <c r="AY26" s="99"/>
      <c r="AZ26" s="94">
        <f t="shared" si="11"/>
        <v>78552.256590199366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702</v>
      </c>
      <c r="F27" s="93">
        <v>3</v>
      </c>
      <c r="G27" s="93" t="s">
        <v>100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127476.18000000001</v>
      </c>
      <c r="M27" s="89">
        <v>33</v>
      </c>
      <c r="N27" s="89">
        <v>5</v>
      </c>
      <c r="O27" s="89">
        <v>478</v>
      </c>
      <c r="P27" s="89">
        <v>100</v>
      </c>
      <c r="Q27" s="233">
        <f t="shared" si="12"/>
        <v>0.7142857142857143</v>
      </c>
      <c r="R27" s="92">
        <f t="shared" si="13"/>
        <v>0.2857142857142857</v>
      </c>
      <c r="S27" s="93">
        <v>2</v>
      </c>
      <c r="T27" s="93">
        <v>0</v>
      </c>
      <c r="U27" s="92">
        <f t="shared" si="14"/>
        <v>2</v>
      </c>
      <c r="V27" s="93">
        <v>651.91000000000008</v>
      </c>
      <c r="W27" s="93">
        <v>0</v>
      </c>
      <c r="X27" s="92">
        <f t="shared" si="15"/>
        <v>651.91000000000008</v>
      </c>
      <c r="Y27" s="93">
        <v>956.5</v>
      </c>
      <c r="Z27" s="93">
        <v>0</v>
      </c>
      <c r="AA27" s="92">
        <f t="shared" si="16"/>
        <v>956.5</v>
      </c>
      <c r="AB27" s="92">
        <f t="shared" si="17"/>
        <v>2390</v>
      </c>
      <c r="AC27" s="234">
        <f t="shared" si="18"/>
        <v>3.3315011876357655E-4</v>
      </c>
      <c r="AD27" s="92">
        <f t="shared" si="19"/>
        <v>363.18</v>
      </c>
      <c r="AE27" s="93">
        <v>360.34000000000003</v>
      </c>
      <c r="AF27" s="234">
        <f t="shared" si="20"/>
        <v>0.37672765290120236</v>
      </c>
      <c r="AG27" s="93">
        <v>163.30000000000001</v>
      </c>
      <c r="AH27" s="93"/>
      <c r="AI27" s="93"/>
      <c r="AJ27" s="93"/>
      <c r="AK27" s="93"/>
      <c r="AL27" s="122">
        <f t="shared" si="21"/>
        <v>0.93309648529908751</v>
      </c>
      <c r="AM27" s="93">
        <v>0</v>
      </c>
      <c r="AN27" s="94">
        <f t="shared" si="22"/>
        <v>37.224061000000006</v>
      </c>
      <c r="AO27" s="95">
        <f t="shared" si="24"/>
        <v>31.522842514700798</v>
      </c>
      <c r="AP27" s="96"/>
      <c r="AQ27" s="97">
        <f t="shared" si="5"/>
        <v>478.25</v>
      </c>
      <c r="AR27" s="98">
        <f t="shared" si="34"/>
        <v>181.59</v>
      </c>
      <c r="AS27" s="98">
        <f t="shared" si="7"/>
        <v>180.17000000000002</v>
      </c>
      <c r="AT27" s="98">
        <f t="shared" si="8"/>
        <v>81.650000000000006</v>
      </c>
      <c r="AU27" s="98">
        <f t="shared" si="23"/>
        <v>0</v>
      </c>
      <c r="AV27" s="98">
        <f t="array" ref="AV27">_xlfn.IFS(U27=0,AO27,U27&lt;0,AO27/-U27,U27&gt;0,AO27/U27)</f>
        <v>15.761421257350399</v>
      </c>
      <c r="AW27" s="234">
        <f t="shared" si="31"/>
        <v>3.2956448002823623E-2</v>
      </c>
      <c r="AX27" s="234">
        <f t="shared" si="32"/>
        <v>8.6796746832702235E-2</v>
      </c>
      <c r="AY27" s="99"/>
      <c r="AZ27" s="94">
        <f t="shared" si="11"/>
        <v>11064.517722659981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789</v>
      </c>
      <c r="F28" s="93">
        <v>73</v>
      </c>
      <c r="G28" s="93">
        <v>31</v>
      </c>
      <c r="H28" s="93">
        <v>685</v>
      </c>
      <c r="I28" s="93">
        <v>0</v>
      </c>
      <c r="J28" s="93">
        <v>0</v>
      </c>
      <c r="K28" s="93">
        <v>133.62</v>
      </c>
      <c r="L28" s="92">
        <f t="shared" si="33"/>
        <v>105426.18000000001</v>
      </c>
      <c r="M28" s="89">
        <v>227</v>
      </c>
      <c r="N28" s="89">
        <v>70</v>
      </c>
      <c r="O28" s="89">
        <v>1686</v>
      </c>
      <c r="P28" s="89">
        <v>34</v>
      </c>
      <c r="Q28" s="233">
        <f t="shared" si="12"/>
        <v>10</v>
      </c>
      <c r="R28" s="92">
        <f t="shared" si="13"/>
        <v>4.5714285714285712</v>
      </c>
      <c r="S28" s="93">
        <v>32</v>
      </c>
      <c r="T28" s="93">
        <v>0</v>
      </c>
      <c r="U28" s="92">
        <f t="shared" si="14"/>
        <v>32</v>
      </c>
      <c r="V28" s="93">
        <v>34996.699999999997</v>
      </c>
      <c r="W28" s="93">
        <v>0</v>
      </c>
      <c r="X28" s="92">
        <f t="shared" si="15"/>
        <v>34996.699999999997</v>
      </c>
      <c r="Y28" s="93">
        <v>52266.83</v>
      </c>
      <c r="Z28" s="93">
        <v>0</v>
      </c>
      <c r="AA28" s="92">
        <f t="shared" si="16"/>
        <v>52266.83</v>
      </c>
      <c r="AB28" s="92">
        <f t="shared" si="17"/>
        <v>40126.800000000003</v>
      </c>
      <c r="AC28" s="234">
        <f t="shared" si="18"/>
        <v>1.8204600754726259E-2</v>
      </c>
      <c r="AD28" s="92">
        <f t="shared" si="19"/>
        <v>4275.84</v>
      </c>
      <c r="AE28" s="93">
        <v>19419.840000000011</v>
      </c>
      <c r="AF28" s="234">
        <f t="shared" si="20"/>
        <v>0.3715519001248021</v>
      </c>
      <c r="AG28" s="93">
        <v>8129.1399999999521</v>
      </c>
      <c r="AH28" s="93">
        <v>1152</v>
      </c>
      <c r="AI28" s="93">
        <f>3648+920</f>
        <v>4568</v>
      </c>
      <c r="AJ28" s="93"/>
      <c r="AK28" s="93"/>
      <c r="AL28" s="122">
        <f t="shared" si="21"/>
        <v>639.17109242987499</v>
      </c>
      <c r="AM28" s="93">
        <v>0</v>
      </c>
      <c r="AN28" s="94">
        <f t="shared" si="22"/>
        <v>1998.3115699999998</v>
      </c>
      <c r="AO28" s="95">
        <f t="shared" si="24"/>
        <v>12084.527337570167</v>
      </c>
      <c r="AP28" s="96"/>
      <c r="AQ28" s="97">
        <f t="shared" si="5"/>
        <v>1633.3384375000001</v>
      </c>
      <c r="AR28" s="98">
        <f t="shared" si="34"/>
        <v>133.62</v>
      </c>
      <c r="AS28" s="98">
        <f t="shared" si="7"/>
        <v>606.87000000000035</v>
      </c>
      <c r="AT28" s="98">
        <f t="shared" si="8"/>
        <v>254.0356249999985</v>
      </c>
      <c r="AU28" s="98">
        <f t="shared" si="23"/>
        <v>178.75</v>
      </c>
      <c r="AV28" s="98">
        <f>_xlfn.IFS(U28=0,AO28,U28&lt;0,AO28/-U28,U28&gt;0,AO28/U28)</f>
        <v>377.64147929906773</v>
      </c>
      <c r="AW28" s="234">
        <f t="shared" si="31"/>
        <v>0.23120834643253027</v>
      </c>
      <c r="AX28" s="234">
        <f t="shared" si="32"/>
        <v>2.8262346901591657</v>
      </c>
      <c r="AY28" s="99"/>
      <c r="AZ28" s="94">
        <f t="shared" si="11"/>
        <v>297959.12716696446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93">
        <v>0</v>
      </c>
      <c r="AF29" s="234">
        <f t="shared" si="20"/>
        <v>0</v>
      </c>
      <c r="AG29" s="93">
        <v>0</v>
      </c>
      <c r="AH29" s="93"/>
      <c r="AI29" s="93"/>
      <c r="AJ29" s="93"/>
      <c r="AK29" s="93"/>
      <c r="AL29" s="122">
        <f t="shared" si="21"/>
        <v>0</v>
      </c>
      <c r="AM29" s="93">
        <v>0</v>
      </c>
      <c r="AN29" s="94">
        <f t="shared" si="22"/>
        <v>0</v>
      </c>
      <c r="AO29" s="95">
        <f t="shared" si="24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93">
        <v>0</v>
      </c>
      <c r="AF30" s="234">
        <f t="shared" si="20"/>
        <v>0</v>
      </c>
      <c r="AG30" s="93">
        <v>0</v>
      </c>
      <c r="AH30" s="93"/>
      <c r="AI30" s="93"/>
      <c r="AJ30" s="93"/>
      <c r="AK30" s="93"/>
      <c r="AL30" s="122">
        <f t="shared" si="21"/>
        <v>0</v>
      </c>
      <c r="AM30" s="93">
        <v>0</v>
      </c>
      <c r="AN30" s="94">
        <f t="shared" si="22"/>
        <v>0</v>
      </c>
      <c r="AO30" s="95">
        <f t="shared" si="24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93">
        <v>0</v>
      </c>
      <c r="AF31" s="234">
        <f t="shared" si="20"/>
        <v>0</v>
      </c>
      <c r="AG31" s="93">
        <v>0</v>
      </c>
      <c r="AH31" s="93"/>
      <c r="AI31" s="93"/>
      <c r="AJ31" s="93"/>
      <c r="AK31" s="93"/>
      <c r="AL31" s="122">
        <f t="shared" si="21"/>
        <v>0</v>
      </c>
      <c r="AM31" s="93">
        <v>0</v>
      </c>
      <c r="AN31" s="94">
        <f t="shared" si="22"/>
        <v>0</v>
      </c>
      <c r="AO31" s="95">
        <f t="shared" si="24"/>
        <v>0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93">
        <v>0</v>
      </c>
      <c r="AF32" s="234">
        <f t="shared" si="20"/>
        <v>0</v>
      </c>
      <c r="AG32" s="93">
        <v>0</v>
      </c>
      <c r="AH32" s="93"/>
      <c r="AI32" s="93"/>
      <c r="AJ32" s="93"/>
      <c r="AK32" s="93"/>
      <c r="AL32" s="122">
        <f t="shared" si="21"/>
        <v>0</v>
      </c>
      <c r="AM32" s="93">
        <v>0</v>
      </c>
      <c r="AN32" s="94">
        <f t="shared" si="22"/>
        <v>0</v>
      </c>
      <c r="AO32" s="95">
        <f t="shared" si="24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258</v>
      </c>
      <c r="F33" s="93">
        <v>2</v>
      </c>
      <c r="G33" s="93">
        <v>1</v>
      </c>
      <c r="H33" s="93">
        <v>116</v>
      </c>
      <c r="I33" s="93">
        <v>20</v>
      </c>
      <c r="J33" s="93">
        <v>119</v>
      </c>
      <c r="K33" s="93">
        <v>123.09</v>
      </c>
      <c r="L33" s="92">
        <f>E33*K33</f>
        <v>31757.22</v>
      </c>
      <c r="M33" s="89">
        <v>430</v>
      </c>
      <c r="N33" s="89">
        <v>4</v>
      </c>
      <c r="O33" s="89">
        <v>1500</v>
      </c>
      <c r="P33" s="89">
        <v>50</v>
      </c>
      <c r="Q33" s="233">
        <f t="shared" si="12"/>
        <v>0.5714285714285714</v>
      </c>
      <c r="R33" s="92">
        <f t="shared" si="13"/>
        <v>0.14285714285714285</v>
      </c>
      <c r="S33" s="93">
        <v>1</v>
      </c>
      <c r="T33" s="93">
        <v>0</v>
      </c>
      <c r="U33" s="92">
        <f t="shared" si="14"/>
        <v>1</v>
      </c>
      <c r="V33" s="93">
        <v>968</v>
      </c>
      <c r="W33" s="93">
        <v>0</v>
      </c>
      <c r="X33" s="92">
        <f t="shared" si="15"/>
        <v>968</v>
      </c>
      <c r="Y33" s="93">
        <v>1500</v>
      </c>
      <c r="Z33" s="93">
        <v>0</v>
      </c>
      <c r="AA33" s="92">
        <f t="shared" si="16"/>
        <v>1500</v>
      </c>
      <c r="AB33" s="92">
        <f t="shared" si="17"/>
        <v>3000</v>
      </c>
      <c r="AC33" s="234">
        <f t="shared" si="18"/>
        <v>5.2245183287544684E-4</v>
      </c>
      <c r="AD33" s="92">
        <f t="shared" si="19"/>
        <v>123.09</v>
      </c>
      <c r="AE33" s="93">
        <v>567.47</v>
      </c>
      <c r="AF33" s="234">
        <f t="shared" si="20"/>
        <v>0.37831333333333333</v>
      </c>
      <c r="AG33" s="93">
        <v>435.87999999999988</v>
      </c>
      <c r="AH33" s="93">
        <v>72</v>
      </c>
      <c r="AI33" s="93">
        <v>976</v>
      </c>
      <c r="AJ33" s="93"/>
      <c r="AK33" s="93"/>
      <c r="AL33" s="122">
        <f t="shared" si="21"/>
        <v>108.23919229469413</v>
      </c>
      <c r="AM33" s="93">
        <v>0</v>
      </c>
      <c r="AN33" s="94">
        <f t="shared" si="22"/>
        <v>55.272799999999997</v>
      </c>
      <c r="AO33" s="95">
        <f t="shared" si="24"/>
        <v>-837.95199229469392</v>
      </c>
      <c r="AP33" s="96"/>
      <c r="AQ33" s="97">
        <f t="shared" si="5"/>
        <v>1500</v>
      </c>
      <c r="AR33" s="98">
        <f t="shared" si="34"/>
        <v>123.09</v>
      </c>
      <c r="AS33" s="98">
        <f t="shared" si="7"/>
        <v>567.47</v>
      </c>
      <c r="AT33" s="98">
        <f t="shared" si="8"/>
        <v>435.87999999999988</v>
      </c>
      <c r="AU33" s="98">
        <f t="shared" si="23"/>
        <v>1048</v>
      </c>
      <c r="AV33" s="98">
        <f t="array" ref="AV33">_xlfn.IFS(U33=0,AO33,U33&lt;0,AO33/-U33,U33&gt;0,AO33/U33)</f>
        <v>-837.95199229469392</v>
      </c>
      <c r="AW33" s="234">
        <f>IF(AQ33=0,0,AV33/AQ33)</f>
        <v>-0.55863466152979591</v>
      </c>
      <c r="AX33" s="234">
        <f>IF(AR33=0,0,AV33/AR33)</f>
        <v>-6.8076366260028749</v>
      </c>
      <c r="AY33" s="99"/>
      <c r="AZ33" s="94">
        <f t="shared" si="11"/>
        <v>-216191.61401203103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1</v>
      </c>
      <c r="O34" s="89">
        <v>439</v>
      </c>
      <c r="P34" s="89">
        <v>0</v>
      </c>
      <c r="Q34" s="233">
        <f t="shared" si="12"/>
        <v>0.14285714285714285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93">
        <v>0</v>
      </c>
      <c r="AF34" s="234">
        <f t="shared" si="20"/>
        <v>0</v>
      </c>
      <c r="AG34" s="93">
        <v>94.37</v>
      </c>
      <c r="AH34" s="93"/>
      <c r="AI34" s="93"/>
      <c r="AJ34" s="93"/>
      <c r="AK34" s="93"/>
      <c r="AL34" s="122">
        <f t="shared" si="21"/>
        <v>0</v>
      </c>
      <c r="AM34" s="93">
        <v>0</v>
      </c>
      <c r="AN34" s="94">
        <f t="shared" si="22"/>
        <v>0</v>
      </c>
      <c r="AO34" s="95">
        <f t="shared" si="24"/>
        <v>-94.37</v>
      </c>
      <c r="AP34" s="96"/>
      <c r="AQ34" s="97">
        <f t="shared" si="5"/>
        <v>0</v>
      </c>
      <c r="AR34" s="98">
        <f t="shared" si="34"/>
        <v>117.24</v>
      </c>
      <c r="AS34" s="98">
        <f t="shared" si="7"/>
        <v>0</v>
      </c>
      <c r="AT34" s="98">
        <f t="shared" si="8"/>
        <v>94.37</v>
      </c>
      <c r="AU34" s="98">
        <f t="shared" si="23"/>
        <v>0</v>
      </c>
      <c r="AV34" s="98">
        <f t="array" ref="AV34">_xlfn.IFS(U34=0,AO34,U34&lt;0,AO34/-U34,U34&gt;0,AO34/U34)</f>
        <v>-94.37</v>
      </c>
      <c r="AW34" s="234">
        <f>IF(AQ34=0,0,AV34/AQ34)</f>
        <v>0</v>
      </c>
      <c r="AX34" s="234">
        <f>IF(AR34=0,0,AV34/AR34)</f>
        <v>-0.8049300580006824</v>
      </c>
      <c r="AY34" s="99"/>
      <c r="AZ34" s="94">
        <f t="shared" si="11"/>
        <v>-11230.03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93">
        <v>0</v>
      </c>
      <c r="AF35" s="234">
        <f t="shared" si="20"/>
        <v>0</v>
      </c>
      <c r="AG35" s="93">
        <v>0</v>
      </c>
      <c r="AH35" s="93"/>
      <c r="AI35" s="93"/>
      <c r="AJ35" s="93"/>
      <c r="AK35" s="93"/>
      <c r="AL35" s="122">
        <f t="shared" si="21"/>
        <v>0</v>
      </c>
      <c r="AM35" s="93">
        <v>0</v>
      </c>
      <c r="AN35" s="94">
        <f t="shared" si="22"/>
        <v>0</v>
      </c>
      <c r="AO35" s="95">
        <f t="shared" si="24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93">
        <v>0</v>
      </c>
      <c r="AF36" s="234">
        <f t="shared" si="20"/>
        <v>0</v>
      </c>
      <c r="AG36" s="93">
        <v>0</v>
      </c>
      <c r="AH36" s="93"/>
      <c r="AI36" s="93"/>
      <c r="AJ36" s="93"/>
      <c r="AK36" s="93"/>
      <c r="AL36" s="122">
        <f t="shared" si="21"/>
        <v>0</v>
      </c>
      <c r="AM36" s="93">
        <v>0</v>
      </c>
      <c r="AN36" s="94">
        <f t="shared" si="22"/>
        <v>0</v>
      </c>
      <c r="AO36" s="95">
        <f t="shared" si="24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 t="s">
        <v>100</v>
      </c>
      <c r="G37" s="93">
        <v>1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2"/>
        <v>0.14285714285714285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93">
        <v>0</v>
      </c>
      <c r="AF37" s="234">
        <f t="shared" si="20"/>
        <v>0</v>
      </c>
      <c r="AG37" s="93">
        <v>91.89</v>
      </c>
      <c r="AH37" s="93"/>
      <c r="AI37" s="93"/>
      <c r="AJ37" s="93"/>
      <c r="AK37" s="93"/>
      <c r="AL37" s="122">
        <f t="shared" si="21"/>
        <v>0</v>
      </c>
      <c r="AM37" s="93">
        <v>0</v>
      </c>
      <c r="AN37" s="94">
        <f t="shared" si="22"/>
        <v>0</v>
      </c>
      <c r="AO37" s="95">
        <f t="shared" si="24"/>
        <v>-91.89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91.89</v>
      </c>
      <c r="AU37" s="98">
        <f t="shared" si="23"/>
        <v>0</v>
      </c>
      <c r="AV37" s="98">
        <f t="array" ref="AV37">_xlfn.IFS(U37=0,AO37,U37&lt;0,AO37/-U37,U37&gt;0,AO37/U37)</f>
        <v>-91.89</v>
      </c>
      <c r="AW37" s="234">
        <f t="shared" si="42"/>
        <v>0</v>
      </c>
      <c r="AX37" s="234">
        <f t="shared" si="43"/>
        <v>-0.54087939254811945</v>
      </c>
      <c r="AY37" s="99"/>
      <c r="AZ37" s="94">
        <f t="shared" si="11"/>
        <v>-2481.0300000000002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>
        <v>1</v>
      </c>
      <c r="G38" s="93" t="s">
        <v>100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2</v>
      </c>
      <c r="O38" s="89">
        <v>1197</v>
      </c>
      <c r="P38" s="89">
        <v>0</v>
      </c>
      <c r="Q38" s="233">
        <f t="shared" si="12"/>
        <v>0.2857142857142857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93">
        <v>0</v>
      </c>
      <c r="AF38" s="234">
        <f t="shared" si="20"/>
        <v>0</v>
      </c>
      <c r="AG38" s="93">
        <v>78.789999999999992</v>
      </c>
      <c r="AH38" s="93"/>
      <c r="AI38" s="93"/>
      <c r="AJ38" s="93"/>
      <c r="AK38" s="93"/>
      <c r="AL38" s="122">
        <f t="shared" si="21"/>
        <v>39.190052382561674</v>
      </c>
      <c r="AM38" s="93">
        <v>0</v>
      </c>
      <c r="AN38" s="94">
        <f t="shared" si="22"/>
        <v>0</v>
      </c>
      <c r="AO38" s="95">
        <f t="shared" si="24"/>
        <v>-117.98005238256167</v>
      </c>
      <c r="AP38" s="96"/>
      <c r="AQ38" s="97">
        <f t="shared" si="5"/>
        <v>0</v>
      </c>
      <c r="AR38" s="98">
        <f t="shared" si="34"/>
        <v>105.54</v>
      </c>
      <c r="AS38" s="98">
        <f t="shared" si="7"/>
        <v>0</v>
      </c>
      <c r="AT38" s="98">
        <f t="shared" si="8"/>
        <v>78.789999999999992</v>
      </c>
      <c r="AU38" s="98">
        <f t="shared" si="23"/>
        <v>0</v>
      </c>
      <c r="AV38" s="98">
        <f t="array" ref="AV38">_xlfn.IFS(U38=0,AO38,U38&lt;0,AO38/-U38,U38&gt;0,AO38/U38)</f>
        <v>-117.98005238256167</v>
      </c>
      <c r="AW38" s="234">
        <f t="shared" si="42"/>
        <v>0</v>
      </c>
      <c r="AX38" s="234">
        <f t="shared" si="43"/>
        <v>-1.1178704982240066</v>
      </c>
      <c r="AY38" s="99"/>
      <c r="AZ38" s="94">
        <f t="shared" si="11"/>
        <v>-5191.1223048327138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11</v>
      </c>
      <c r="F39" s="93">
        <v>1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1"/>
        <v>1160.94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2"/>
        <v>0.2857142857142857</v>
      </c>
      <c r="R39" s="92">
        <f t="shared" si="13"/>
        <v>-0.14285714285714285</v>
      </c>
      <c r="S39" s="93">
        <v>0</v>
      </c>
      <c r="T39" s="93">
        <v>-1</v>
      </c>
      <c r="U39" s="92">
        <f t="shared" si="14"/>
        <v>-1</v>
      </c>
      <c r="V39" s="93">
        <v>0</v>
      </c>
      <c r="W39" s="93">
        <v>-756</v>
      </c>
      <c r="X39" s="92">
        <f t="shared" si="15"/>
        <v>-756</v>
      </c>
      <c r="Y39" s="93">
        <v>0</v>
      </c>
      <c r="Z39" s="93">
        <v>-1077</v>
      </c>
      <c r="AA39" s="92">
        <f t="shared" si="16"/>
        <v>-1077</v>
      </c>
      <c r="AB39" s="92">
        <f t="shared" si="17"/>
        <v>0</v>
      </c>
      <c r="AC39" s="234">
        <f t="shared" si="18"/>
        <v>-3.751204160045708E-4</v>
      </c>
      <c r="AD39" s="92">
        <f t="shared" si="19"/>
        <v>-105.54</v>
      </c>
      <c r="AE39" s="93">
        <v>-416.53</v>
      </c>
      <c r="AF39" s="234">
        <f t="shared" si="20"/>
        <v>0.38675023212627668</v>
      </c>
      <c r="AG39" s="93">
        <v>134.51999999999998</v>
      </c>
      <c r="AH39" s="93"/>
      <c r="AI39" s="93"/>
      <c r="AJ39" s="93"/>
      <c r="AK39" s="93"/>
      <c r="AL39" s="122">
        <f t="shared" si="21"/>
        <v>7.4647718823927001</v>
      </c>
      <c r="AM39" s="93">
        <v>0</v>
      </c>
      <c r="AN39" s="94">
        <f t="shared" si="22"/>
        <v>-43.1676</v>
      </c>
      <c r="AO39" s="95">
        <f t="shared" si="24"/>
        <v>-653.74717188239276</v>
      </c>
      <c r="AP39" s="96"/>
      <c r="AQ39" s="97">
        <f t="shared" si="5"/>
        <v>1077</v>
      </c>
      <c r="AR39" s="98">
        <f t="shared" si="34"/>
        <v>105.54</v>
      </c>
      <c r="AS39" s="98">
        <f t="shared" si="7"/>
        <v>416.53</v>
      </c>
      <c r="AT39" s="98">
        <f t="shared" si="8"/>
        <v>134.51999999999998</v>
      </c>
      <c r="AU39" s="98">
        <f t="shared" si="23"/>
        <v>0</v>
      </c>
      <c r="AV39" s="98">
        <f t="array" ref="AV39">_xlfn.IFS(U39=0,AO39,U39&lt;0,AO39/-U39,U39&gt;0,AO39/U39)</f>
        <v>-653.74717188239276</v>
      </c>
      <c r="AW39" s="234">
        <f t="shared" si="42"/>
        <v>-0.60700758763453366</v>
      </c>
      <c r="AX39" s="234">
        <f t="shared" si="43"/>
        <v>-6.1943071051960654</v>
      </c>
      <c r="AY39" s="99"/>
      <c r="AZ39" s="94">
        <f t="shared" si="11"/>
        <v>-7191.2188907063201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162</v>
      </c>
      <c r="N40" s="89">
        <v>2</v>
      </c>
      <c r="O40" s="89">
        <v>1197</v>
      </c>
      <c r="P40" s="89">
        <v>0</v>
      </c>
      <c r="Q40" s="233">
        <f t="shared" si="12"/>
        <v>0.2857142857142857</v>
      </c>
      <c r="R40" s="92">
        <f t="shared" si="13"/>
        <v>0</v>
      </c>
      <c r="S40" s="93">
        <v>0</v>
      </c>
      <c r="T40" s="93">
        <v>0</v>
      </c>
      <c r="U40" s="92">
        <f t="shared" si="14"/>
        <v>0</v>
      </c>
      <c r="V40" s="93">
        <v>0</v>
      </c>
      <c r="W40" s="93">
        <v>0</v>
      </c>
      <c r="X40" s="92">
        <f t="shared" si="15"/>
        <v>0</v>
      </c>
      <c r="Y40" s="93">
        <v>0</v>
      </c>
      <c r="Z40" s="93">
        <v>0</v>
      </c>
      <c r="AA40" s="92">
        <f t="shared" si="16"/>
        <v>0</v>
      </c>
      <c r="AB40" s="92">
        <f t="shared" si="17"/>
        <v>0</v>
      </c>
      <c r="AC40" s="234">
        <f t="shared" si="18"/>
        <v>0</v>
      </c>
      <c r="AD40" s="92">
        <f t="shared" si="19"/>
        <v>0</v>
      </c>
      <c r="AE40" s="93">
        <v>0</v>
      </c>
      <c r="AF40" s="234">
        <f t="shared" si="20"/>
        <v>0</v>
      </c>
      <c r="AG40" s="93">
        <v>175.38000000000005</v>
      </c>
      <c r="AH40" s="93"/>
      <c r="AI40" s="93"/>
      <c r="AJ40" s="93"/>
      <c r="AK40" s="93"/>
      <c r="AL40" s="122">
        <f t="shared" si="21"/>
        <v>25.19360510307536</v>
      </c>
      <c r="AM40" s="93">
        <v>0</v>
      </c>
      <c r="AN40" s="94">
        <f t="shared" si="22"/>
        <v>0</v>
      </c>
      <c r="AO40" s="95">
        <f t="shared" si="24"/>
        <v>-200.57360510307541</v>
      </c>
      <c r="AP40" s="96"/>
      <c r="AQ40" s="97">
        <f t="shared" si="5"/>
        <v>0</v>
      </c>
      <c r="AR40" s="98">
        <f t="shared" si="34"/>
        <v>105.54</v>
      </c>
      <c r="AS40" s="98">
        <f t="shared" si="7"/>
        <v>0</v>
      </c>
      <c r="AT40" s="98">
        <f t="shared" si="8"/>
        <v>175.38000000000005</v>
      </c>
      <c r="AU40" s="98">
        <f t="shared" si="23"/>
        <v>0</v>
      </c>
      <c r="AV40" s="98">
        <f t="array" ref="AV40">_xlfn.IFS(U40=0,AO40,U40&lt;0,AO40/-U40,U40&gt;0,AO40/U40)</f>
        <v>-200.57360510307541</v>
      </c>
      <c r="AW40" s="234">
        <f t="shared" si="42"/>
        <v>0</v>
      </c>
      <c r="AX40" s="234">
        <f t="shared" si="43"/>
        <v>-1.9004510621856681</v>
      </c>
      <c r="AY40" s="99"/>
      <c r="AZ40" s="94">
        <f t="shared" si="11"/>
        <v>-5816.634547989187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42</v>
      </c>
      <c r="F41" s="93">
        <v>1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5169.78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2"/>
        <v>0.14285714285714285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93">
        <v>0</v>
      </c>
      <c r="AF41" s="234">
        <f t="shared" si="20"/>
        <v>0</v>
      </c>
      <c r="AG41" s="93">
        <v>0</v>
      </c>
      <c r="AH41" s="93"/>
      <c r="AI41" s="93"/>
      <c r="AJ41" s="93"/>
      <c r="AK41" s="93"/>
      <c r="AL41" s="122">
        <f t="shared" si="21"/>
        <v>37.323859411963497</v>
      </c>
      <c r="AM41" s="93">
        <v>0</v>
      </c>
      <c r="AN41" s="94">
        <f t="shared" si="22"/>
        <v>0</v>
      </c>
      <c r="AO41" s="95">
        <f t="shared" si="24"/>
        <v>-37.323859411963497</v>
      </c>
      <c r="AP41" s="96"/>
      <c r="AQ41" s="97">
        <f t="shared" si="5"/>
        <v>0</v>
      </c>
      <c r="AR41" s="98">
        <f t="shared" si="34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-37.323859411963497</v>
      </c>
      <c r="AW41" s="234">
        <f t="shared" si="42"/>
        <v>0</v>
      </c>
      <c r="AX41" s="234">
        <f t="shared" si="43"/>
        <v>-0.30322414015731169</v>
      </c>
      <c r="AY41" s="99"/>
      <c r="AZ41" s="94">
        <f t="shared" si="11"/>
        <v>-1567.6020953024668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29</v>
      </c>
      <c r="F42" s="93">
        <v>1</v>
      </c>
      <c r="G42" s="93">
        <v>2</v>
      </c>
      <c r="H42" s="93">
        <v>25</v>
      </c>
      <c r="I42" s="93">
        <v>0</v>
      </c>
      <c r="J42" s="93">
        <v>1</v>
      </c>
      <c r="K42" s="92">
        <v>123.09</v>
      </c>
      <c r="L42" s="92">
        <f t="shared" si="41"/>
        <v>3569.61</v>
      </c>
      <c r="M42" s="89">
        <v>171</v>
      </c>
      <c r="N42" s="89">
        <v>3</v>
      </c>
      <c r="O42" s="89">
        <v>1176</v>
      </c>
      <c r="P42" s="89">
        <v>0</v>
      </c>
      <c r="Q42" s="233">
        <f t="shared" si="12"/>
        <v>0.42857142857142855</v>
      </c>
      <c r="R42" s="92">
        <f t="shared" si="13"/>
        <v>0.14285714285714285</v>
      </c>
      <c r="S42" s="93">
        <v>1</v>
      </c>
      <c r="T42" s="93">
        <v>0</v>
      </c>
      <c r="U42" s="92">
        <f t="shared" si="14"/>
        <v>1</v>
      </c>
      <c r="V42" s="93">
        <v>782</v>
      </c>
      <c r="W42" s="93">
        <v>0</v>
      </c>
      <c r="X42" s="92">
        <f t="shared" si="15"/>
        <v>782</v>
      </c>
      <c r="Y42" s="93">
        <v>1176</v>
      </c>
      <c r="Z42" s="93">
        <v>0</v>
      </c>
      <c r="AA42" s="92">
        <f t="shared" si="16"/>
        <v>1176</v>
      </c>
      <c r="AB42" s="92">
        <f t="shared" si="17"/>
        <v>0</v>
      </c>
      <c r="AC42" s="234">
        <f t="shared" si="18"/>
        <v>4.0960223697435031E-4</v>
      </c>
      <c r="AD42" s="92">
        <f t="shared" si="19"/>
        <v>123.09</v>
      </c>
      <c r="AE42" s="93">
        <v>445.82000000000005</v>
      </c>
      <c r="AF42" s="234">
        <f t="shared" si="20"/>
        <v>0.37909863945578237</v>
      </c>
      <c r="AG42" s="93">
        <v>331.47</v>
      </c>
      <c r="AH42" s="93"/>
      <c r="AI42" s="93"/>
      <c r="AJ42" s="93"/>
      <c r="AK42" s="93"/>
      <c r="AL42" s="122">
        <f t="shared" si="21"/>
        <v>23.327412132477189</v>
      </c>
      <c r="AM42" s="93">
        <v>0</v>
      </c>
      <c r="AN42" s="94">
        <f t="shared" si="22"/>
        <v>44.652200000000001</v>
      </c>
      <c r="AO42" s="95">
        <f t="shared" si="24"/>
        <v>207.64038786752283</v>
      </c>
      <c r="AP42" s="96"/>
      <c r="AQ42" s="97">
        <f t="shared" si="5"/>
        <v>1176</v>
      </c>
      <c r="AR42" s="98">
        <f t="shared" si="34"/>
        <v>123.09</v>
      </c>
      <c r="AS42" s="98">
        <f t="shared" si="7"/>
        <v>445.82000000000005</v>
      </c>
      <c r="AT42" s="98">
        <f t="shared" si="8"/>
        <v>331.47</v>
      </c>
      <c r="AU42" s="98">
        <f t="shared" si="23"/>
        <v>0</v>
      </c>
      <c r="AV42" s="98">
        <f t="array" ref="AV42">_xlfn.IFS(U42=0,AO42,U42&lt;0,AO42/-U42,U42&gt;0,AO42/U42)</f>
        <v>207.64038786752283</v>
      </c>
      <c r="AW42" s="234">
        <f t="shared" si="42"/>
        <v>0.17656495566966227</v>
      </c>
      <c r="AX42" s="234">
        <f t="shared" si="43"/>
        <v>1.6868989184135414</v>
      </c>
      <c r="AY42" s="99"/>
      <c r="AZ42" s="94">
        <f t="shared" si="11"/>
        <v>6021.5712481581622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6</v>
      </c>
      <c r="F43" s="93">
        <v>3</v>
      </c>
      <c r="G43" s="93" t="s">
        <v>100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1"/>
        <v>738.54</v>
      </c>
      <c r="M43" s="89">
        <v>999</v>
      </c>
      <c r="N43" s="89">
        <v>5</v>
      </c>
      <c r="O43" s="89">
        <v>1102</v>
      </c>
      <c r="P43" s="89">
        <v>0</v>
      </c>
      <c r="Q43" s="233">
        <f t="shared" si="12"/>
        <v>0.7142857142857143</v>
      </c>
      <c r="R43" s="92">
        <f t="shared" si="13"/>
        <v>0.14285714285714285</v>
      </c>
      <c r="S43" s="93">
        <v>1</v>
      </c>
      <c r="T43" s="93">
        <v>0</v>
      </c>
      <c r="U43" s="92">
        <f t="shared" si="14"/>
        <v>1</v>
      </c>
      <c r="V43" s="93">
        <v>673</v>
      </c>
      <c r="W43" s="93">
        <v>0</v>
      </c>
      <c r="X43" s="92">
        <f t="shared" si="15"/>
        <v>673</v>
      </c>
      <c r="Y43" s="93">
        <v>1068.94</v>
      </c>
      <c r="Z43" s="93">
        <v>0</v>
      </c>
      <c r="AA43" s="92">
        <f t="shared" si="16"/>
        <v>1068.94</v>
      </c>
      <c r="AB43" s="92">
        <f t="shared" si="17"/>
        <v>0</v>
      </c>
      <c r="AC43" s="234">
        <f t="shared" si="18"/>
        <v>3.7231310815592008E-4</v>
      </c>
      <c r="AD43" s="92">
        <f t="shared" si="19"/>
        <v>123.09</v>
      </c>
      <c r="AE43" s="93">
        <v>403.72</v>
      </c>
      <c r="AF43" s="234">
        <f t="shared" si="20"/>
        <v>0.37768256403539957</v>
      </c>
      <c r="AG43" s="93">
        <v>393.39</v>
      </c>
      <c r="AH43" s="93"/>
      <c r="AI43" s="93"/>
      <c r="AJ43" s="93"/>
      <c r="AK43" s="93"/>
      <c r="AL43" s="122">
        <f t="shared" si="21"/>
        <v>1.866192970598175</v>
      </c>
      <c r="AM43" s="93">
        <v>0</v>
      </c>
      <c r="AN43" s="94">
        <f t="shared" si="22"/>
        <v>38.4283</v>
      </c>
      <c r="AO43" s="95">
        <f t="shared" si="24"/>
        <v>108.44550702940182</v>
      </c>
      <c r="AP43" s="96"/>
      <c r="AQ43" s="97">
        <f t="shared" si="5"/>
        <v>1068.94</v>
      </c>
      <c r="AR43" s="98">
        <f t="shared" si="34"/>
        <v>123.09</v>
      </c>
      <c r="AS43" s="98">
        <f t="shared" si="7"/>
        <v>403.72</v>
      </c>
      <c r="AT43" s="98">
        <f t="shared" si="8"/>
        <v>393.39</v>
      </c>
      <c r="AU43" s="98">
        <f t="shared" si="23"/>
        <v>0</v>
      </c>
      <c r="AV43" s="98">
        <f t="array" ref="AV43">_xlfn.IFS(U43=0,AO43,U43&lt;0,AO43/-U43,U43&gt;0,AO43/U43)</f>
        <v>108.44550702940182</v>
      </c>
      <c r="AW43" s="234">
        <f t="shared" si="42"/>
        <v>0.10145144444908209</v>
      </c>
      <c r="AX43" s="234">
        <f t="shared" si="43"/>
        <v>0.88102613558698373</v>
      </c>
      <c r="AY43" s="99"/>
      <c r="AZ43" s="94">
        <f t="shared" si="11"/>
        <v>650.67304217641095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243</v>
      </c>
      <c r="F44" s="93">
        <v>25</v>
      </c>
      <c r="G44" s="93">
        <v>13</v>
      </c>
      <c r="H44" s="93">
        <v>98</v>
      </c>
      <c r="I44" s="93">
        <v>0</v>
      </c>
      <c r="J44" s="93">
        <v>107</v>
      </c>
      <c r="K44" s="92">
        <v>111.39</v>
      </c>
      <c r="L44" s="92">
        <f t="shared" si="41"/>
        <v>27067.77</v>
      </c>
      <c r="M44" s="89">
        <v>25</v>
      </c>
      <c r="N44" s="89">
        <v>49</v>
      </c>
      <c r="O44" s="89">
        <v>1260</v>
      </c>
      <c r="P44" s="89">
        <v>33</v>
      </c>
      <c r="Q44" s="233">
        <f t="shared" si="12"/>
        <v>7</v>
      </c>
      <c r="R44" s="92">
        <f t="shared" si="13"/>
        <v>2.5714285714285716</v>
      </c>
      <c r="S44" s="93">
        <v>19</v>
      </c>
      <c r="T44" s="93">
        <v>-1</v>
      </c>
      <c r="U44" s="92">
        <f t="shared" si="14"/>
        <v>18</v>
      </c>
      <c r="V44" s="93">
        <v>15808.44</v>
      </c>
      <c r="W44" s="93">
        <v>-827</v>
      </c>
      <c r="X44" s="92">
        <f t="shared" si="15"/>
        <v>14981.44</v>
      </c>
      <c r="Y44" s="93">
        <v>23812.510000000002</v>
      </c>
      <c r="Z44" s="93">
        <v>-1260</v>
      </c>
      <c r="AA44" s="92">
        <f t="shared" si="16"/>
        <v>22552.510000000002</v>
      </c>
      <c r="AB44" s="92">
        <f t="shared" si="17"/>
        <v>20374.2</v>
      </c>
      <c r="AC44" s="234">
        <f t="shared" si="18"/>
        <v>7.8550667902945633E-3</v>
      </c>
      <c r="AD44" s="92">
        <f t="shared" si="19"/>
        <v>2005.02</v>
      </c>
      <c r="AE44" s="93">
        <v>8598.2600000000039</v>
      </c>
      <c r="AF44" s="234">
        <f t="shared" si="20"/>
        <v>0.38125512415247809</v>
      </c>
      <c r="AG44" s="93">
        <v>4187.7000000000025</v>
      </c>
      <c r="AH44" s="93">
        <v>260</v>
      </c>
      <c r="AI44" s="93">
        <v>1575</v>
      </c>
      <c r="AJ44" s="93"/>
      <c r="AK44" s="93"/>
      <c r="AL44" s="122">
        <f t="shared" si="21"/>
        <v>91.443455559310578</v>
      </c>
      <c r="AM44" s="93">
        <v>841</v>
      </c>
      <c r="AN44" s="94">
        <f t="shared" si="22"/>
        <v>855.44022399999994</v>
      </c>
      <c r="AO44" s="95">
        <f t="shared" si="24"/>
        <v>4138.6463204406846</v>
      </c>
      <c r="AP44" s="96"/>
      <c r="AQ44" s="97">
        <f t="shared" si="5"/>
        <v>1252.9172222222223</v>
      </c>
      <c r="AR44" s="98">
        <f t="shared" si="34"/>
        <v>111.39</v>
      </c>
      <c r="AS44" s="98">
        <f t="shared" si="7"/>
        <v>477.68111111111131</v>
      </c>
      <c r="AT44" s="98">
        <f t="shared" si="8"/>
        <v>220.40526315789486</v>
      </c>
      <c r="AU44" s="98">
        <f t="shared" si="23"/>
        <v>96.578947368421055</v>
      </c>
      <c r="AV44" s="98">
        <f t="array" ref="AV44">_xlfn.IFS(U44=0,AO44,U44&lt;0,AO44/-U44,U44&gt;0,AO44/U44)</f>
        <v>229.92479558003802</v>
      </c>
      <c r="AW44" s="234">
        <f t="shared" si="42"/>
        <v>0.18351156126039558</v>
      </c>
      <c r="AX44" s="234">
        <f t="shared" si="43"/>
        <v>2.0641421633902328</v>
      </c>
      <c r="AY44" s="99"/>
      <c r="AZ44" s="94">
        <f t="shared" si="11"/>
        <v>55871.725325949243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151</v>
      </c>
      <c r="F45" s="93">
        <v>44</v>
      </c>
      <c r="G45" s="93">
        <v>13</v>
      </c>
      <c r="H45" s="93">
        <v>93</v>
      </c>
      <c r="I45" s="93">
        <v>0</v>
      </c>
      <c r="J45" s="93">
        <v>1</v>
      </c>
      <c r="K45" s="92">
        <v>107.88</v>
      </c>
      <c r="L45" s="92">
        <f t="shared" si="41"/>
        <v>16289.88</v>
      </c>
      <c r="M45" s="89">
        <v>999</v>
      </c>
      <c r="N45" s="89">
        <v>59</v>
      </c>
      <c r="O45" s="89">
        <v>1913</v>
      </c>
      <c r="P45" s="89">
        <v>48</v>
      </c>
      <c r="Q45" s="233">
        <f t="shared" si="12"/>
        <v>8.4285714285714288</v>
      </c>
      <c r="R45" s="92">
        <f t="shared" si="13"/>
        <v>2.8571428571428572</v>
      </c>
      <c r="S45" s="93">
        <v>22</v>
      </c>
      <c r="T45" s="93">
        <v>-2</v>
      </c>
      <c r="U45" s="92">
        <f t="shared" si="14"/>
        <v>20</v>
      </c>
      <c r="V45" s="93">
        <v>28322.639999999999</v>
      </c>
      <c r="W45" s="93">
        <v>-2557</v>
      </c>
      <c r="X45" s="92">
        <f t="shared" si="15"/>
        <v>25765.64</v>
      </c>
      <c r="Y45" s="93">
        <v>41910.400000000001</v>
      </c>
      <c r="Z45" s="93">
        <v>-3784</v>
      </c>
      <c r="AA45" s="92">
        <f t="shared" si="16"/>
        <v>38126.400000000001</v>
      </c>
      <c r="AB45" s="92">
        <f t="shared" si="17"/>
        <v>54176.160000000003</v>
      </c>
      <c r="AC45" s="234">
        <f t="shared" si="18"/>
        <v>1.3279471707294956E-2</v>
      </c>
      <c r="AD45" s="92">
        <f t="shared" si="19"/>
        <v>2157.6</v>
      </c>
      <c r="AE45" s="93">
        <v>14479.710000000003</v>
      </c>
      <c r="AF45" s="234">
        <f t="shared" si="20"/>
        <v>0.37978172604809274</v>
      </c>
      <c r="AG45" s="93">
        <v>4148.1399999999994</v>
      </c>
      <c r="AH45" s="93">
        <v>3225</v>
      </c>
      <c r="AI45" s="93">
        <v>2108</v>
      </c>
      <c r="AJ45" s="93"/>
      <c r="AK45" s="93"/>
      <c r="AL45" s="122">
        <f t="shared" si="21"/>
        <v>86.777973132815134</v>
      </c>
      <c r="AM45" s="93">
        <v>0</v>
      </c>
      <c r="AN45" s="94">
        <f t="shared" si="22"/>
        <v>1471.218044</v>
      </c>
      <c r="AO45" s="95">
        <f t="shared" si="24"/>
        <v>10449.953982867186</v>
      </c>
      <c r="AP45" s="96"/>
      <c r="AQ45" s="97">
        <f t="shared" si="5"/>
        <v>1906.3200000000002</v>
      </c>
      <c r="AR45" s="98">
        <f t="shared" si="34"/>
        <v>107.88</v>
      </c>
      <c r="AS45" s="98">
        <f t="shared" si="7"/>
        <v>723.98550000000012</v>
      </c>
      <c r="AT45" s="98">
        <f t="shared" si="8"/>
        <v>188.55181818181816</v>
      </c>
      <c r="AU45" s="98">
        <f t="shared" si="23"/>
        <v>242.40909090909091</v>
      </c>
      <c r="AV45" s="98">
        <f t="array" ref="AV45">_xlfn.IFS(U45=0,AO45,U45&lt;0,AO45/-U45,U45&gt;0,AO45/U45)</f>
        <v>522.49769914335934</v>
      </c>
      <c r="AW45" s="234">
        <f t="shared" si="42"/>
        <v>0.27408708881161575</v>
      </c>
      <c r="AX45" s="234">
        <f t="shared" si="43"/>
        <v>4.8433231288780068</v>
      </c>
      <c r="AY45" s="99"/>
      <c r="AZ45" s="94">
        <f t="shared" si="11"/>
        <v>78897.15257064726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93">
        <v>0</v>
      </c>
      <c r="AF46" s="234">
        <f t="shared" si="20"/>
        <v>0</v>
      </c>
      <c r="AG46" s="93">
        <v>0</v>
      </c>
      <c r="AH46" s="93"/>
      <c r="AI46" s="93"/>
      <c r="AJ46" s="93"/>
      <c r="AK46" s="93"/>
      <c r="AL46" s="122">
        <f t="shared" si="21"/>
        <v>0</v>
      </c>
      <c r="AM46" s="93">
        <v>0</v>
      </c>
      <c r="AN46" s="94">
        <f t="shared" si="22"/>
        <v>0</v>
      </c>
      <c r="AO46" s="95">
        <f t="shared" si="24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54</v>
      </c>
      <c r="F47" s="93">
        <v>2</v>
      </c>
      <c r="G47" s="93">
        <v>4</v>
      </c>
      <c r="H47" s="93">
        <v>38</v>
      </c>
      <c r="I47" s="93">
        <v>0</v>
      </c>
      <c r="J47" s="93">
        <v>10</v>
      </c>
      <c r="K47" s="92">
        <v>123.09</v>
      </c>
      <c r="L47" s="92">
        <f t="shared" si="41"/>
        <v>6646.8600000000006</v>
      </c>
      <c r="M47" s="89">
        <v>90</v>
      </c>
      <c r="N47" s="89">
        <v>6</v>
      </c>
      <c r="O47" s="89">
        <v>1404</v>
      </c>
      <c r="P47" s="89">
        <v>50</v>
      </c>
      <c r="Q47" s="233">
        <f t="shared" si="12"/>
        <v>0.8571428571428571</v>
      </c>
      <c r="R47" s="92">
        <f t="shared" si="13"/>
        <v>0.8571428571428571</v>
      </c>
      <c r="S47" s="93">
        <v>7</v>
      </c>
      <c r="T47" s="93">
        <v>-1</v>
      </c>
      <c r="U47" s="92">
        <f t="shared" si="14"/>
        <v>6</v>
      </c>
      <c r="V47" s="93">
        <v>6480</v>
      </c>
      <c r="W47" s="93">
        <v>-859</v>
      </c>
      <c r="X47" s="92">
        <f t="shared" si="15"/>
        <v>5621</v>
      </c>
      <c r="Y47" s="93">
        <v>9741</v>
      </c>
      <c r="Z47" s="93">
        <v>-1375</v>
      </c>
      <c r="AA47" s="92">
        <f t="shared" si="16"/>
        <v>8366</v>
      </c>
      <c r="AB47" s="92">
        <f t="shared" si="17"/>
        <v>4212</v>
      </c>
      <c r="AC47" s="234">
        <f t="shared" si="18"/>
        <v>2.9138880225573253E-3</v>
      </c>
      <c r="AD47" s="92">
        <f t="shared" si="19"/>
        <v>738.54</v>
      </c>
      <c r="AE47" s="93">
        <v>3190.05</v>
      </c>
      <c r="AF47" s="234">
        <f t="shared" si="20"/>
        <v>0.38131125986134357</v>
      </c>
      <c r="AG47" s="93">
        <v>779.38999999999987</v>
      </c>
      <c r="AH47" s="93"/>
      <c r="AI47" s="93"/>
      <c r="AJ47" s="93"/>
      <c r="AK47" s="93"/>
      <c r="AL47" s="122">
        <f t="shared" si="21"/>
        <v>35.457666441365319</v>
      </c>
      <c r="AM47" s="93">
        <v>0</v>
      </c>
      <c r="AN47" s="94">
        <f t="shared" si="22"/>
        <v>320.95909999999998</v>
      </c>
      <c r="AO47" s="95">
        <f t="shared" si="24"/>
        <v>3301.6032335586347</v>
      </c>
      <c r="AP47" s="96"/>
      <c r="AQ47" s="97">
        <f t="shared" si="5"/>
        <v>1394.3333333333333</v>
      </c>
      <c r="AR47" s="98">
        <f t="shared" si="34"/>
        <v>123.09</v>
      </c>
      <c r="AS47" s="98">
        <f t="shared" si="7"/>
        <v>531.67500000000007</v>
      </c>
      <c r="AT47" s="98">
        <f t="shared" si="8"/>
        <v>111.34142857142855</v>
      </c>
      <c r="AU47" s="98">
        <f t="shared" si="23"/>
        <v>0</v>
      </c>
      <c r="AV47" s="98">
        <f t="array" ref="AV47">_xlfn.IFS(U47=0,AO47,U47&lt;0,AO47/-U47,U47&gt;0,AO47/U47)</f>
        <v>550.26720559310581</v>
      </c>
      <c r="AW47" s="234">
        <f t="shared" si="42"/>
        <v>0.39464537814470896</v>
      </c>
      <c r="AX47" s="234">
        <f t="shared" si="43"/>
        <v>4.4704460605500511</v>
      </c>
      <c r="AY47" s="99"/>
      <c r="AZ47" s="94">
        <f t="shared" si="11"/>
        <v>29714.429102027712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285</v>
      </c>
      <c r="F48" s="93">
        <v>50</v>
      </c>
      <c r="G48" s="93">
        <v>19</v>
      </c>
      <c r="H48" s="93">
        <v>215</v>
      </c>
      <c r="I48" s="93">
        <v>0</v>
      </c>
      <c r="J48" s="93">
        <v>1</v>
      </c>
      <c r="K48" s="92">
        <v>107.88</v>
      </c>
      <c r="L48" s="92">
        <f t="shared" si="41"/>
        <v>30745.8</v>
      </c>
      <c r="M48" s="89">
        <v>25</v>
      </c>
      <c r="N48" s="89">
        <v>84</v>
      </c>
      <c r="O48" s="89">
        <v>1412</v>
      </c>
      <c r="P48" s="89">
        <v>47</v>
      </c>
      <c r="Q48" s="233">
        <f t="shared" si="12"/>
        <v>12</v>
      </c>
      <c r="R48" s="92">
        <f t="shared" si="13"/>
        <v>5.8571428571428568</v>
      </c>
      <c r="S48" s="93">
        <v>43</v>
      </c>
      <c r="T48" s="93">
        <v>-2</v>
      </c>
      <c r="U48" s="92">
        <f t="shared" si="14"/>
        <v>41</v>
      </c>
      <c r="V48" s="93">
        <v>40872.720000000001</v>
      </c>
      <c r="W48" s="93">
        <v>-1797</v>
      </c>
      <c r="X48" s="92">
        <f t="shared" si="15"/>
        <v>39075.72</v>
      </c>
      <c r="Y48" s="93">
        <v>60353.29</v>
      </c>
      <c r="Z48" s="93">
        <v>-2765</v>
      </c>
      <c r="AA48" s="92">
        <f t="shared" si="16"/>
        <v>57588.29</v>
      </c>
      <c r="AB48" s="92">
        <f t="shared" si="17"/>
        <v>55745.760000000002</v>
      </c>
      <c r="AC48" s="234">
        <f t="shared" si="18"/>
        <v>2.0058071775108509E-2</v>
      </c>
      <c r="AD48" s="92">
        <f t="shared" si="19"/>
        <v>4423.08</v>
      </c>
      <c r="AE48" s="93">
        <v>21856.580000000009</v>
      </c>
      <c r="AF48" s="234">
        <f t="shared" si="20"/>
        <v>0.37953167215070993</v>
      </c>
      <c r="AG48" s="93">
        <v>6435.8099999999831</v>
      </c>
      <c r="AH48" s="93"/>
      <c r="AI48" s="93">
        <v>2728</v>
      </c>
      <c r="AJ48" s="93"/>
      <c r="AK48" s="93"/>
      <c r="AL48" s="122">
        <f t="shared" si="21"/>
        <v>200.6157443393038</v>
      </c>
      <c r="AM48" s="93">
        <v>0</v>
      </c>
      <c r="AN48" s="94">
        <f t="shared" si="22"/>
        <v>2231.2236119999998</v>
      </c>
      <c r="AO48" s="95">
        <f t="shared" si="24"/>
        <v>19712.980643660703</v>
      </c>
      <c r="AP48" s="96"/>
      <c r="AQ48" s="97">
        <f t="shared" si="5"/>
        <v>1404.5924390243902</v>
      </c>
      <c r="AR48" s="98">
        <f t="shared" si="34"/>
        <v>107.88</v>
      </c>
      <c r="AS48" s="98">
        <f t="shared" si="7"/>
        <v>533.08731707317099</v>
      </c>
      <c r="AT48" s="98">
        <f t="shared" si="8"/>
        <v>149.66999999999962</v>
      </c>
      <c r="AU48" s="98">
        <f t="shared" si="23"/>
        <v>63.441860465116278</v>
      </c>
      <c r="AV48" s="98">
        <f t="array" ref="AV48">_xlfn.IFS(U48=0,AO48,U48&lt;0,AO48/-U48,U48&gt;0,AO48/U48)</f>
        <v>480.80440594294396</v>
      </c>
      <c r="AW48" s="234">
        <f t="shared" si="42"/>
        <v>0.34230883819715263</v>
      </c>
      <c r="AX48" s="234">
        <f t="shared" si="43"/>
        <v>4.4568446972834996</v>
      </c>
      <c r="AY48" s="99"/>
      <c r="AZ48" s="94">
        <f t="shared" si="11"/>
        <v>137029.25569373902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231</v>
      </c>
      <c r="F49" s="93">
        <v>55</v>
      </c>
      <c r="G49" s="93">
        <v>30</v>
      </c>
      <c r="H49" s="93">
        <v>114</v>
      </c>
      <c r="I49" s="93">
        <v>0</v>
      </c>
      <c r="J49" s="93">
        <v>32</v>
      </c>
      <c r="K49" s="92">
        <v>123.09</v>
      </c>
      <c r="L49" s="92">
        <f t="shared" si="41"/>
        <v>28433.79</v>
      </c>
      <c r="M49" s="89">
        <v>22</v>
      </c>
      <c r="N49" s="89">
        <v>82</v>
      </c>
      <c r="O49" s="89">
        <v>1762</v>
      </c>
      <c r="P49" s="89">
        <v>35</v>
      </c>
      <c r="Q49" s="233">
        <f t="shared" si="12"/>
        <v>11.714285714285714</v>
      </c>
      <c r="R49" s="92">
        <f t="shared" si="13"/>
        <v>3.5714285714285716</v>
      </c>
      <c r="S49" s="93">
        <v>25</v>
      </c>
      <c r="T49" s="93">
        <v>0</v>
      </c>
      <c r="U49" s="92">
        <f t="shared" si="14"/>
        <v>25</v>
      </c>
      <c r="V49" s="93">
        <v>31461.39</v>
      </c>
      <c r="W49" s="93">
        <v>0</v>
      </c>
      <c r="X49" s="92">
        <f t="shared" si="15"/>
        <v>31461.39</v>
      </c>
      <c r="Y49" s="93">
        <v>46156.73</v>
      </c>
      <c r="Z49" s="93">
        <v>0</v>
      </c>
      <c r="AA49" s="92">
        <f t="shared" si="16"/>
        <v>46156.73</v>
      </c>
      <c r="AB49" s="92">
        <f t="shared" si="17"/>
        <v>50569.4</v>
      </c>
      <c r="AC49" s="234">
        <f t="shared" si="18"/>
        <v>1.6076445458691416E-2</v>
      </c>
      <c r="AD49" s="92">
        <f t="shared" si="19"/>
        <v>3077.25</v>
      </c>
      <c r="AE49" s="93">
        <v>17181.920000000006</v>
      </c>
      <c r="AF49" s="234">
        <f t="shared" si="20"/>
        <v>0.37225167380791502</v>
      </c>
      <c r="AG49" s="93">
        <v>7297.1000000000122</v>
      </c>
      <c r="AH49" s="93">
        <v>1000</v>
      </c>
      <c r="AI49" s="93">
        <v>7257</v>
      </c>
      <c r="AJ49" s="93"/>
      <c r="AK49" s="93"/>
      <c r="AL49" s="122">
        <f t="shared" si="21"/>
        <v>106.37299932409596</v>
      </c>
      <c r="AM49" s="93">
        <v>0</v>
      </c>
      <c r="AN49" s="94">
        <f t="shared" si="22"/>
        <v>1796.4453689999998</v>
      </c>
      <c r="AO49" s="95">
        <f t="shared" si="24"/>
        <v>8440.6416316758896</v>
      </c>
      <c r="AP49" s="96"/>
      <c r="AQ49" s="97">
        <f t="shared" si="5"/>
        <v>1846.2692000000002</v>
      </c>
      <c r="AR49" s="98">
        <f t="shared" si="34"/>
        <v>123.09</v>
      </c>
      <c r="AS49" s="98">
        <f t="shared" si="7"/>
        <v>687.27680000000021</v>
      </c>
      <c r="AT49" s="98">
        <f t="shared" si="8"/>
        <v>291.88400000000047</v>
      </c>
      <c r="AU49" s="98">
        <f t="shared" si="23"/>
        <v>330.28</v>
      </c>
      <c r="AV49" s="98">
        <f t="array" ref="AV49">_xlfn.IFS(U49=0,AO49,U49&lt;0,AO49/-U49,U49&gt;0,AO49/U49)</f>
        <v>337.62566526703557</v>
      </c>
      <c r="AW49" s="234">
        <f t="shared" si="42"/>
        <v>0.18286914241272917</v>
      </c>
      <c r="AX49" s="234">
        <f t="shared" si="43"/>
        <v>2.7429170953532829</v>
      </c>
      <c r="AY49" s="99"/>
      <c r="AZ49" s="94">
        <f t="shared" si="11"/>
        <v>77991.528676685222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451</v>
      </c>
      <c r="F50" s="93">
        <v>27</v>
      </c>
      <c r="G50" s="93">
        <v>9</v>
      </c>
      <c r="H50" s="93">
        <v>109</v>
      </c>
      <c r="I50" s="93">
        <v>0</v>
      </c>
      <c r="J50" s="93">
        <v>306</v>
      </c>
      <c r="K50" s="92">
        <v>134.79</v>
      </c>
      <c r="L50" s="92">
        <f t="shared" si="41"/>
        <v>60790.289999999994</v>
      </c>
      <c r="M50" s="89">
        <v>14</v>
      </c>
      <c r="N50" s="89">
        <v>48</v>
      </c>
      <c r="O50" s="89">
        <v>1501</v>
      </c>
      <c r="P50" s="89">
        <v>66</v>
      </c>
      <c r="Q50" s="233">
        <f t="shared" si="12"/>
        <v>6.8571428571428568</v>
      </c>
      <c r="R50" s="92">
        <f t="shared" si="13"/>
        <v>4.5714285714285712</v>
      </c>
      <c r="S50" s="93">
        <v>32</v>
      </c>
      <c r="T50" s="93">
        <v>0</v>
      </c>
      <c r="U50" s="92">
        <f t="shared" si="14"/>
        <v>32</v>
      </c>
      <c r="V50" s="93">
        <v>32054.7</v>
      </c>
      <c r="W50" s="93">
        <v>0</v>
      </c>
      <c r="X50" s="92">
        <f t="shared" si="15"/>
        <v>32054.7</v>
      </c>
      <c r="Y50" s="93">
        <v>47676.65</v>
      </c>
      <c r="Z50" s="93">
        <v>0</v>
      </c>
      <c r="AA50" s="92">
        <f t="shared" si="16"/>
        <v>47676.65</v>
      </c>
      <c r="AB50" s="92">
        <f t="shared" si="17"/>
        <v>47551.68</v>
      </c>
      <c r="AC50" s="234">
        <f t="shared" si="18"/>
        <v>1.6605835451907448E-2</v>
      </c>
      <c r="AD50" s="92">
        <f t="shared" si="19"/>
        <v>4313.28</v>
      </c>
      <c r="AE50" s="93">
        <v>18143.02</v>
      </c>
      <c r="AF50" s="234">
        <f t="shared" si="20"/>
        <v>0.38054309604387054</v>
      </c>
      <c r="AG50" s="93">
        <v>3443.1400000000003</v>
      </c>
      <c r="AH50" s="93"/>
      <c r="AI50" s="93">
        <v>3142</v>
      </c>
      <c r="AJ50" s="93"/>
      <c r="AK50" s="93"/>
      <c r="AL50" s="122">
        <f t="shared" si="21"/>
        <v>101.70751689760054</v>
      </c>
      <c r="AM50" s="93">
        <v>0</v>
      </c>
      <c r="AN50" s="94">
        <f t="shared" si="22"/>
        <v>1830.3233700000001</v>
      </c>
      <c r="AO50" s="95">
        <f t="shared" si="24"/>
        <v>16703.1791131024</v>
      </c>
      <c r="AP50" s="96"/>
      <c r="AQ50" s="97">
        <f t="shared" si="5"/>
        <v>1489.8953125</v>
      </c>
      <c r="AR50" s="98">
        <f t="shared" si="34"/>
        <v>134.79</v>
      </c>
      <c r="AS50" s="98">
        <f t="shared" si="7"/>
        <v>566.96937500000001</v>
      </c>
      <c r="AT50" s="98">
        <f t="shared" si="8"/>
        <v>107.59812500000001</v>
      </c>
      <c r="AU50" s="98">
        <f t="shared" si="23"/>
        <v>98.1875</v>
      </c>
      <c r="AV50" s="98">
        <f t="array" ref="AV50">_xlfn.IFS(U50=0,AO50,U50&lt;0,AO50/-U50,U50&gt;0,AO50/U50)</f>
        <v>521.97434728445</v>
      </c>
      <c r="AW50" s="234">
        <f t="shared" si="42"/>
        <v>0.35034296900269629</v>
      </c>
      <c r="AX50" s="234">
        <f t="shared" si="43"/>
        <v>3.8725005362745755</v>
      </c>
      <c r="AY50" s="99"/>
      <c r="AZ50" s="94">
        <f t="shared" si="11"/>
        <v>235410.43062528694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146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145</v>
      </c>
      <c r="K51" s="92">
        <v>144.15</v>
      </c>
      <c r="L51" s="92">
        <f t="shared" si="41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93">
        <v>0</v>
      </c>
      <c r="AF51" s="234">
        <f t="shared" si="20"/>
        <v>0</v>
      </c>
      <c r="AG51" s="93">
        <v>0</v>
      </c>
      <c r="AH51" s="93"/>
      <c r="AI51" s="93"/>
      <c r="AJ51" s="93"/>
      <c r="AK51" s="93"/>
      <c r="AL51" s="122">
        <f t="shared" si="21"/>
        <v>0.93309648529908751</v>
      </c>
      <c r="AM51" s="93">
        <v>0</v>
      </c>
      <c r="AN51" s="94">
        <f t="shared" si="22"/>
        <v>0</v>
      </c>
      <c r="AO51" s="95">
        <f t="shared" si="24"/>
        <v>-0.93309648529908751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-0.93309648529908751</v>
      </c>
      <c r="AW51" s="234">
        <f t="shared" si="42"/>
        <v>0</v>
      </c>
      <c r="AX51" s="234">
        <f t="shared" si="43"/>
        <v>-6.4730938973228402E-3</v>
      </c>
      <c r="AY51" s="99"/>
      <c r="AZ51" s="94">
        <f t="shared" si="11"/>
        <v>-136.23208685366677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27</v>
      </c>
      <c r="F52" s="93">
        <v>5</v>
      </c>
      <c r="G52" s="93" t="s">
        <v>100</v>
      </c>
      <c r="H52" s="93">
        <v>21</v>
      </c>
      <c r="I52" s="93">
        <v>0</v>
      </c>
      <c r="J52" s="93">
        <v>1</v>
      </c>
      <c r="K52" s="92">
        <v>96.18</v>
      </c>
      <c r="L52" s="92">
        <f t="shared" si="41"/>
        <v>2596.86</v>
      </c>
      <c r="M52" s="89">
        <v>999</v>
      </c>
      <c r="N52" s="89">
        <v>6</v>
      </c>
      <c r="O52" s="89">
        <v>1302</v>
      </c>
      <c r="P52" s="89">
        <v>100</v>
      </c>
      <c r="Q52" s="233">
        <f t="shared" si="12"/>
        <v>0.8571428571428571</v>
      </c>
      <c r="R52" s="92">
        <f t="shared" si="13"/>
        <v>0.2857142857142857</v>
      </c>
      <c r="S52" s="93">
        <v>2</v>
      </c>
      <c r="T52" s="93">
        <v>0</v>
      </c>
      <c r="U52" s="92">
        <f t="shared" si="14"/>
        <v>2</v>
      </c>
      <c r="V52" s="93">
        <v>1784</v>
      </c>
      <c r="W52" s="93">
        <v>0</v>
      </c>
      <c r="X52" s="92">
        <f t="shared" si="15"/>
        <v>1784</v>
      </c>
      <c r="Y52" s="93">
        <v>2535.94</v>
      </c>
      <c r="Z52" s="93">
        <v>0</v>
      </c>
      <c r="AA52" s="92">
        <f t="shared" si="16"/>
        <v>2535.94</v>
      </c>
      <c r="AB52" s="92">
        <f t="shared" si="17"/>
        <v>7812</v>
      </c>
      <c r="AC52" s="234">
        <f t="shared" si="18"/>
        <v>8.83271000708107E-4</v>
      </c>
      <c r="AD52" s="92">
        <f t="shared" si="19"/>
        <v>192.36</v>
      </c>
      <c r="AE52" s="93">
        <v>901.05000000000018</v>
      </c>
      <c r="AF52" s="234">
        <f t="shared" si="20"/>
        <v>0.35531203419639273</v>
      </c>
      <c r="AG52" s="93">
        <v>132.92000000000002</v>
      </c>
      <c r="AH52" s="93"/>
      <c r="AI52" s="93">
        <v>512</v>
      </c>
      <c r="AJ52" s="93"/>
      <c r="AK52" s="93"/>
      <c r="AL52" s="122">
        <f t="shared" si="21"/>
        <v>19.595026191280837</v>
      </c>
      <c r="AM52" s="93">
        <v>0</v>
      </c>
      <c r="AN52" s="94">
        <f t="shared" si="22"/>
        <v>101.8664</v>
      </c>
      <c r="AO52" s="95">
        <f t="shared" si="24"/>
        <v>676.14857380871888</v>
      </c>
      <c r="AP52" s="96"/>
      <c r="AQ52" s="97">
        <f t="shared" si="5"/>
        <v>1267.97</v>
      </c>
      <c r="AR52" s="98">
        <f t="shared" si="34"/>
        <v>96.18</v>
      </c>
      <c r="AS52" s="98">
        <f t="shared" si="7"/>
        <v>450.52500000000009</v>
      </c>
      <c r="AT52" s="98">
        <f t="shared" si="8"/>
        <v>66.460000000000008</v>
      </c>
      <c r="AU52" s="98">
        <f t="shared" si="23"/>
        <v>256</v>
      </c>
      <c r="AV52" s="98">
        <f t="array" ref="AV52">_xlfn.IFS(U52=0,AO52,U52&lt;0,AO52/-U52,U52&gt;0,AO52/U52)</f>
        <v>338.07428690435944</v>
      </c>
      <c r="AW52" s="234">
        <f t="shared" si="42"/>
        <v>0.26662640827808182</v>
      </c>
      <c r="AX52" s="234">
        <f t="shared" si="43"/>
        <v>3.5150164993175235</v>
      </c>
      <c r="AY52" s="99"/>
      <c r="AZ52" s="94">
        <f t="shared" si="11"/>
        <v>9128.0057464177044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7</v>
      </c>
      <c r="G53" s="93">
        <v>1</v>
      </c>
      <c r="H53" s="93">
        <v>27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64</v>
      </c>
      <c r="N53" s="89">
        <v>6</v>
      </c>
      <c r="O53" s="89">
        <v>1106</v>
      </c>
      <c r="P53" s="89">
        <v>0</v>
      </c>
      <c r="Q53" s="233">
        <f t="shared" si="12"/>
        <v>0.8571428571428571</v>
      </c>
      <c r="R53" s="92">
        <f t="shared" si="13"/>
        <v>-0.14285714285714285</v>
      </c>
      <c r="S53" s="93">
        <v>0</v>
      </c>
      <c r="T53" s="93">
        <v>-1</v>
      </c>
      <c r="U53" s="92">
        <f t="shared" si="14"/>
        <v>-1</v>
      </c>
      <c r="V53" s="93">
        <v>0</v>
      </c>
      <c r="W53" s="93">
        <v>-725</v>
      </c>
      <c r="X53" s="92">
        <f t="shared" si="15"/>
        <v>-725</v>
      </c>
      <c r="Y53" s="93">
        <v>0</v>
      </c>
      <c r="Z53" s="93">
        <v>-1106</v>
      </c>
      <c r="AA53" s="92">
        <f t="shared" si="16"/>
        <v>-1106</v>
      </c>
      <c r="AB53" s="92">
        <f t="shared" si="17"/>
        <v>0</v>
      </c>
      <c r="AC53" s="234">
        <f t="shared" si="18"/>
        <v>-3.8522115144016275E-4</v>
      </c>
      <c r="AD53" s="92">
        <f t="shared" si="19"/>
        <v>-96.18</v>
      </c>
      <c r="AE53" s="93">
        <v>-418.87</v>
      </c>
      <c r="AF53" s="234">
        <f t="shared" si="20"/>
        <v>0.37872513562386978</v>
      </c>
      <c r="AG53" s="93">
        <v>791.04999999999961</v>
      </c>
      <c r="AH53" s="93"/>
      <c r="AI53" s="93">
        <v>574</v>
      </c>
      <c r="AJ53" s="93"/>
      <c r="AK53" s="93"/>
      <c r="AL53" s="122">
        <f t="shared" si="21"/>
        <v>25.19360510307536</v>
      </c>
      <c r="AM53" s="93">
        <v>0</v>
      </c>
      <c r="AN53" s="94">
        <f t="shared" si="22"/>
        <v>-41.397500000000001</v>
      </c>
      <c r="AO53" s="95">
        <f t="shared" si="24"/>
        <v>-1939.796105103075</v>
      </c>
      <c r="AP53" s="96"/>
      <c r="AQ53" s="97">
        <f t="shared" si="5"/>
        <v>1106</v>
      </c>
      <c r="AR53" s="98">
        <f t="shared" si="34"/>
        <v>96.18</v>
      </c>
      <c r="AS53" s="98">
        <f t="shared" si="7"/>
        <v>418.87</v>
      </c>
      <c r="AT53" s="98">
        <f t="shared" si="8"/>
        <v>791.04999999999961</v>
      </c>
      <c r="AU53" s="98">
        <f t="shared" si="23"/>
        <v>0</v>
      </c>
      <c r="AV53" s="98">
        <f t="array" ref="AV53">_xlfn.IFS(U53=0,AO53,U53&lt;0,AO53/-U53,U53&gt;0,AO53/U53)</f>
        <v>-1939.796105103075</v>
      </c>
      <c r="AW53" s="234">
        <f t="shared" si="42"/>
        <v>-1.7538843626610081</v>
      </c>
      <c r="AX53" s="234">
        <f t="shared" si="43"/>
        <v>-20.168393689988303</v>
      </c>
      <c r="AY53" s="99"/>
      <c r="AZ53" s="94">
        <f t="shared" si="11"/>
        <v>-69832.659783710697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25</v>
      </c>
      <c r="F54" s="93">
        <v>3</v>
      </c>
      <c r="G54" s="93">
        <v>1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3077.25</v>
      </c>
      <c r="M54" s="89">
        <v>92</v>
      </c>
      <c r="N54" s="89">
        <v>3</v>
      </c>
      <c r="O54" s="89">
        <v>998</v>
      </c>
      <c r="P54" s="89">
        <v>0</v>
      </c>
      <c r="Q54" s="233">
        <f t="shared" si="12"/>
        <v>0.42857142857142855</v>
      </c>
      <c r="R54" s="92">
        <f t="shared" si="13"/>
        <v>0</v>
      </c>
      <c r="S54" s="93">
        <v>0</v>
      </c>
      <c r="T54" s="93">
        <v>0</v>
      </c>
      <c r="U54" s="92">
        <f t="shared" si="14"/>
        <v>0</v>
      </c>
      <c r="V54" s="93">
        <v>0</v>
      </c>
      <c r="W54" s="93">
        <v>0</v>
      </c>
      <c r="X54" s="92">
        <f t="shared" si="15"/>
        <v>0</v>
      </c>
      <c r="Y54" s="93">
        <v>0</v>
      </c>
      <c r="Z54" s="93">
        <v>0</v>
      </c>
      <c r="AA54" s="92">
        <f t="shared" si="16"/>
        <v>0</v>
      </c>
      <c r="AB54" s="92">
        <f t="shared" si="17"/>
        <v>0</v>
      </c>
      <c r="AC54" s="234">
        <f t="shared" si="18"/>
        <v>0</v>
      </c>
      <c r="AD54" s="92">
        <f t="shared" si="19"/>
        <v>0</v>
      </c>
      <c r="AE54" s="93">
        <v>0</v>
      </c>
      <c r="AF54" s="234">
        <f t="shared" si="20"/>
        <v>0</v>
      </c>
      <c r="AG54" s="93">
        <v>140.45000000000002</v>
      </c>
      <c r="AH54" s="93"/>
      <c r="AI54" s="93"/>
      <c r="AJ54" s="93"/>
      <c r="AK54" s="93"/>
      <c r="AL54" s="122">
        <f t="shared" si="21"/>
        <v>18.661929705981748</v>
      </c>
      <c r="AM54" s="93">
        <v>0</v>
      </c>
      <c r="AN54" s="94">
        <f t="shared" si="22"/>
        <v>0</v>
      </c>
      <c r="AO54" s="95">
        <f t="shared" si="24"/>
        <v>-159.11192970598177</v>
      </c>
      <c r="AP54" s="96"/>
      <c r="AQ54" s="97">
        <f t="shared" si="5"/>
        <v>0</v>
      </c>
      <c r="AR54" s="98">
        <f t="shared" si="34"/>
        <v>123.09</v>
      </c>
      <c r="AS54" s="98">
        <f t="shared" si="7"/>
        <v>0</v>
      </c>
      <c r="AT54" s="98">
        <f t="shared" si="8"/>
        <v>140.45000000000002</v>
      </c>
      <c r="AU54" s="98">
        <f t="shared" si="23"/>
        <v>0</v>
      </c>
      <c r="AV54" s="98">
        <f t="array" ref="AV54">_xlfn.IFS(U54=0,AO54,U54&lt;0,AO54/-U54,U54&gt;0,AO54/U54)</f>
        <v>-159.11192970598177</v>
      </c>
      <c r="AW54" s="234">
        <f t="shared" si="42"/>
        <v>0</v>
      </c>
      <c r="AX54" s="234">
        <f t="shared" si="43"/>
        <v>-1.2926470851083089</v>
      </c>
      <c r="AY54" s="99"/>
      <c r="AZ54" s="94">
        <f t="shared" si="11"/>
        <v>-3977.7982426495441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93">
        <v>0</v>
      </c>
      <c r="AF55" s="234">
        <f t="shared" si="20"/>
        <v>0</v>
      </c>
      <c r="AG55" s="93">
        <v>0</v>
      </c>
      <c r="AH55" s="93"/>
      <c r="AI55" s="93"/>
      <c r="AJ55" s="93"/>
      <c r="AK55" s="93"/>
      <c r="AL55" s="122">
        <f t="shared" si="21"/>
        <v>0.93309648529908751</v>
      </c>
      <c r="AM55" s="93">
        <v>0</v>
      </c>
      <c r="AN55" s="94">
        <f t="shared" si="22"/>
        <v>0</v>
      </c>
      <c r="AO55" s="95">
        <f t="shared" si="24"/>
        <v>-0.93309648529908751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0</v>
      </c>
      <c r="AU55" s="98">
        <f t="shared" si="23"/>
        <v>0</v>
      </c>
      <c r="AV55" s="98">
        <f t="array" ref="AV55">_xlfn.IFS(U55=0,AO55,U55&lt;0,AO55/-U55,U55&gt;0,AO55/U55)</f>
        <v>-0.93309648529908751</v>
      </c>
      <c r="AW55" s="234">
        <f t="shared" si="42"/>
        <v>0</v>
      </c>
      <c r="AX55" s="234">
        <f t="shared" si="43"/>
        <v>-5.8985807276002748E-3</v>
      </c>
      <c r="AY55" s="99"/>
      <c r="AZ55" s="94">
        <f t="shared" si="11"/>
        <v>-1.866192970598175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93">
        <v>0</v>
      </c>
      <c r="AF56" s="234">
        <f t="shared" si="20"/>
        <v>0</v>
      </c>
      <c r="AG56" s="93">
        <v>0</v>
      </c>
      <c r="AH56" s="93"/>
      <c r="AI56" s="93"/>
      <c r="AJ56" s="93"/>
      <c r="AK56" s="93"/>
      <c r="AL56" s="122">
        <f t="shared" si="21"/>
        <v>0</v>
      </c>
      <c r="AM56" s="93">
        <v>0</v>
      </c>
      <c r="AN56" s="94">
        <f t="shared" si="22"/>
        <v>0</v>
      </c>
      <c r="AO56" s="95">
        <f t="shared" si="24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93">
        <v>0</v>
      </c>
      <c r="AF57" s="234">
        <f t="shared" si="20"/>
        <v>0</v>
      </c>
      <c r="AG57" s="93">
        <v>0</v>
      </c>
      <c r="AH57" s="93"/>
      <c r="AI57" s="93"/>
      <c r="AJ57" s="93"/>
      <c r="AK57" s="93"/>
      <c r="AL57" s="122">
        <f t="shared" si="21"/>
        <v>0</v>
      </c>
      <c r="AM57" s="93">
        <v>0</v>
      </c>
      <c r="AN57" s="94">
        <f t="shared" si="22"/>
        <v>0</v>
      </c>
      <c r="AO57" s="95">
        <f t="shared" si="24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1"/>
        <v>3907.47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2"/>
        <v>0.2857142857142857</v>
      </c>
      <c r="R58" s="92">
        <f t="shared" si="13"/>
        <v>0.14285714285714285</v>
      </c>
      <c r="S58" s="93">
        <v>1</v>
      </c>
      <c r="T58" s="93">
        <v>0</v>
      </c>
      <c r="U58" s="92">
        <f t="shared" si="14"/>
        <v>1</v>
      </c>
      <c r="V58" s="93">
        <v>734</v>
      </c>
      <c r="W58" s="93">
        <v>0</v>
      </c>
      <c r="X58" s="92">
        <f t="shared" si="15"/>
        <v>734</v>
      </c>
      <c r="Y58" s="93">
        <v>1039</v>
      </c>
      <c r="Z58" s="93">
        <v>0</v>
      </c>
      <c r="AA58" s="92">
        <f t="shared" si="16"/>
        <v>1039</v>
      </c>
      <c r="AB58" s="92">
        <f t="shared" si="17"/>
        <v>0</v>
      </c>
      <c r="AC58" s="234">
        <f t="shared" si="18"/>
        <v>3.6188496957172616E-4</v>
      </c>
      <c r="AD58" s="92">
        <f t="shared" si="19"/>
        <v>169.89</v>
      </c>
      <c r="AE58" s="93">
        <v>402.05999999999995</v>
      </c>
      <c r="AF58" s="234">
        <f t="shared" si="20"/>
        <v>0.38696823869104902</v>
      </c>
      <c r="AG58" s="93">
        <v>269.15999999999997</v>
      </c>
      <c r="AH58" s="93"/>
      <c r="AI58" s="93">
        <v>572</v>
      </c>
      <c r="AJ58" s="93"/>
      <c r="AK58" s="93"/>
      <c r="AL58" s="122">
        <f t="shared" si="21"/>
        <v>17.72883322068266</v>
      </c>
      <c r="AM58" s="93">
        <v>0</v>
      </c>
      <c r="AN58" s="94">
        <f t="shared" si="22"/>
        <v>41.9114</v>
      </c>
      <c r="AO58" s="95">
        <f t="shared" si="24"/>
        <v>-433.75023322068256</v>
      </c>
      <c r="AP58" s="96"/>
      <c r="AQ58" s="97">
        <f t="shared" si="5"/>
        <v>1039</v>
      </c>
      <c r="AR58" s="98">
        <f t="shared" si="34"/>
        <v>169.89</v>
      </c>
      <c r="AS58" s="98">
        <f t="shared" si="7"/>
        <v>402.05999999999995</v>
      </c>
      <c r="AT58" s="98">
        <f t="shared" si="8"/>
        <v>269.15999999999997</v>
      </c>
      <c r="AU58" s="98">
        <f t="shared" si="23"/>
        <v>572</v>
      </c>
      <c r="AV58" s="98">
        <f t="array" ref="AV58">_xlfn.IFS(U58=0,AO58,U58&lt;0,AO58/-U58,U58&gt;0,AO58/U58)</f>
        <v>-433.75023322068256</v>
      </c>
      <c r="AW58" s="234">
        <f t="shared" si="42"/>
        <v>-0.41746894438949234</v>
      </c>
      <c r="AX58" s="234">
        <f t="shared" si="43"/>
        <v>-2.5531239815214701</v>
      </c>
      <c r="AY58" s="99"/>
      <c r="AZ58" s="94">
        <f t="shared" si="11"/>
        <v>-9976.2553640756996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93">
        <v>0</v>
      </c>
      <c r="AF59" s="234">
        <f t="shared" si="20"/>
        <v>0</v>
      </c>
      <c r="AG59" s="93">
        <v>0</v>
      </c>
      <c r="AH59" s="93"/>
      <c r="AI59" s="93"/>
      <c r="AJ59" s="93"/>
      <c r="AK59" s="93"/>
      <c r="AL59" s="122">
        <f t="shared" si="21"/>
        <v>0</v>
      </c>
      <c r="AM59" s="93">
        <v>0</v>
      </c>
      <c r="AN59" s="94">
        <f t="shared" si="22"/>
        <v>0</v>
      </c>
      <c r="AO59" s="95">
        <f t="shared" si="24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62</v>
      </c>
      <c r="F60" s="93">
        <v>2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9807.7800000000007</v>
      </c>
      <c r="M60" s="89">
        <v>999</v>
      </c>
      <c r="N60" s="89">
        <v>2</v>
      </c>
      <c r="O60" s="89">
        <v>1049</v>
      </c>
      <c r="P60" s="89">
        <v>0</v>
      </c>
      <c r="Q60" s="233">
        <f t="shared" si="12"/>
        <v>0.2857142857142857</v>
      </c>
      <c r="R60" s="92">
        <f t="shared" si="13"/>
        <v>0.14285714285714285</v>
      </c>
      <c r="S60" s="93">
        <v>1</v>
      </c>
      <c r="T60" s="93">
        <v>0</v>
      </c>
      <c r="U60" s="92">
        <f t="shared" si="14"/>
        <v>1</v>
      </c>
      <c r="V60" s="93">
        <v>730</v>
      </c>
      <c r="W60" s="93">
        <v>0</v>
      </c>
      <c r="X60" s="92">
        <f t="shared" si="15"/>
        <v>730</v>
      </c>
      <c r="Y60" s="93">
        <v>1049</v>
      </c>
      <c r="Z60" s="93">
        <v>0</v>
      </c>
      <c r="AA60" s="92">
        <f t="shared" si="16"/>
        <v>1049</v>
      </c>
      <c r="AB60" s="92">
        <f t="shared" si="17"/>
        <v>0</v>
      </c>
      <c r="AC60" s="234">
        <f t="shared" si="18"/>
        <v>3.6536798179089577E-4</v>
      </c>
      <c r="AD60" s="92">
        <f t="shared" si="19"/>
        <v>158.19</v>
      </c>
      <c r="AE60" s="93">
        <v>405.39</v>
      </c>
      <c r="AF60" s="234">
        <f t="shared" si="20"/>
        <v>0.38645376549094373</v>
      </c>
      <c r="AG60" s="93">
        <v>46.510000000000005</v>
      </c>
      <c r="AH60" s="93"/>
      <c r="AI60" s="93"/>
      <c r="AJ60" s="93"/>
      <c r="AK60" s="93"/>
      <c r="AL60" s="122">
        <f t="shared" si="21"/>
        <v>17.72883322068266</v>
      </c>
      <c r="AM60" s="93">
        <v>0</v>
      </c>
      <c r="AN60" s="94">
        <f t="shared" si="22"/>
        <v>41.683</v>
      </c>
      <c r="AO60" s="95">
        <f t="shared" si="24"/>
        <v>379.49816677931733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405.39</v>
      </c>
      <c r="AT60" s="98">
        <f t="shared" si="8"/>
        <v>46.510000000000005</v>
      </c>
      <c r="AU60" s="98">
        <f t="shared" si="23"/>
        <v>0</v>
      </c>
      <c r="AV60" s="98">
        <f t="array" ref="AV60">_xlfn.IFS(U60=0,AO60,U60&lt;0,AO60/-U60,U60&gt;0,AO60/U60)</f>
        <v>379.49816677931733</v>
      </c>
      <c r="AW60" s="234">
        <f t="shared" si="42"/>
        <v>0.36177136966569812</v>
      </c>
      <c r="AX60" s="234">
        <f t="shared" si="43"/>
        <v>2.3990022553847736</v>
      </c>
      <c r="AY60" s="99"/>
      <c r="AZ60" s="94">
        <f t="shared" si="11"/>
        <v>23528.886340317673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61504.38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2"/>
        <v>0</v>
      </c>
      <c r="R61" s="92">
        <f t="shared" si="13"/>
        <v>0.14285714285714285</v>
      </c>
      <c r="S61" s="93">
        <v>1</v>
      </c>
      <c r="T61" s="93">
        <v>0</v>
      </c>
      <c r="U61" s="92">
        <f t="shared" si="14"/>
        <v>1</v>
      </c>
      <c r="V61" s="93">
        <v>799.11</v>
      </c>
      <c r="W61" s="93">
        <v>0</v>
      </c>
      <c r="X61" s="92">
        <f t="shared" si="15"/>
        <v>799.11</v>
      </c>
      <c r="Y61" s="93">
        <v>948.11</v>
      </c>
      <c r="Z61" s="93">
        <v>0</v>
      </c>
      <c r="AA61" s="92">
        <f t="shared" si="16"/>
        <v>948.11</v>
      </c>
      <c r="AB61" s="92">
        <f t="shared" si="17"/>
        <v>0</v>
      </c>
      <c r="AC61" s="234">
        <f t="shared" si="18"/>
        <v>3.3022787151169326E-4</v>
      </c>
      <c r="AD61" s="92">
        <f t="shared" si="19"/>
        <v>128.94</v>
      </c>
      <c r="AE61" s="93">
        <v>354.15999999999997</v>
      </c>
      <c r="AF61" s="234">
        <f t="shared" si="20"/>
        <v>0.37354315427534773</v>
      </c>
      <c r="AG61" s="93">
        <v>48.94</v>
      </c>
      <c r="AH61" s="93"/>
      <c r="AI61" s="93"/>
      <c r="AJ61" s="93"/>
      <c r="AK61" s="93"/>
      <c r="AL61" s="122">
        <f t="shared" si="21"/>
        <v>145.56305170665763</v>
      </c>
      <c r="AM61" s="93">
        <v>0</v>
      </c>
      <c r="AN61" s="94">
        <f t="shared" si="22"/>
        <v>45.629181000000003</v>
      </c>
      <c r="AO61" s="95">
        <f t="shared" si="24"/>
        <v>224.87776729334246</v>
      </c>
      <c r="AP61" s="96"/>
      <c r="AQ61" s="97">
        <f t="shared" si="5"/>
        <v>948.11</v>
      </c>
      <c r="AR61" s="98">
        <f t="shared" si="34"/>
        <v>128.94</v>
      </c>
      <c r="AS61" s="98">
        <f t="shared" si="7"/>
        <v>354.15999999999997</v>
      </c>
      <c r="AT61" s="98">
        <f t="shared" si="8"/>
        <v>48.94</v>
      </c>
      <c r="AU61" s="98">
        <f t="shared" si="23"/>
        <v>0</v>
      </c>
      <c r="AV61" s="98">
        <f t="array" ref="AV61">_xlfn.IFS(U61=0,AO61,U61&lt;0,AO61/-U61,U61&gt;0,AO61/U61)</f>
        <v>224.87776729334246</v>
      </c>
      <c r="AW61" s="234">
        <f t="shared" si="42"/>
        <v>0.23718531319503269</v>
      </c>
      <c r="AX61" s="234">
        <f t="shared" si="43"/>
        <v>1.7440496920532222</v>
      </c>
      <c r="AY61" s="99"/>
      <c r="AZ61" s="94">
        <f t="shared" si="11"/>
        <v>107266.69499892436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93">
        <v>0</v>
      </c>
      <c r="AF62" s="234">
        <f t="shared" si="20"/>
        <v>0</v>
      </c>
      <c r="AG62" s="93">
        <v>0</v>
      </c>
      <c r="AH62" s="93"/>
      <c r="AI62" s="93"/>
      <c r="AJ62" s="93"/>
      <c r="AK62" s="93"/>
      <c r="AL62" s="122">
        <f t="shared" si="21"/>
        <v>0</v>
      </c>
      <c r="AM62" s="93">
        <v>0</v>
      </c>
      <c r="AN62" s="94">
        <f t="shared" si="22"/>
        <v>0</v>
      </c>
      <c r="AO62" s="95">
        <f t="shared" si="24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93">
        <v>0</v>
      </c>
      <c r="AF63" s="234">
        <f t="shared" si="20"/>
        <v>0</v>
      </c>
      <c r="AG63" s="93">
        <v>0</v>
      </c>
      <c r="AH63" s="93"/>
      <c r="AI63" s="93"/>
      <c r="AJ63" s="93"/>
      <c r="AK63" s="93"/>
      <c r="AL63" s="122">
        <f t="shared" si="21"/>
        <v>0</v>
      </c>
      <c r="AM63" s="93">
        <v>0</v>
      </c>
      <c r="AN63" s="94">
        <f t="shared" si="22"/>
        <v>0</v>
      </c>
      <c r="AO63" s="95">
        <f t="shared" si="24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93">
        <v>0</v>
      </c>
      <c r="AF64" s="234">
        <f t="shared" si="20"/>
        <v>0</v>
      </c>
      <c r="AG64" s="93">
        <v>0</v>
      </c>
      <c r="AH64" s="93"/>
      <c r="AI64" s="93"/>
      <c r="AJ64" s="93"/>
      <c r="AK64" s="93"/>
      <c r="AL64" s="122">
        <f t="shared" si="21"/>
        <v>0</v>
      </c>
      <c r="AM64" s="93">
        <v>0</v>
      </c>
      <c r="AN64" s="94">
        <f t="shared" si="22"/>
        <v>0</v>
      </c>
      <c r="AO64" s="95">
        <f t="shared" si="24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</v>
      </c>
      <c r="S65" s="93">
        <v>0</v>
      </c>
      <c r="T65" s="93">
        <v>0</v>
      </c>
      <c r="U65" s="92">
        <f t="shared" si="14"/>
        <v>0</v>
      </c>
      <c r="V65" s="93">
        <v>0</v>
      </c>
      <c r="W65" s="93">
        <v>0</v>
      </c>
      <c r="X65" s="92">
        <f t="shared" si="15"/>
        <v>0</v>
      </c>
      <c r="Y65" s="93">
        <v>0</v>
      </c>
      <c r="Z65" s="93">
        <v>0</v>
      </c>
      <c r="AA65" s="9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93">
        <v>0</v>
      </c>
      <c r="AF65" s="234">
        <f t="shared" si="20"/>
        <v>0</v>
      </c>
      <c r="AG65" s="93">
        <v>1.25</v>
      </c>
      <c r="AH65" s="93"/>
      <c r="AI65" s="93"/>
      <c r="AJ65" s="93"/>
      <c r="AK65" s="93"/>
      <c r="AL65" s="122">
        <f t="shared" si="21"/>
        <v>0.93309648529908751</v>
      </c>
      <c r="AM65" s="93">
        <v>0</v>
      </c>
      <c r="AN65" s="94">
        <f t="shared" si="22"/>
        <v>0</v>
      </c>
      <c r="AO65" s="95">
        <f t="shared" si="24"/>
        <v>-2.1830964852990875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-2.1830964852990875</v>
      </c>
      <c r="AW65" s="234">
        <f t="shared" si="42"/>
        <v>0</v>
      </c>
      <c r="AX65" s="234">
        <f t="shared" si="43"/>
        <v>-2.1898851291996063E-2</v>
      </c>
      <c r="AY65" s="99"/>
      <c r="AZ65" s="94">
        <f t="shared" si="11"/>
        <v>-207.39416610341331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93">
        <v>0</v>
      </c>
      <c r="AF66" s="234">
        <f t="shared" si="20"/>
        <v>0</v>
      </c>
      <c r="AG66" s="93">
        <v>0</v>
      </c>
      <c r="AH66" s="93"/>
      <c r="AI66" s="93"/>
      <c r="AJ66" s="93"/>
      <c r="AK66" s="93"/>
      <c r="AL66" s="122">
        <f t="shared" si="21"/>
        <v>1.866192970598175</v>
      </c>
      <c r="AM66" s="93">
        <v>0</v>
      </c>
      <c r="AN66" s="94">
        <f t="shared" si="22"/>
        <v>0</v>
      </c>
      <c r="AO66" s="95">
        <f t="shared" si="24"/>
        <v>-1.866192970598175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-1.866192970598175</v>
      </c>
      <c r="AW66" s="234">
        <f t="shared" si="42"/>
        <v>0</v>
      </c>
      <c r="AX66" s="234">
        <f t="shared" si="43"/>
        <v>-1.9169932928589369E-2</v>
      </c>
      <c r="AY66" s="99"/>
      <c r="AZ66" s="94">
        <f t="shared" si="11"/>
        <v>-177.28833220682662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93">
        <v>0</v>
      </c>
      <c r="AF67" s="234">
        <f t="shared" si="20"/>
        <v>0</v>
      </c>
      <c r="AG67" s="93">
        <v>0</v>
      </c>
      <c r="AH67" s="93"/>
      <c r="AI67" s="93"/>
      <c r="AJ67" s="93"/>
      <c r="AK67" s="93"/>
      <c r="AL67" s="122">
        <f t="shared" si="21"/>
        <v>0</v>
      </c>
      <c r="AM67" s="93">
        <v>0</v>
      </c>
      <c r="AN67" s="94">
        <f t="shared" si="22"/>
        <v>0</v>
      </c>
      <c r="AO67" s="95">
        <f t="shared" si="24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5">N68/7</f>
        <v>0</v>
      </c>
      <c r="R68" s="92">
        <f t="shared" ref="R68:R103" si="46">U68/7</f>
        <v>0</v>
      </c>
      <c r="S68" s="93">
        <v>0</v>
      </c>
      <c r="T68" s="93">
        <v>0</v>
      </c>
      <c r="U68" s="92">
        <f t="shared" ref="U68:U104" si="47">S68+T68</f>
        <v>0</v>
      </c>
      <c r="V68" s="93">
        <v>0</v>
      </c>
      <c r="W68" s="93">
        <v>0</v>
      </c>
      <c r="X68" s="92">
        <f t="shared" ref="X68:X104" si="48">V68+W68</f>
        <v>0</v>
      </c>
      <c r="Y68" s="93">
        <v>0</v>
      </c>
      <c r="Z68" s="93">
        <v>0</v>
      </c>
      <c r="AA68" s="92">
        <f t="shared" ref="AA68:AA104" si="49">Y68+Z68</f>
        <v>0</v>
      </c>
      <c r="AB68" s="92">
        <f t="shared" ref="AB68:AB104" si="50">N68*O68*P68/100</f>
        <v>0</v>
      </c>
      <c r="AC68" s="234">
        <f t="shared" ref="AC68:AC104" si="51">AA68/$AA$127</f>
        <v>0</v>
      </c>
      <c r="AD68" s="92">
        <f t="shared" ref="AD68:AD104" si="52">U68*K68</f>
        <v>0</v>
      </c>
      <c r="AE68" s="93">
        <v>0</v>
      </c>
      <c r="AF68" s="234">
        <f t="shared" ref="AF68:AF104" si="53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4" si="54">IFERROR($AL$127*H68/$H$127,0)</f>
        <v>0</v>
      </c>
      <c r="AM68" s="93">
        <v>0</v>
      </c>
      <c r="AN68" s="94">
        <f t="shared" ref="AN68:AN103" si="55">X68*5.71%</f>
        <v>0</v>
      </c>
      <c r="AO68" s="95">
        <f t="shared" si="24"/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5</v>
      </c>
      <c r="F69" s="93">
        <v>3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703.19999999999993</v>
      </c>
      <c r="M69" s="89">
        <v>16</v>
      </c>
      <c r="N69" s="89">
        <v>4</v>
      </c>
      <c r="O69" s="89">
        <v>998</v>
      </c>
      <c r="P69" s="89">
        <v>100</v>
      </c>
      <c r="Q69" s="233">
        <f t="shared" si="45"/>
        <v>0.5714285714285714</v>
      </c>
      <c r="R69" s="92">
        <f t="shared" si="46"/>
        <v>0.14285714285714285</v>
      </c>
      <c r="S69" s="93">
        <v>1</v>
      </c>
      <c r="T69" s="93">
        <v>0</v>
      </c>
      <c r="U69" s="92">
        <f t="shared" si="47"/>
        <v>1</v>
      </c>
      <c r="V69" s="93">
        <v>703</v>
      </c>
      <c r="W69" s="93">
        <v>0</v>
      </c>
      <c r="X69" s="92">
        <f t="shared" si="48"/>
        <v>703</v>
      </c>
      <c r="Y69" s="93">
        <v>998</v>
      </c>
      <c r="Z69" s="93">
        <v>0</v>
      </c>
      <c r="AA69" s="92">
        <f t="shared" si="49"/>
        <v>998</v>
      </c>
      <c r="AB69" s="92">
        <f t="shared" si="50"/>
        <v>3992</v>
      </c>
      <c r="AC69" s="234">
        <f t="shared" si="51"/>
        <v>3.4760461947313062E-4</v>
      </c>
      <c r="AD69" s="92">
        <f t="shared" si="52"/>
        <v>140.63999999999999</v>
      </c>
      <c r="AE69" s="93">
        <v>386.11</v>
      </c>
      <c r="AF69" s="234">
        <f t="shared" si="53"/>
        <v>0.38688376753507014</v>
      </c>
      <c r="AG69" s="93">
        <v>142.47</v>
      </c>
      <c r="AH69" s="93"/>
      <c r="AI69" s="93"/>
      <c r="AJ69" s="93"/>
      <c r="AK69" s="93"/>
      <c r="AL69" s="122">
        <f t="shared" si="54"/>
        <v>0.93309648529908751</v>
      </c>
      <c r="AM69" s="93">
        <v>0</v>
      </c>
      <c r="AN69" s="94">
        <f t="shared" si="55"/>
        <v>40.141300000000001</v>
      </c>
      <c r="AO69" s="95">
        <f t="shared" ref="AO69:AO103" si="56">AA69-AD69-AE69-AG69-AH69-AI69-AK69-AL69-AN69-AM69</f>
        <v>287.7056035147009</v>
      </c>
      <c r="AP69" s="96"/>
      <c r="AQ69" s="97">
        <f t="shared" si="5"/>
        <v>998</v>
      </c>
      <c r="AR69" s="98">
        <f t="shared" si="34"/>
        <v>140.63999999999999</v>
      </c>
      <c r="AS69" s="98">
        <f t="shared" si="7"/>
        <v>386.11</v>
      </c>
      <c r="AT69" s="98">
        <f t="shared" si="8"/>
        <v>142.47</v>
      </c>
      <c r="AU69" s="98">
        <f t="shared" si="23"/>
        <v>0</v>
      </c>
      <c r="AV69" s="98">
        <f t="array" ref="AV69">_xlfn.IFS(U69=0,AO69,U69&lt;0,AO69/-U69,U69&gt;0,AO69/U69)</f>
        <v>287.7056035147009</v>
      </c>
      <c r="AW69" s="234">
        <f t="shared" si="42"/>
        <v>0.28828216785040173</v>
      </c>
      <c r="AX69" s="234">
        <f t="shared" si="43"/>
        <v>2.0456883071295571</v>
      </c>
      <c r="AY69" s="99"/>
      <c r="AZ69" s="94">
        <f t="shared" si="11"/>
        <v>1438.5280175735045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5"/>
        <v>0</v>
      </c>
      <c r="R70" s="92">
        <f t="shared" si="46"/>
        <v>0</v>
      </c>
      <c r="S70" s="93">
        <v>0</v>
      </c>
      <c r="T70" s="93">
        <v>0</v>
      </c>
      <c r="U70" s="92">
        <f t="shared" si="47"/>
        <v>0</v>
      </c>
      <c r="V70" s="93">
        <v>0</v>
      </c>
      <c r="W70" s="93">
        <v>0</v>
      </c>
      <c r="X70" s="92">
        <f t="shared" si="48"/>
        <v>0</v>
      </c>
      <c r="Y70" s="93">
        <v>0</v>
      </c>
      <c r="Z70" s="93">
        <v>0</v>
      </c>
      <c r="AA70" s="92">
        <f t="shared" si="49"/>
        <v>0</v>
      </c>
      <c r="AB70" s="92">
        <f t="shared" si="50"/>
        <v>0</v>
      </c>
      <c r="AC70" s="234">
        <f t="shared" si="51"/>
        <v>0</v>
      </c>
      <c r="AD70" s="92">
        <f t="shared" si="52"/>
        <v>0</v>
      </c>
      <c r="AE70" s="93">
        <v>0</v>
      </c>
      <c r="AF70" s="234">
        <f t="shared" si="53"/>
        <v>0</v>
      </c>
      <c r="AG70" s="93">
        <v>0</v>
      </c>
      <c r="AH70" s="93"/>
      <c r="AI70" s="93"/>
      <c r="AJ70" s="93"/>
      <c r="AK70" s="93"/>
      <c r="AL70" s="122">
        <f t="shared" si="54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5"/>
        <v>0</v>
      </c>
      <c r="AR70" s="98">
        <f t="shared" si="34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1</v>
      </c>
      <c r="G71" s="93" t="s">
        <v>100</v>
      </c>
      <c r="H71" s="93">
        <v>2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5"/>
        <v>0.14285714285714285</v>
      </c>
      <c r="R71" s="92">
        <f t="shared" si="46"/>
        <v>0</v>
      </c>
      <c r="S71" s="93">
        <v>0</v>
      </c>
      <c r="T71" s="93">
        <v>0</v>
      </c>
      <c r="U71" s="92">
        <f t="shared" si="47"/>
        <v>0</v>
      </c>
      <c r="V71" s="93">
        <v>0</v>
      </c>
      <c r="W71" s="93">
        <v>0</v>
      </c>
      <c r="X71" s="92">
        <f t="shared" si="48"/>
        <v>0</v>
      </c>
      <c r="Y71" s="93">
        <v>0</v>
      </c>
      <c r="Z71" s="93">
        <v>0</v>
      </c>
      <c r="AA71" s="92">
        <f t="shared" si="49"/>
        <v>0</v>
      </c>
      <c r="AB71" s="92">
        <f t="shared" si="50"/>
        <v>0</v>
      </c>
      <c r="AC71" s="234">
        <f t="shared" si="51"/>
        <v>0</v>
      </c>
      <c r="AD71" s="92">
        <f t="shared" si="52"/>
        <v>0</v>
      </c>
      <c r="AE71" s="93">
        <v>0</v>
      </c>
      <c r="AF71" s="234">
        <f t="shared" si="53"/>
        <v>0</v>
      </c>
      <c r="AG71" s="93">
        <v>2.73</v>
      </c>
      <c r="AH71" s="93"/>
      <c r="AI71" s="93"/>
      <c r="AJ71" s="93"/>
      <c r="AK71" s="93"/>
      <c r="AL71" s="122">
        <f t="shared" si="54"/>
        <v>1.866192970598175</v>
      </c>
      <c r="AM71" s="93">
        <v>0</v>
      </c>
      <c r="AN71" s="94">
        <f t="shared" si="55"/>
        <v>0</v>
      </c>
      <c r="AO71" s="95">
        <f t="shared" si="56"/>
        <v>-4.5961929705981746</v>
      </c>
      <c r="AP71" s="96"/>
      <c r="AQ71" s="97">
        <f t="shared" si="5"/>
        <v>0</v>
      </c>
      <c r="AR71" s="98">
        <f t="shared" si="34"/>
        <v>123.09</v>
      </c>
      <c r="AS71" s="98">
        <f t="shared" si="7"/>
        <v>0</v>
      </c>
      <c r="AT71" s="98">
        <f t="shared" si="8"/>
        <v>2.73</v>
      </c>
      <c r="AU71" s="98">
        <f t="shared" ref="AU71:AU103" si="57">IF(S71=0,0,(AH71+AI71+AJ71)/S71)</f>
        <v>0</v>
      </c>
      <c r="AV71" s="98">
        <f t="array" ref="AV71">_xlfn.IFS(U71=0,AO71,U71&lt;0,AO71/-U71,U71&gt;0,AO71/U71)</f>
        <v>-4.5961929705981746</v>
      </c>
      <c r="AW71" s="234">
        <f t="shared" si="42"/>
        <v>0</v>
      </c>
      <c r="AX71" s="234">
        <f t="shared" si="43"/>
        <v>-3.7340100500431996E-2</v>
      </c>
      <c r="AY71" s="99"/>
      <c r="AZ71" s="94">
        <f t="shared" si="11"/>
        <v>-124.09721020615072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5"/>
        <v>0</v>
      </c>
      <c r="R72" s="92">
        <f t="shared" si="46"/>
        <v>0</v>
      </c>
      <c r="S72" s="93">
        <v>0</v>
      </c>
      <c r="T72" s="93">
        <v>0</v>
      </c>
      <c r="U72" s="92">
        <f t="shared" si="47"/>
        <v>0</v>
      </c>
      <c r="V72" s="93">
        <v>0</v>
      </c>
      <c r="W72" s="93">
        <v>0</v>
      </c>
      <c r="X72" s="92">
        <f t="shared" si="48"/>
        <v>0</v>
      </c>
      <c r="Y72" s="93">
        <v>0</v>
      </c>
      <c r="Z72" s="93">
        <v>0</v>
      </c>
      <c r="AA72" s="92">
        <f t="shared" si="49"/>
        <v>0</v>
      </c>
      <c r="AB72" s="92">
        <f t="shared" si="50"/>
        <v>0</v>
      </c>
      <c r="AC72" s="234">
        <f t="shared" si="51"/>
        <v>0</v>
      </c>
      <c r="AD72" s="92">
        <f t="shared" si="52"/>
        <v>0</v>
      </c>
      <c r="AE72" s="93">
        <v>0</v>
      </c>
      <c r="AF72" s="234">
        <f t="shared" si="53"/>
        <v>0</v>
      </c>
      <c r="AG72" s="93">
        <v>0</v>
      </c>
      <c r="AH72" s="93"/>
      <c r="AI72" s="93"/>
      <c r="AJ72" s="93"/>
      <c r="AK72" s="93"/>
      <c r="AL72" s="122">
        <f t="shared" si="54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5"/>
        <v>0</v>
      </c>
      <c r="AR72" s="98">
        <f t="shared" si="34"/>
        <v>123.09</v>
      </c>
      <c r="AS72" s="98">
        <f t="shared" si="7"/>
        <v>0</v>
      </c>
      <c r="AT72" s="98">
        <f t="shared" si="8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3</v>
      </c>
      <c r="F73" s="93" t="s">
        <v>100</v>
      </c>
      <c r="G73" s="93" t="s">
        <v>100</v>
      </c>
      <c r="H73" s="93">
        <v>2</v>
      </c>
      <c r="I73" s="93">
        <v>0</v>
      </c>
      <c r="J73" s="93">
        <v>1</v>
      </c>
      <c r="K73" s="93">
        <v>123.09</v>
      </c>
      <c r="L73" s="92">
        <f t="shared" si="41"/>
        <v>369.27</v>
      </c>
      <c r="M73" s="89">
        <v>999</v>
      </c>
      <c r="N73" s="89">
        <v>1</v>
      </c>
      <c r="O73" s="89">
        <v>807</v>
      </c>
      <c r="P73" s="89">
        <v>100</v>
      </c>
      <c r="Q73" s="233">
        <f t="shared" si="45"/>
        <v>0.14285714285714285</v>
      </c>
      <c r="R73" s="92">
        <f t="shared" si="46"/>
        <v>0.14285714285714285</v>
      </c>
      <c r="S73" s="93">
        <v>1</v>
      </c>
      <c r="T73" s="93">
        <v>0</v>
      </c>
      <c r="U73" s="92">
        <f t="shared" si="47"/>
        <v>1</v>
      </c>
      <c r="V73" s="93">
        <v>541</v>
      </c>
      <c r="W73" s="93">
        <v>0</v>
      </c>
      <c r="X73" s="92">
        <f t="shared" si="48"/>
        <v>541</v>
      </c>
      <c r="Y73" s="93">
        <v>807</v>
      </c>
      <c r="Z73" s="93">
        <v>0</v>
      </c>
      <c r="AA73" s="92">
        <f t="shared" si="49"/>
        <v>807</v>
      </c>
      <c r="AB73" s="92">
        <f t="shared" si="50"/>
        <v>807</v>
      </c>
      <c r="AC73" s="234">
        <f t="shared" si="51"/>
        <v>2.810790860869904E-4</v>
      </c>
      <c r="AD73" s="92">
        <f t="shared" si="52"/>
        <v>123.09</v>
      </c>
      <c r="AE73" s="93">
        <v>306.10000000000002</v>
      </c>
      <c r="AF73" s="234">
        <f t="shared" si="53"/>
        <v>0.37930607187112764</v>
      </c>
      <c r="AG73" s="93">
        <v>200.86999999999998</v>
      </c>
      <c r="AH73" s="93"/>
      <c r="AI73" s="93"/>
      <c r="AJ73" s="93"/>
      <c r="AK73" s="93"/>
      <c r="AL73" s="122">
        <f t="shared" si="54"/>
        <v>1.866192970598175</v>
      </c>
      <c r="AM73" s="93">
        <v>0</v>
      </c>
      <c r="AN73" s="94">
        <f t="shared" si="55"/>
        <v>30.891099999999998</v>
      </c>
      <c r="AO73" s="95">
        <f t="shared" si="56"/>
        <v>144.1827070294018</v>
      </c>
      <c r="AP73" s="96"/>
      <c r="AQ73" s="97">
        <f t="shared" si="5"/>
        <v>807</v>
      </c>
      <c r="AR73" s="98">
        <f t="shared" si="34"/>
        <v>123.09</v>
      </c>
      <c r="AS73" s="98">
        <f t="shared" si="7"/>
        <v>306.10000000000002</v>
      </c>
      <c r="AT73" s="98">
        <f t="shared" si="8"/>
        <v>200.86999999999998</v>
      </c>
      <c r="AU73" s="98">
        <f t="shared" si="57"/>
        <v>0</v>
      </c>
      <c r="AV73" s="98">
        <f t="array" ref="AV73">_xlfn.IFS(U73=0,AO73,U73&lt;0,AO73/-U73,U73&gt;0,AO73/U73)</f>
        <v>144.1827070294018</v>
      </c>
      <c r="AW73" s="234">
        <f t="shared" si="42"/>
        <v>0.17866506447261685</v>
      </c>
      <c r="AX73" s="234">
        <f t="shared" si="43"/>
        <v>1.1713600376098936</v>
      </c>
      <c r="AY73" s="99"/>
      <c r="AZ73" s="94">
        <f t="shared" si="11"/>
        <v>432.54812108820539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5"/>
        <v>0</v>
      </c>
      <c r="R74" s="92">
        <f t="shared" si="46"/>
        <v>0</v>
      </c>
      <c r="S74" s="93">
        <v>0</v>
      </c>
      <c r="T74" s="93">
        <v>0</v>
      </c>
      <c r="U74" s="92">
        <f t="shared" si="47"/>
        <v>0</v>
      </c>
      <c r="V74" s="93">
        <v>0</v>
      </c>
      <c r="W74" s="93">
        <v>0</v>
      </c>
      <c r="X74" s="92">
        <f t="shared" si="48"/>
        <v>0</v>
      </c>
      <c r="Y74" s="93">
        <v>0</v>
      </c>
      <c r="Z74" s="93">
        <v>0</v>
      </c>
      <c r="AA74" s="92">
        <f t="shared" si="49"/>
        <v>0</v>
      </c>
      <c r="AB74" s="92">
        <f t="shared" si="50"/>
        <v>0</v>
      </c>
      <c r="AC74" s="234">
        <f t="shared" si="51"/>
        <v>0</v>
      </c>
      <c r="AD74" s="92">
        <f t="shared" si="52"/>
        <v>0</v>
      </c>
      <c r="AE74" s="93">
        <v>0</v>
      </c>
      <c r="AF74" s="234">
        <f t="shared" si="53"/>
        <v>0</v>
      </c>
      <c r="AG74" s="93">
        <v>0</v>
      </c>
      <c r="AH74" s="93"/>
      <c r="AI74" s="93"/>
      <c r="AJ74" s="93"/>
      <c r="AK74" s="93"/>
      <c r="AL74" s="122">
        <f t="shared" si="54"/>
        <v>0</v>
      </c>
      <c r="AM74" s="93">
        <v>0</v>
      </c>
      <c r="AN74" s="94">
        <f t="shared" si="55"/>
        <v>0</v>
      </c>
      <c r="AO74" s="95">
        <f t="shared" si="56"/>
        <v>0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0</v>
      </c>
      <c r="AU74" s="98">
        <f t="shared" si="57"/>
        <v>0</v>
      </c>
      <c r="AV74" s="98">
        <f t="array" ref="AV74">_xlfn.IFS(U74=0,AO74,U74&lt;0,AO74/-U74,U74&gt;0,AO74/U74)</f>
        <v>0</v>
      </c>
      <c r="AW74" s="234">
        <f t="shared" si="42"/>
        <v>0</v>
      </c>
      <c r="AX74" s="234">
        <f t="shared" si="43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10</v>
      </c>
      <c r="F75" s="93">
        <v>7</v>
      </c>
      <c r="G75" s="93">
        <v>2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1"/>
        <v>1347.8999999999999</v>
      </c>
      <c r="M75" s="89">
        <v>55</v>
      </c>
      <c r="N75" s="89">
        <v>11</v>
      </c>
      <c r="O75" s="89">
        <v>763</v>
      </c>
      <c r="P75" s="89">
        <v>0</v>
      </c>
      <c r="Q75" s="233">
        <f t="shared" si="45"/>
        <v>1.5714285714285714</v>
      </c>
      <c r="R75" s="92">
        <f t="shared" si="46"/>
        <v>0.2857142857142857</v>
      </c>
      <c r="S75" s="93">
        <v>2</v>
      </c>
      <c r="T75" s="93">
        <v>0</v>
      </c>
      <c r="U75" s="92">
        <f t="shared" si="47"/>
        <v>2</v>
      </c>
      <c r="V75" s="93">
        <v>1082</v>
      </c>
      <c r="W75" s="93">
        <v>0</v>
      </c>
      <c r="X75" s="92">
        <f t="shared" si="48"/>
        <v>1082</v>
      </c>
      <c r="Y75" s="93">
        <v>1526</v>
      </c>
      <c r="Z75" s="93">
        <v>0</v>
      </c>
      <c r="AA75" s="92">
        <f t="shared" si="49"/>
        <v>1526</v>
      </c>
      <c r="AB75" s="92">
        <f t="shared" si="50"/>
        <v>0</v>
      </c>
      <c r="AC75" s="234">
        <f t="shared" si="51"/>
        <v>5.3150766464528788E-4</v>
      </c>
      <c r="AD75" s="92">
        <f t="shared" si="52"/>
        <v>269.58</v>
      </c>
      <c r="AE75" s="93">
        <v>581.18000000000006</v>
      </c>
      <c r="AF75" s="234">
        <f t="shared" si="53"/>
        <v>0.38085190039318484</v>
      </c>
      <c r="AG75" s="93">
        <v>486.90000000000003</v>
      </c>
      <c r="AH75" s="93"/>
      <c r="AI75" s="93"/>
      <c r="AJ75" s="93"/>
      <c r="AK75" s="93"/>
      <c r="AL75" s="122">
        <f t="shared" si="54"/>
        <v>0</v>
      </c>
      <c r="AM75" s="93">
        <v>0</v>
      </c>
      <c r="AN75" s="94">
        <f t="shared" si="55"/>
        <v>61.782199999999996</v>
      </c>
      <c r="AO75" s="95">
        <f t="shared" si="56"/>
        <v>126.55779999999999</v>
      </c>
      <c r="AP75" s="96"/>
      <c r="AQ75" s="97">
        <f t="shared" si="5"/>
        <v>763</v>
      </c>
      <c r="AR75" s="98">
        <f t="shared" si="34"/>
        <v>134.79</v>
      </c>
      <c r="AS75" s="98">
        <f t="shared" si="7"/>
        <v>290.59000000000003</v>
      </c>
      <c r="AT75" s="98">
        <f t="shared" si="8"/>
        <v>243.45000000000002</v>
      </c>
      <c r="AU75" s="98">
        <f t="shared" si="57"/>
        <v>0</v>
      </c>
      <c r="AV75" s="98">
        <f t="array" ref="AV75">_xlfn.IFS(U75=0,AO75,U75&lt;0,AO75/-U75,U75&gt;0,AO75/U75)</f>
        <v>63.278899999999993</v>
      </c>
      <c r="AW75" s="234">
        <f t="shared" si="42"/>
        <v>8.2934338138925284E-2</v>
      </c>
      <c r="AX75" s="234">
        <f t="shared" si="43"/>
        <v>0.46946286816529414</v>
      </c>
      <c r="AY75" s="99"/>
      <c r="AZ75" s="94">
        <f t="shared" si="11"/>
        <v>632.78899999999999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39</v>
      </c>
      <c r="F76" s="93">
        <v>3</v>
      </c>
      <c r="G76" s="93">
        <v>2</v>
      </c>
      <c r="H76" s="93">
        <v>33</v>
      </c>
      <c r="I76" s="93">
        <v>0</v>
      </c>
      <c r="J76" s="93">
        <v>1</v>
      </c>
      <c r="K76" s="93">
        <v>123.09</v>
      </c>
      <c r="L76" s="92">
        <f t="shared" si="41"/>
        <v>4800.51</v>
      </c>
      <c r="M76" s="89">
        <v>92</v>
      </c>
      <c r="N76" s="89">
        <v>6</v>
      </c>
      <c r="O76" s="89">
        <v>1050</v>
      </c>
      <c r="P76" s="89">
        <v>0</v>
      </c>
      <c r="Q76" s="233">
        <f t="shared" si="45"/>
        <v>0.8571428571428571</v>
      </c>
      <c r="R76" s="92">
        <f t="shared" si="46"/>
        <v>0</v>
      </c>
      <c r="S76" s="93">
        <v>0</v>
      </c>
      <c r="T76" s="93">
        <v>0</v>
      </c>
      <c r="U76" s="92">
        <f t="shared" si="47"/>
        <v>0</v>
      </c>
      <c r="V76" s="93">
        <v>0</v>
      </c>
      <c r="W76" s="93">
        <v>0</v>
      </c>
      <c r="X76" s="92">
        <f t="shared" si="48"/>
        <v>0</v>
      </c>
      <c r="Y76" s="93">
        <v>0</v>
      </c>
      <c r="Z76" s="93">
        <v>0</v>
      </c>
      <c r="AA76" s="92">
        <f t="shared" si="49"/>
        <v>0</v>
      </c>
      <c r="AB76" s="92">
        <f t="shared" si="50"/>
        <v>0</v>
      </c>
      <c r="AC76" s="234">
        <f t="shared" si="51"/>
        <v>0</v>
      </c>
      <c r="AD76" s="92">
        <f t="shared" si="52"/>
        <v>0</v>
      </c>
      <c r="AE76" s="93">
        <v>0</v>
      </c>
      <c r="AF76" s="234">
        <f t="shared" si="53"/>
        <v>0</v>
      </c>
      <c r="AG76" s="93">
        <v>494.14000000000027</v>
      </c>
      <c r="AH76" s="93"/>
      <c r="AI76" s="93"/>
      <c r="AJ76" s="93"/>
      <c r="AK76" s="93"/>
      <c r="AL76" s="122">
        <f t="shared" si="54"/>
        <v>30.792184014869886</v>
      </c>
      <c r="AM76" s="93">
        <v>0</v>
      </c>
      <c r="AN76" s="94">
        <f t="shared" si="55"/>
        <v>0</v>
      </c>
      <c r="AO76" s="95">
        <f t="shared" si="56"/>
        <v>-524.93218401487013</v>
      </c>
      <c r="AP76" s="96"/>
      <c r="AQ76" s="97">
        <f t="shared" si="5"/>
        <v>0</v>
      </c>
      <c r="AR76" s="98">
        <f t="shared" si="34"/>
        <v>123.09</v>
      </c>
      <c r="AS76" s="98">
        <f t="shared" si="7"/>
        <v>0</v>
      </c>
      <c r="AT76" s="98">
        <f t="shared" si="8"/>
        <v>494.14000000000027</v>
      </c>
      <c r="AU76" s="98">
        <f t="shared" si="57"/>
        <v>0</v>
      </c>
      <c r="AV76" s="98">
        <f t="array" ref="AV76">_xlfn.IFS(U76=0,AO76,U76&lt;0,AO76/-U76,U76&gt;0,AO76/U76)</f>
        <v>-524.93218401487013</v>
      </c>
      <c r="AW76" s="234">
        <f t="shared" si="42"/>
        <v>0</v>
      </c>
      <c r="AX76" s="234">
        <f t="shared" si="43"/>
        <v>-4.2646208791524094</v>
      </c>
      <c r="AY76" s="99"/>
      <c r="AZ76" s="94">
        <f t="shared" si="11"/>
        <v>-20472.355176579935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30</v>
      </c>
      <c r="F77" s="93">
        <v>4</v>
      </c>
      <c r="G77" s="93" t="s">
        <v>100</v>
      </c>
      <c r="H77" s="93">
        <v>22</v>
      </c>
      <c r="I77" s="93">
        <v>0</v>
      </c>
      <c r="J77" s="93">
        <v>4</v>
      </c>
      <c r="K77" s="93">
        <v>123.09</v>
      </c>
      <c r="L77" s="92">
        <f t="shared" si="41"/>
        <v>3692.7000000000003</v>
      </c>
      <c r="M77" s="89">
        <v>72</v>
      </c>
      <c r="N77" s="89">
        <v>4</v>
      </c>
      <c r="O77" s="89">
        <v>1150</v>
      </c>
      <c r="P77" s="89">
        <v>0</v>
      </c>
      <c r="Q77" s="233">
        <f t="shared" si="45"/>
        <v>0.5714285714285714</v>
      </c>
      <c r="R77" s="92">
        <f t="shared" si="46"/>
        <v>0.14285714285714285</v>
      </c>
      <c r="S77" s="93">
        <v>1</v>
      </c>
      <c r="T77" s="93">
        <v>0</v>
      </c>
      <c r="U77" s="92">
        <f t="shared" si="47"/>
        <v>1</v>
      </c>
      <c r="V77" s="93">
        <v>809</v>
      </c>
      <c r="W77" s="93">
        <v>0</v>
      </c>
      <c r="X77" s="92">
        <f t="shared" si="48"/>
        <v>809</v>
      </c>
      <c r="Y77" s="93">
        <v>1150</v>
      </c>
      <c r="Z77" s="93">
        <v>0</v>
      </c>
      <c r="AA77" s="92">
        <f t="shared" si="49"/>
        <v>1150</v>
      </c>
      <c r="AB77" s="92">
        <f t="shared" si="50"/>
        <v>0</v>
      </c>
      <c r="AC77" s="234">
        <f t="shared" si="51"/>
        <v>4.0054640520450921E-4</v>
      </c>
      <c r="AD77" s="92">
        <f t="shared" si="52"/>
        <v>123.09</v>
      </c>
      <c r="AE77" s="93">
        <v>437.74</v>
      </c>
      <c r="AF77" s="234">
        <f t="shared" si="53"/>
        <v>0.38064347826086958</v>
      </c>
      <c r="AG77" s="93">
        <v>144.69000000000008</v>
      </c>
      <c r="AH77" s="93"/>
      <c r="AI77" s="93">
        <v>230</v>
      </c>
      <c r="AJ77" s="93"/>
      <c r="AK77" s="93"/>
      <c r="AL77" s="122">
        <f t="shared" si="54"/>
        <v>20.528122676579926</v>
      </c>
      <c r="AM77" s="93">
        <v>0</v>
      </c>
      <c r="AN77" s="94">
        <f t="shared" si="55"/>
        <v>46.193899999999999</v>
      </c>
      <c r="AO77" s="95">
        <f t="shared" si="56"/>
        <v>147.75797732342011</v>
      </c>
      <c r="AP77" s="96"/>
      <c r="AQ77" s="97">
        <f t="shared" si="5"/>
        <v>1150</v>
      </c>
      <c r="AR77" s="98">
        <f t="shared" si="34"/>
        <v>123.09</v>
      </c>
      <c r="AS77" s="98">
        <f t="shared" si="7"/>
        <v>437.74</v>
      </c>
      <c r="AT77" s="98">
        <f t="shared" si="8"/>
        <v>144.69000000000008</v>
      </c>
      <c r="AU77" s="98">
        <f t="shared" si="57"/>
        <v>230</v>
      </c>
      <c r="AV77" s="98">
        <f t="array" ref="AV77">_xlfn.IFS(U77=0,AO77,U77&lt;0,AO77/-U77,U77&gt;0,AO77/U77)</f>
        <v>147.75797732342011</v>
      </c>
      <c r="AW77" s="234">
        <f t="shared" si="42"/>
        <v>0.12848519767253921</v>
      </c>
      <c r="AX77" s="234">
        <f t="shared" si="43"/>
        <v>1.2004060226128856</v>
      </c>
      <c r="AY77" s="99"/>
      <c r="AZ77" s="94">
        <f t="shared" si="11"/>
        <v>4432.7393197026031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2</v>
      </c>
      <c r="G78" s="93">
        <v>5</v>
      </c>
      <c r="H78" s="93">
        <v>8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69</v>
      </c>
      <c r="N78" s="89">
        <v>11</v>
      </c>
      <c r="O78" s="89">
        <v>1000</v>
      </c>
      <c r="P78" s="89">
        <v>33</v>
      </c>
      <c r="Q78" s="233">
        <f t="shared" si="45"/>
        <v>1.5714285714285714</v>
      </c>
      <c r="R78" s="92">
        <f t="shared" si="46"/>
        <v>0.2857142857142857</v>
      </c>
      <c r="S78" s="93">
        <v>2</v>
      </c>
      <c r="T78" s="93">
        <v>0</v>
      </c>
      <c r="U78" s="92">
        <f t="shared" si="47"/>
        <v>2</v>
      </c>
      <c r="V78" s="93">
        <v>1348</v>
      </c>
      <c r="W78" s="93">
        <v>0</v>
      </c>
      <c r="X78" s="92">
        <f t="shared" si="48"/>
        <v>1348</v>
      </c>
      <c r="Y78" s="93">
        <v>2000</v>
      </c>
      <c r="Z78" s="93">
        <v>0</v>
      </c>
      <c r="AA78" s="92">
        <f t="shared" si="49"/>
        <v>2000</v>
      </c>
      <c r="AB78" s="92">
        <f t="shared" si="50"/>
        <v>3630</v>
      </c>
      <c r="AC78" s="234">
        <f t="shared" si="51"/>
        <v>6.9660244383392908E-4</v>
      </c>
      <c r="AD78" s="92">
        <f t="shared" si="52"/>
        <v>246.18</v>
      </c>
      <c r="AE78" s="93">
        <v>764.65000000000009</v>
      </c>
      <c r="AF78" s="234">
        <f t="shared" si="53"/>
        <v>0.38232500000000003</v>
      </c>
      <c r="AG78" s="93">
        <v>545.92000000000007</v>
      </c>
      <c r="AH78" s="93"/>
      <c r="AI78" s="93">
        <v>1144</v>
      </c>
      <c r="AJ78" s="93"/>
      <c r="AK78" s="93"/>
      <c r="AL78" s="122">
        <f t="shared" si="54"/>
        <v>7.4647718823927001</v>
      </c>
      <c r="AM78" s="93">
        <v>0</v>
      </c>
      <c r="AN78" s="94">
        <f t="shared" si="55"/>
        <v>76.970799999999997</v>
      </c>
      <c r="AO78" s="95">
        <f t="shared" si="56"/>
        <v>-785.18557188239288</v>
      </c>
      <c r="AP78" s="96"/>
      <c r="AQ78" s="97">
        <f t="shared" si="5"/>
        <v>1000</v>
      </c>
      <c r="AR78" s="98">
        <f t="shared" si="34"/>
        <v>123.09</v>
      </c>
      <c r="AS78" s="98">
        <f t="shared" si="7"/>
        <v>382.32500000000005</v>
      </c>
      <c r="AT78" s="98">
        <f t="shared" si="8"/>
        <v>272.96000000000004</v>
      </c>
      <c r="AU78" s="98">
        <f t="shared" si="57"/>
        <v>572</v>
      </c>
      <c r="AV78" s="98">
        <f t="array" ref="AV78">_xlfn.IFS(U78=0,AO78,U78&lt;0,AO78/-U78,U78&gt;0,AO78/U78)</f>
        <v>-392.59278594119644</v>
      </c>
      <c r="AW78" s="234">
        <f t="shared" si="42"/>
        <v>-0.39259278594119645</v>
      </c>
      <c r="AX78" s="234">
        <f t="shared" si="43"/>
        <v>-3.1894775037874434</v>
      </c>
      <c r="AY78" s="99"/>
      <c r="AZ78" s="94">
        <f t="shared" si="11"/>
        <v>-6281.484575059143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40</v>
      </c>
      <c r="F79" s="93">
        <v>7</v>
      </c>
      <c r="G79" s="93">
        <v>6</v>
      </c>
      <c r="H79" s="93">
        <v>26</v>
      </c>
      <c r="I79" s="93">
        <v>0</v>
      </c>
      <c r="J79" s="93">
        <v>1</v>
      </c>
      <c r="K79" s="93">
        <v>164.04</v>
      </c>
      <c r="L79" s="92">
        <f t="shared" si="41"/>
        <v>6561.5999999999995</v>
      </c>
      <c r="M79" s="89">
        <v>50</v>
      </c>
      <c r="N79" s="89">
        <v>15</v>
      </c>
      <c r="O79" s="89">
        <v>1300</v>
      </c>
      <c r="P79" s="89">
        <v>29</v>
      </c>
      <c r="Q79" s="233">
        <f t="shared" si="45"/>
        <v>2.1428571428571428</v>
      </c>
      <c r="R79" s="92">
        <f t="shared" si="46"/>
        <v>0.2857142857142857</v>
      </c>
      <c r="S79" s="93">
        <v>2</v>
      </c>
      <c r="T79" s="93">
        <v>0</v>
      </c>
      <c r="U79" s="92">
        <f t="shared" si="47"/>
        <v>2</v>
      </c>
      <c r="V79" s="93">
        <v>1674</v>
      </c>
      <c r="W79" s="93">
        <v>0</v>
      </c>
      <c r="X79" s="92">
        <f t="shared" si="48"/>
        <v>1674</v>
      </c>
      <c r="Y79" s="93">
        <v>2600</v>
      </c>
      <c r="Z79" s="93">
        <v>0</v>
      </c>
      <c r="AA79" s="92">
        <f t="shared" si="49"/>
        <v>2600</v>
      </c>
      <c r="AB79" s="92">
        <f t="shared" si="50"/>
        <v>5655</v>
      </c>
      <c r="AC79" s="234">
        <f t="shared" si="51"/>
        <v>9.0558317698410777E-4</v>
      </c>
      <c r="AD79" s="92">
        <f t="shared" si="52"/>
        <v>328.08</v>
      </c>
      <c r="AE79" s="93">
        <v>990.97</v>
      </c>
      <c r="AF79" s="234">
        <f t="shared" si="53"/>
        <v>0.38114230769230772</v>
      </c>
      <c r="AG79" s="93">
        <v>873.55</v>
      </c>
      <c r="AH79" s="93"/>
      <c r="AI79" s="93">
        <v>1008</v>
      </c>
      <c r="AJ79" s="93"/>
      <c r="AK79" s="93"/>
      <c r="AL79" s="122">
        <f t="shared" si="54"/>
        <v>24.260508617776278</v>
      </c>
      <c r="AM79" s="93">
        <v>0</v>
      </c>
      <c r="AN79" s="94">
        <f t="shared" si="55"/>
        <v>95.585399999999993</v>
      </c>
      <c r="AO79" s="95">
        <f t="shared" si="56"/>
        <v>-720.44590861777624</v>
      </c>
      <c r="AP79" s="96"/>
      <c r="AQ79" s="97">
        <f t="shared" si="5"/>
        <v>1300</v>
      </c>
      <c r="AR79" s="98">
        <f t="shared" si="34"/>
        <v>164.04</v>
      </c>
      <c r="AS79" s="98">
        <f t="shared" si="7"/>
        <v>495.48500000000001</v>
      </c>
      <c r="AT79" s="98">
        <f t="shared" si="8"/>
        <v>436.77499999999998</v>
      </c>
      <c r="AU79" s="98">
        <f t="shared" si="57"/>
        <v>504</v>
      </c>
      <c r="AV79" s="98">
        <f t="array" ref="AV79">_xlfn.IFS(U79=0,AO79,U79&lt;0,AO79/-U79,U79&gt;0,AO79/U79)</f>
        <v>-360.22295430888812</v>
      </c>
      <c r="AW79" s="234">
        <f t="shared" si="42"/>
        <v>-0.27709458023760625</v>
      </c>
      <c r="AX79" s="234">
        <f t="shared" si="43"/>
        <v>-2.1959458321683014</v>
      </c>
      <c r="AY79" s="99"/>
      <c r="AZ79" s="94">
        <f t="shared" si="11"/>
        <v>-14408.918172355525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25</v>
      </c>
      <c r="F80" s="93">
        <v>7</v>
      </c>
      <c r="G80" s="93">
        <v>3</v>
      </c>
      <c r="H80" s="93">
        <v>14</v>
      </c>
      <c r="I80" s="93">
        <v>0</v>
      </c>
      <c r="J80" s="93">
        <v>1</v>
      </c>
      <c r="K80" s="93">
        <v>164.04</v>
      </c>
      <c r="L80" s="92">
        <f t="shared" si="41"/>
        <v>4101</v>
      </c>
      <c r="M80" s="89">
        <v>75</v>
      </c>
      <c r="N80" s="89">
        <v>11</v>
      </c>
      <c r="O80" s="89">
        <v>987</v>
      </c>
      <c r="P80" s="89">
        <v>0</v>
      </c>
      <c r="Q80" s="233">
        <f t="shared" si="45"/>
        <v>1.5714285714285714</v>
      </c>
      <c r="R80" s="92">
        <f t="shared" si="46"/>
        <v>0.2857142857142857</v>
      </c>
      <c r="S80" s="93">
        <v>2</v>
      </c>
      <c r="T80" s="93">
        <v>0</v>
      </c>
      <c r="U80" s="92">
        <f t="shared" si="47"/>
        <v>2</v>
      </c>
      <c r="V80" s="93">
        <v>1363</v>
      </c>
      <c r="W80" s="93">
        <v>0</v>
      </c>
      <c r="X80" s="92">
        <f t="shared" si="48"/>
        <v>1363</v>
      </c>
      <c r="Y80" s="93">
        <v>1974</v>
      </c>
      <c r="Z80" s="93">
        <v>0</v>
      </c>
      <c r="AA80" s="92">
        <f t="shared" si="49"/>
        <v>1974</v>
      </c>
      <c r="AB80" s="92">
        <f t="shared" si="50"/>
        <v>0</v>
      </c>
      <c r="AC80" s="234">
        <f t="shared" si="51"/>
        <v>6.8754661206408803E-4</v>
      </c>
      <c r="AD80" s="92">
        <f t="shared" si="52"/>
        <v>328.08</v>
      </c>
      <c r="AE80" s="93">
        <v>756.34999999999991</v>
      </c>
      <c r="AF80" s="234">
        <f t="shared" si="53"/>
        <v>0.38315602836879425</v>
      </c>
      <c r="AG80" s="93">
        <v>527.89999999999986</v>
      </c>
      <c r="AH80" s="93">
        <v>588</v>
      </c>
      <c r="AI80" s="93">
        <v>325</v>
      </c>
      <c r="AJ80" s="93"/>
      <c r="AK80" s="93"/>
      <c r="AL80" s="122">
        <f t="shared" si="54"/>
        <v>13.063350794187224</v>
      </c>
      <c r="AM80" s="93">
        <v>0</v>
      </c>
      <c r="AN80" s="94">
        <f t="shared" si="55"/>
        <v>77.827299999999994</v>
      </c>
      <c r="AO80" s="95">
        <f t="shared" si="56"/>
        <v>-642.22065079418701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378.17499999999995</v>
      </c>
      <c r="AT80" s="98">
        <f t="shared" si="8"/>
        <v>263.94999999999993</v>
      </c>
      <c r="AU80" s="98">
        <f t="shared" si="57"/>
        <v>456.5</v>
      </c>
      <c r="AV80" s="98">
        <f t="array" ref="AV80">_xlfn.IFS(U80=0,AO80,U80&lt;0,AO80/-U80,U80&gt;0,AO80/U80)</f>
        <v>-321.1103253970935</v>
      </c>
      <c r="AW80" s="234">
        <f t="shared" si="42"/>
        <v>-0.32533974204366112</v>
      </c>
      <c r="AX80" s="234">
        <f t="shared" si="43"/>
        <v>-1.9575123469708213</v>
      </c>
      <c r="AY80" s="99"/>
      <c r="AZ80" s="94">
        <f t="shared" si="11"/>
        <v>-8027.7581349273378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5"/>
        <v>0</v>
      </c>
      <c r="R81" s="92">
        <f t="shared" si="46"/>
        <v>0.14285714285714285</v>
      </c>
      <c r="S81" s="93">
        <v>1</v>
      </c>
      <c r="T81" s="93">
        <v>0</v>
      </c>
      <c r="U81" s="92">
        <f t="shared" si="47"/>
        <v>1</v>
      </c>
      <c r="V81" s="93">
        <v>788</v>
      </c>
      <c r="W81" s="93">
        <v>0</v>
      </c>
      <c r="X81" s="92">
        <f t="shared" si="48"/>
        <v>788</v>
      </c>
      <c r="Y81" s="93">
        <v>1167</v>
      </c>
      <c r="Z81" s="93">
        <v>0</v>
      </c>
      <c r="AA81" s="92">
        <f t="shared" si="49"/>
        <v>1167</v>
      </c>
      <c r="AB81" s="92">
        <f t="shared" si="50"/>
        <v>0</v>
      </c>
      <c r="AC81" s="234">
        <f t="shared" si="51"/>
        <v>4.0646752597709758E-4</v>
      </c>
      <c r="AD81" s="92">
        <f t="shared" si="52"/>
        <v>128.94</v>
      </c>
      <c r="AE81" s="93">
        <v>442.88</v>
      </c>
      <c r="AF81" s="234">
        <f t="shared" si="53"/>
        <v>0.37950299914310198</v>
      </c>
      <c r="AG81" s="93">
        <v>159.80000000000001</v>
      </c>
      <c r="AH81" s="93"/>
      <c r="AI81" s="93"/>
      <c r="AJ81" s="93"/>
      <c r="AK81" s="93"/>
      <c r="AL81" s="122">
        <f t="shared" si="54"/>
        <v>12.130254308888139</v>
      </c>
      <c r="AM81" s="93">
        <v>0</v>
      </c>
      <c r="AN81" s="94">
        <f t="shared" si="55"/>
        <v>44.994799999999998</v>
      </c>
      <c r="AO81" s="95">
        <f t="shared" si="56"/>
        <v>378.2549456911118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442.88</v>
      </c>
      <c r="AT81" s="98">
        <f t="shared" si="8"/>
        <v>159.80000000000001</v>
      </c>
      <c r="AU81" s="98">
        <f t="shared" si="57"/>
        <v>0</v>
      </c>
      <c r="AV81" s="98">
        <f t="array" ref="AV81">_xlfn.IFS(U81=0,AO81,U81&lt;0,AO81/-U81,U81&gt;0,AO81/U81)</f>
        <v>378.2549456911118</v>
      </c>
      <c r="AW81" s="234">
        <f t="shared" si="42"/>
        <v>0.32412591747310349</v>
      </c>
      <c r="AX81" s="234">
        <f t="shared" si="43"/>
        <v>2.9335733340399552</v>
      </c>
      <c r="AY81" s="99"/>
      <c r="AZ81" s="94">
        <f t="shared" si="11"/>
        <v>5295.5692396755649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1"/>
        <v>5544.42</v>
      </c>
      <c r="M82" s="89">
        <v>321</v>
      </c>
      <c r="N82" s="89">
        <v>1</v>
      </c>
      <c r="O82" s="89">
        <v>1174</v>
      </c>
      <c r="P82" s="89">
        <v>0</v>
      </c>
      <c r="Q82" s="233">
        <f t="shared" si="45"/>
        <v>0.14285714285714285</v>
      </c>
      <c r="R82" s="92">
        <f t="shared" si="46"/>
        <v>0</v>
      </c>
      <c r="S82" s="93">
        <v>0</v>
      </c>
      <c r="T82" s="93">
        <v>0</v>
      </c>
      <c r="U82" s="92">
        <f t="shared" si="47"/>
        <v>0</v>
      </c>
      <c r="V82" s="93">
        <v>0</v>
      </c>
      <c r="W82" s="93">
        <v>0</v>
      </c>
      <c r="X82" s="92">
        <f t="shared" si="48"/>
        <v>0</v>
      </c>
      <c r="Y82" s="93">
        <v>0</v>
      </c>
      <c r="Z82" s="93">
        <v>0</v>
      </c>
      <c r="AA82" s="92">
        <f t="shared" si="49"/>
        <v>0</v>
      </c>
      <c r="AB82" s="92">
        <f t="shared" si="50"/>
        <v>0</v>
      </c>
      <c r="AC82" s="234">
        <f t="shared" si="51"/>
        <v>0</v>
      </c>
      <c r="AD82" s="92">
        <f t="shared" si="52"/>
        <v>0</v>
      </c>
      <c r="AE82" s="93">
        <v>0</v>
      </c>
      <c r="AF82" s="234">
        <f t="shared" si="53"/>
        <v>0</v>
      </c>
      <c r="AG82" s="93">
        <v>93.199999999999989</v>
      </c>
      <c r="AH82" s="93"/>
      <c r="AI82" s="93">
        <v>208</v>
      </c>
      <c r="AJ82" s="93"/>
      <c r="AK82" s="93"/>
      <c r="AL82" s="122">
        <f t="shared" si="54"/>
        <v>39.190052382561674</v>
      </c>
      <c r="AM82" s="93">
        <v>0</v>
      </c>
      <c r="AN82" s="94">
        <f t="shared" si="55"/>
        <v>0</v>
      </c>
      <c r="AO82" s="95">
        <f t="shared" si="56"/>
        <v>-340.39005238256163</v>
      </c>
      <c r="AP82" s="96"/>
      <c r="AQ82" s="97">
        <f t="shared" si="5"/>
        <v>0</v>
      </c>
      <c r="AR82" s="98">
        <f t="shared" si="34"/>
        <v>128.94</v>
      </c>
      <c r="AS82" s="98">
        <f t="shared" si="7"/>
        <v>0</v>
      </c>
      <c r="AT82" s="98">
        <f t="shared" si="8"/>
        <v>93.199999999999989</v>
      </c>
      <c r="AU82" s="98">
        <f t="shared" si="57"/>
        <v>0</v>
      </c>
      <c r="AV82" s="98">
        <f t="array" ref="AV82">_xlfn.IFS(U82=0,AO82,U82&lt;0,AO82/-U82,U82&gt;0,AO82/U82)</f>
        <v>-340.39005238256163</v>
      </c>
      <c r="AW82" s="234">
        <f t="shared" si="42"/>
        <v>0</v>
      </c>
      <c r="AX82" s="234">
        <f t="shared" si="43"/>
        <v>-2.6399104419308332</v>
      </c>
      <c r="AY82" s="99"/>
      <c r="AZ82" s="94">
        <f t="shared" si="11"/>
        <v>-14636.77225245015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>
        <v>2</v>
      </c>
      <c r="G83" s="93" t="s">
        <v>100</v>
      </c>
      <c r="H83" s="93">
        <v>40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304</v>
      </c>
      <c r="N83" s="89">
        <v>4</v>
      </c>
      <c r="O83" s="89">
        <v>1375</v>
      </c>
      <c r="P83" s="89">
        <v>33</v>
      </c>
      <c r="Q83" s="233">
        <f t="shared" si="45"/>
        <v>0.5714285714285714</v>
      </c>
      <c r="R83" s="92">
        <f t="shared" si="46"/>
        <v>0.14285714285714285</v>
      </c>
      <c r="S83" s="93">
        <v>1</v>
      </c>
      <c r="T83" s="93">
        <v>0</v>
      </c>
      <c r="U83" s="92">
        <f t="shared" si="47"/>
        <v>1</v>
      </c>
      <c r="V83" s="93">
        <v>929</v>
      </c>
      <c r="W83" s="93">
        <v>0</v>
      </c>
      <c r="X83" s="92">
        <f t="shared" si="48"/>
        <v>929</v>
      </c>
      <c r="Y83" s="93">
        <v>1375</v>
      </c>
      <c r="Z83" s="93">
        <v>0</v>
      </c>
      <c r="AA83" s="92">
        <f t="shared" si="49"/>
        <v>1375</v>
      </c>
      <c r="AB83" s="92">
        <f t="shared" si="50"/>
        <v>1815</v>
      </c>
      <c r="AC83" s="234">
        <f t="shared" si="51"/>
        <v>4.7891418013582622E-4</v>
      </c>
      <c r="AD83" s="92">
        <f t="shared" si="52"/>
        <v>123.09</v>
      </c>
      <c r="AE83" s="93">
        <v>521.84</v>
      </c>
      <c r="AF83" s="234">
        <f t="shared" si="53"/>
        <v>0.37952000000000002</v>
      </c>
      <c r="AG83" s="93">
        <v>336.45999999999987</v>
      </c>
      <c r="AH83" s="93"/>
      <c r="AI83" s="93"/>
      <c r="AJ83" s="93"/>
      <c r="AK83" s="93"/>
      <c r="AL83" s="122">
        <f t="shared" si="54"/>
        <v>37.323859411963497</v>
      </c>
      <c r="AM83" s="93">
        <v>0</v>
      </c>
      <c r="AN83" s="94">
        <f t="shared" si="55"/>
        <v>53.045899999999996</v>
      </c>
      <c r="AO83" s="95">
        <f t="shared" si="56"/>
        <v>303.24024058803667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521.84</v>
      </c>
      <c r="AT83" s="98">
        <f t="shared" si="8"/>
        <v>336.45999999999987</v>
      </c>
      <c r="AU83" s="98">
        <f t="shared" si="57"/>
        <v>0</v>
      </c>
      <c r="AV83" s="98">
        <f t="array" ref="AV83">_xlfn.IFS(U83=0,AO83,U83&lt;0,AO83/-U83,U83&gt;0,AO83/U83)</f>
        <v>303.24024058803667</v>
      </c>
      <c r="AW83" s="234">
        <f t="shared" si="42"/>
        <v>0.22053835679129941</v>
      </c>
      <c r="AX83" s="234">
        <f t="shared" si="43"/>
        <v>2.4635652009751943</v>
      </c>
      <c r="AY83" s="99"/>
      <c r="AZ83" s="94">
        <f t="shared" si="11"/>
        <v>13039.330345285576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42</v>
      </c>
      <c r="F84" s="93">
        <v>5</v>
      </c>
      <c r="G84" s="93" t="s">
        <v>100</v>
      </c>
      <c r="H84" s="93">
        <v>36</v>
      </c>
      <c r="I84" s="93">
        <v>0</v>
      </c>
      <c r="J84" s="93">
        <v>1</v>
      </c>
      <c r="K84" s="93">
        <v>146.49</v>
      </c>
      <c r="L84" s="92">
        <f t="shared" si="41"/>
        <v>6152.58</v>
      </c>
      <c r="M84" s="89">
        <v>159</v>
      </c>
      <c r="N84" s="89">
        <v>4</v>
      </c>
      <c r="O84" s="89">
        <v>1438</v>
      </c>
      <c r="P84" s="89">
        <v>0</v>
      </c>
      <c r="Q84" s="233">
        <f t="shared" si="45"/>
        <v>0.5714285714285714</v>
      </c>
      <c r="R84" s="92">
        <f t="shared" si="46"/>
        <v>0</v>
      </c>
      <c r="S84" s="93">
        <v>0</v>
      </c>
      <c r="T84" s="93">
        <v>0</v>
      </c>
      <c r="U84" s="92">
        <f t="shared" si="47"/>
        <v>0</v>
      </c>
      <c r="V84" s="93">
        <v>0</v>
      </c>
      <c r="W84" s="93">
        <v>0</v>
      </c>
      <c r="X84" s="92">
        <f t="shared" si="48"/>
        <v>0</v>
      </c>
      <c r="Y84" s="93">
        <v>0</v>
      </c>
      <c r="Z84" s="93">
        <v>0</v>
      </c>
      <c r="AA84" s="92">
        <f t="shared" si="49"/>
        <v>0</v>
      </c>
      <c r="AB84" s="92">
        <f t="shared" si="50"/>
        <v>0</v>
      </c>
      <c r="AC84" s="234">
        <f t="shared" si="51"/>
        <v>0</v>
      </c>
      <c r="AD84" s="92">
        <f t="shared" si="52"/>
        <v>0</v>
      </c>
      <c r="AE84" s="93">
        <v>0</v>
      </c>
      <c r="AF84" s="234">
        <f t="shared" si="53"/>
        <v>0</v>
      </c>
      <c r="AG84" s="93">
        <v>241.0500000000001</v>
      </c>
      <c r="AH84" s="93"/>
      <c r="AI84" s="93"/>
      <c r="AJ84" s="93"/>
      <c r="AK84" s="93"/>
      <c r="AL84" s="122">
        <f t="shared" si="54"/>
        <v>33.591473470767149</v>
      </c>
      <c r="AM84" s="93">
        <v>0</v>
      </c>
      <c r="AN84" s="94">
        <f t="shared" si="55"/>
        <v>0</v>
      </c>
      <c r="AO84" s="95">
        <f t="shared" si="56"/>
        <v>-274.64147347076727</v>
      </c>
      <c r="AP84" s="96"/>
      <c r="AQ84" s="97">
        <f t="shared" si="5"/>
        <v>0</v>
      </c>
      <c r="AR84" s="98">
        <f t="shared" si="34"/>
        <v>146.49</v>
      </c>
      <c r="AS84" s="98">
        <f t="shared" si="7"/>
        <v>0</v>
      </c>
      <c r="AT84" s="98">
        <f t="shared" si="8"/>
        <v>241.0500000000001</v>
      </c>
      <c r="AU84" s="98">
        <f t="shared" si="57"/>
        <v>0</v>
      </c>
      <c r="AV84" s="98">
        <f t="array" ref="AV84">_xlfn.IFS(U84=0,AO84,U84&lt;0,AO84/-U84,U84&gt;0,AO84/U84)</f>
        <v>-274.64147347076727</v>
      </c>
      <c r="AW84" s="234">
        <f t="shared" si="42"/>
        <v>0</v>
      </c>
      <c r="AX84" s="234">
        <f t="shared" si="43"/>
        <v>-1.8748137993772083</v>
      </c>
      <c r="AY84" s="99"/>
      <c r="AZ84" s="94">
        <f t="shared" si="11"/>
        <v>-11534.941885772225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36</v>
      </c>
      <c r="F85" s="93">
        <v>2</v>
      </c>
      <c r="G85" s="93">
        <v>1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1"/>
        <v>3715.2000000000003</v>
      </c>
      <c r="M85" s="89">
        <v>999</v>
      </c>
      <c r="N85" s="89">
        <v>3</v>
      </c>
      <c r="O85" s="89">
        <v>900</v>
      </c>
      <c r="P85" s="89">
        <v>0</v>
      </c>
      <c r="Q85" s="233">
        <f t="shared" si="45"/>
        <v>0.42857142857142855</v>
      </c>
      <c r="R85" s="92">
        <f t="shared" si="46"/>
        <v>0</v>
      </c>
      <c r="S85" s="93">
        <v>0</v>
      </c>
      <c r="T85" s="93">
        <v>0</v>
      </c>
      <c r="U85" s="92">
        <f t="shared" si="47"/>
        <v>0</v>
      </c>
      <c r="V85" s="93">
        <v>0</v>
      </c>
      <c r="W85" s="93">
        <v>0</v>
      </c>
      <c r="X85" s="92">
        <f t="shared" si="48"/>
        <v>0</v>
      </c>
      <c r="Y85" s="93">
        <v>0</v>
      </c>
      <c r="Z85" s="93">
        <v>0</v>
      </c>
      <c r="AA85" s="92">
        <f t="shared" si="49"/>
        <v>0</v>
      </c>
      <c r="AB85" s="92">
        <f t="shared" si="50"/>
        <v>0</v>
      </c>
      <c r="AC85" s="234">
        <f t="shared" si="51"/>
        <v>0</v>
      </c>
      <c r="AD85" s="92">
        <f t="shared" si="52"/>
        <v>0</v>
      </c>
      <c r="AE85" s="93">
        <v>0</v>
      </c>
      <c r="AF85" s="234">
        <f t="shared" si="53"/>
        <v>0</v>
      </c>
      <c r="AG85" s="93">
        <v>84.46</v>
      </c>
      <c r="AH85" s="93"/>
      <c r="AI85" s="93">
        <v>544</v>
      </c>
      <c r="AJ85" s="93"/>
      <c r="AK85" s="93"/>
      <c r="AL85" s="122">
        <f t="shared" si="54"/>
        <v>29.8590875295708</v>
      </c>
      <c r="AM85" s="93">
        <v>0</v>
      </c>
      <c r="AN85" s="94">
        <f t="shared" si="55"/>
        <v>0</v>
      </c>
      <c r="AO85" s="95">
        <f t="shared" si="56"/>
        <v>-658.31908752957088</v>
      </c>
      <c r="AP85" s="96"/>
      <c r="AQ85" s="97">
        <f t="shared" si="5"/>
        <v>0</v>
      </c>
      <c r="AR85" s="98">
        <f t="shared" si="34"/>
        <v>103.2</v>
      </c>
      <c r="AS85" s="98">
        <f t="shared" si="7"/>
        <v>0</v>
      </c>
      <c r="AT85" s="98">
        <f t="shared" si="8"/>
        <v>84.46</v>
      </c>
      <c r="AU85" s="98">
        <f t="shared" si="57"/>
        <v>0</v>
      </c>
      <c r="AV85" s="98">
        <f t="array" ref="AV85">_xlfn.IFS(U85=0,AO85,U85&lt;0,AO85/-U85,U85&gt;0,AO85/U85)</f>
        <v>-658.31908752957088</v>
      </c>
      <c r="AW85" s="234">
        <f t="shared" si="42"/>
        <v>0</v>
      </c>
      <c r="AX85" s="234">
        <f t="shared" si="43"/>
        <v>-6.3790609256741364</v>
      </c>
      <c r="AY85" s="99"/>
      <c r="AZ85" s="94">
        <f t="shared" si="11"/>
        <v>-23699.487151064553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43</v>
      </c>
      <c r="F86" s="93" t="s">
        <v>100</v>
      </c>
      <c r="G86" s="93" t="s">
        <v>100</v>
      </c>
      <c r="H86" s="93">
        <v>42</v>
      </c>
      <c r="I86" s="93">
        <v>0</v>
      </c>
      <c r="J86" s="93">
        <v>1</v>
      </c>
      <c r="K86" s="93">
        <v>150</v>
      </c>
      <c r="L86" s="92">
        <f t="shared" si="41"/>
        <v>6450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45"/>
        <v>0</v>
      </c>
      <c r="R86" s="92">
        <f t="shared" si="46"/>
        <v>0</v>
      </c>
      <c r="S86" s="93">
        <v>0</v>
      </c>
      <c r="T86" s="93">
        <v>0</v>
      </c>
      <c r="U86" s="92">
        <f t="shared" si="47"/>
        <v>0</v>
      </c>
      <c r="V86" s="93">
        <v>0</v>
      </c>
      <c r="W86" s="93">
        <v>0</v>
      </c>
      <c r="X86" s="92">
        <f t="shared" si="48"/>
        <v>0</v>
      </c>
      <c r="Y86" s="93">
        <v>0</v>
      </c>
      <c r="Z86" s="93">
        <v>0</v>
      </c>
      <c r="AA86" s="92">
        <f t="shared" si="49"/>
        <v>0</v>
      </c>
      <c r="AB86" s="92">
        <f t="shared" si="50"/>
        <v>0</v>
      </c>
      <c r="AC86" s="234">
        <f t="shared" si="51"/>
        <v>0</v>
      </c>
      <c r="AD86" s="92">
        <f t="shared" si="52"/>
        <v>0</v>
      </c>
      <c r="AE86" s="93">
        <v>0</v>
      </c>
      <c r="AF86" s="234">
        <f t="shared" si="53"/>
        <v>0</v>
      </c>
      <c r="AG86" s="93">
        <v>165.88</v>
      </c>
      <c r="AH86" s="93"/>
      <c r="AI86" s="93">
        <v>905</v>
      </c>
      <c r="AJ86" s="93"/>
      <c r="AK86" s="93"/>
      <c r="AL86" s="122">
        <f t="shared" si="54"/>
        <v>39.190052382561674</v>
      </c>
      <c r="AM86" s="93">
        <v>0</v>
      </c>
      <c r="AN86" s="94">
        <f t="shared" si="55"/>
        <v>0</v>
      </c>
      <c r="AO86" s="95">
        <f t="shared" si="56"/>
        <v>-1110.0700523825617</v>
      </c>
      <c r="AP86" s="96"/>
      <c r="AQ86" s="97">
        <f t="shared" si="5"/>
        <v>0</v>
      </c>
      <c r="AR86" s="98">
        <f t="shared" si="34"/>
        <v>150</v>
      </c>
      <c r="AS86" s="98">
        <f t="shared" si="7"/>
        <v>0</v>
      </c>
      <c r="AT86" s="98">
        <f t="shared" si="8"/>
        <v>165.88</v>
      </c>
      <c r="AU86" s="98">
        <f t="shared" si="57"/>
        <v>0</v>
      </c>
      <c r="AV86" s="98">
        <f t="array" ref="AV86">_xlfn.IFS(U86=0,AO86,U86&lt;0,AO86/-U86,U86&gt;0,AO86/U86)</f>
        <v>-1110.0700523825617</v>
      </c>
      <c r="AW86" s="234">
        <f t="shared" si="42"/>
        <v>0</v>
      </c>
      <c r="AX86" s="234">
        <f t="shared" si="43"/>
        <v>-7.4004670158837449</v>
      </c>
      <c r="AY86" s="99"/>
      <c r="AZ86" s="94">
        <f t="shared" si="11"/>
        <v>-47733.012252450149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11</v>
      </c>
      <c r="F87" s="93">
        <v>4</v>
      </c>
      <c r="G87" s="93">
        <v>3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1"/>
        <v>1650</v>
      </c>
      <c r="M87" s="89">
        <v>999</v>
      </c>
      <c r="N87" s="89">
        <v>9</v>
      </c>
      <c r="O87" s="89">
        <v>1056</v>
      </c>
      <c r="P87" s="89">
        <v>40</v>
      </c>
      <c r="Q87" s="233">
        <f t="shared" si="45"/>
        <v>1.2857142857142858</v>
      </c>
      <c r="R87" s="92">
        <f t="shared" si="46"/>
        <v>0.2857142857142857</v>
      </c>
      <c r="S87" s="93">
        <v>2</v>
      </c>
      <c r="T87" s="93">
        <v>0</v>
      </c>
      <c r="U87" s="92">
        <f t="shared" si="47"/>
        <v>2</v>
      </c>
      <c r="V87" s="93">
        <v>1488.53</v>
      </c>
      <c r="W87" s="93">
        <v>0</v>
      </c>
      <c r="X87" s="92">
        <f t="shared" si="48"/>
        <v>1488.53</v>
      </c>
      <c r="Y87" s="93">
        <v>2112.75</v>
      </c>
      <c r="Z87" s="93">
        <v>0</v>
      </c>
      <c r="AA87" s="92">
        <f t="shared" si="49"/>
        <v>2112.75</v>
      </c>
      <c r="AB87" s="92">
        <f t="shared" si="50"/>
        <v>3801.6</v>
      </c>
      <c r="AC87" s="234">
        <f t="shared" si="51"/>
        <v>7.3587340660506684E-4</v>
      </c>
      <c r="AD87" s="92">
        <f t="shared" si="52"/>
        <v>300</v>
      </c>
      <c r="AE87" s="93">
        <v>786.13999999999987</v>
      </c>
      <c r="AF87" s="234">
        <f t="shared" si="53"/>
        <v>0.37209324340314748</v>
      </c>
      <c r="AG87" s="93">
        <v>649.50999999999988</v>
      </c>
      <c r="AH87" s="93"/>
      <c r="AI87" s="93"/>
      <c r="AJ87" s="93"/>
      <c r="AK87" s="93"/>
      <c r="AL87" s="122">
        <f t="shared" si="54"/>
        <v>2.7992894558972625</v>
      </c>
      <c r="AM87" s="93">
        <v>0</v>
      </c>
      <c r="AN87" s="94">
        <f t="shared" si="55"/>
        <v>84.995063000000002</v>
      </c>
      <c r="AO87" s="95">
        <f t="shared" si="56"/>
        <v>289.30564754410295</v>
      </c>
      <c r="AP87" s="96"/>
      <c r="AQ87" s="97">
        <f t="shared" si="5"/>
        <v>1056.375</v>
      </c>
      <c r="AR87" s="98">
        <f t="shared" si="34"/>
        <v>150</v>
      </c>
      <c r="AS87" s="98">
        <f t="shared" si="7"/>
        <v>393.06999999999994</v>
      </c>
      <c r="AT87" s="98">
        <f t="shared" si="8"/>
        <v>324.75499999999994</v>
      </c>
      <c r="AU87" s="98">
        <f t="shared" si="57"/>
        <v>0</v>
      </c>
      <c r="AV87" s="98">
        <f t="array" ref="AV87">_xlfn.IFS(U87=0,AO87,U87&lt;0,AO87/-U87,U87&gt;0,AO87/U87)</f>
        <v>144.65282377205148</v>
      </c>
      <c r="AW87" s="234">
        <f t="shared" si="42"/>
        <v>0.13693321384172427</v>
      </c>
      <c r="AX87" s="234">
        <f t="shared" si="43"/>
        <v>0.96435215848034317</v>
      </c>
      <c r="AY87" s="99"/>
      <c r="AZ87" s="94">
        <f t="shared" si="11"/>
        <v>1591.1810614925662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5"/>
        <v>0.14285714285714285</v>
      </c>
      <c r="R88" s="92">
        <f t="shared" si="46"/>
        <v>0</v>
      </c>
      <c r="S88" s="93">
        <v>0</v>
      </c>
      <c r="T88" s="93">
        <v>0</v>
      </c>
      <c r="U88" s="92">
        <f t="shared" si="47"/>
        <v>0</v>
      </c>
      <c r="V88" s="93">
        <v>0</v>
      </c>
      <c r="W88" s="93">
        <v>0</v>
      </c>
      <c r="X88" s="92">
        <f t="shared" si="48"/>
        <v>0</v>
      </c>
      <c r="Y88" s="93">
        <v>0</v>
      </c>
      <c r="Z88" s="93">
        <v>0</v>
      </c>
      <c r="AA88" s="92">
        <f t="shared" si="49"/>
        <v>0</v>
      </c>
      <c r="AB88" s="92">
        <f t="shared" si="50"/>
        <v>0</v>
      </c>
      <c r="AC88" s="234">
        <f t="shared" si="51"/>
        <v>0</v>
      </c>
      <c r="AD88" s="92">
        <f t="shared" si="52"/>
        <v>0</v>
      </c>
      <c r="AE88" s="93">
        <v>0</v>
      </c>
      <c r="AF88" s="234">
        <f t="shared" si="53"/>
        <v>0</v>
      </c>
      <c r="AG88" s="93">
        <v>1.63</v>
      </c>
      <c r="AH88" s="93"/>
      <c r="AI88" s="93"/>
      <c r="AJ88" s="93"/>
      <c r="AK88" s="93"/>
      <c r="AL88" s="122">
        <f t="shared" si="54"/>
        <v>0</v>
      </c>
      <c r="AM88" s="93">
        <v>0</v>
      </c>
      <c r="AN88" s="94">
        <f t="shared" si="55"/>
        <v>0</v>
      </c>
      <c r="AO88" s="95">
        <f t="shared" si="56"/>
        <v>-1.63</v>
      </c>
      <c r="AP88" s="96"/>
      <c r="AQ88" s="97">
        <f t="shared" si="5"/>
        <v>0</v>
      </c>
      <c r="AR88" s="98">
        <f t="shared" si="34"/>
        <v>150</v>
      </c>
      <c r="AS88" s="98">
        <f t="shared" si="7"/>
        <v>0</v>
      </c>
      <c r="AT88" s="98">
        <f t="shared" si="8"/>
        <v>1.63</v>
      </c>
      <c r="AU88" s="98">
        <f t="shared" si="57"/>
        <v>0</v>
      </c>
      <c r="AV88" s="98">
        <f t="array" ref="AV88">_xlfn.IFS(U88=0,AO88,U88&lt;0,AO88/-U88,U88&gt;0,AO88/U88)</f>
        <v>-1.63</v>
      </c>
      <c r="AW88" s="234">
        <f t="shared" si="42"/>
        <v>0</v>
      </c>
      <c r="AX88" s="234">
        <f t="shared" si="43"/>
        <v>-1.0866666666666665E-2</v>
      </c>
      <c r="AY88" s="99"/>
      <c r="AZ88" s="94">
        <f t="shared" si="11"/>
        <v>-4.8899999999999997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8</v>
      </c>
      <c r="F89" s="93">
        <v>1</v>
      </c>
      <c r="G89" s="93">
        <v>3</v>
      </c>
      <c r="H89" s="93">
        <v>3</v>
      </c>
      <c r="I89" s="93">
        <v>0</v>
      </c>
      <c r="J89" s="93">
        <v>1</v>
      </c>
      <c r="K89" s="93">
        <v>169.89</v>
      </c>
      <c r="L89" s="92">
        <f t="shared" si="41"/>
        <v>1359.12</v>
      </c>
      <c r="M89" s="89">
        <v>12</v>
      </c>
      <c r="N89" s="89">
        <v>8</v>
      </c>
      <c r="O89" s="89">
        <v>1504</v>
      </c>
      <c r="P89" s="89">
        <v>57</v>
      </c>
      <c r="Q89" s="233">
        <f t="shared" si="45"/>
        <v>1.1428571428571428</v>
      </c>
      <c r="R89" s="92">
        <f t="shared" si="46"/>
        <v>0.8571428571428571</v>
      </c>
      <c r="S89" s="93">
        <v>6</v>
      </c>
      <c r="T89" s="93">
        <v>0</v>
      </c>
      <c r="U89" s="92">
        <f t="shared" si="47"/>
        <v>6</v>
      </c>
      <c r="V89" s="93">
        <v>5902</v>
      </c>
      <c r="W89" s="93">
        <v>0</v>
      </c>
      <c r="X89" s="92">
        <f t="shared" si="48"/>
        <v>5902</v>
      </c>
      <c r="Y89" s="93">
        <v>8961</v>
      </c>
      <c r="Z89" s="93">
        <v>0</v>
      </c>
      <c r="AA89" s="92">
        <f t="shared" si="49"/>
        <v>8961</v>
      </c>
      <c r="AB89" s="92">
        <f t="shared" si="50"/>
        <v>6858.24</v>
      </c>
      <c r="AC89" s="234">
        <f t="shared" si="51"/>
        <v>3.1211272495979192E-3</v>
      </c>
      <c r="AD89" s="92">
        <f t="shared" si="52"/>
        <v>1019.3399999999999</v>
      </c>
      <c r="AE89" s="93">
        <v>3403.7199999999993</v>
      </c>
      <c r="AF89" s="234">
        <f t="shared" si="53"/>
        <v>0.37983707175538439</v>
      </c>
      <c r="AG89" s="93">
        <v>751.06999999999994</v>
      </c>
      <c r="AH89" s="93"/>
      <c r="AI89" s="93"/>
      <c r="AJ89" s="93"/>
      <c r="AK89" s="93"/>
      <c r="AL89" s="122">
        <f t="shared" si="54"/>
        <v>2.7992894558972625</v>
      </c>
      <c r="AM89" s="93">
        <v>0</v>
      </c>
      <c r="AN89" s="94">
        <f t="shared" si="55"/>
        <v>337.00419999999997</v>
      </c>
      <c r="AO89" s="95">
        <f t="shared" si="56"/>
        <v>3447.0665105441035</v>
      </c>
      <c r="AP89" s="96"/>
      <c r="AQ89" s="97">
        <f t="shared" si="5"/>
        <v>1493.5</v>
      </c>
      <c r="AR89" s="98">
        <f t="shared" si="34"/>
        <v>169.89</v>
      </c>
      <c r="AS89" s="98">
        <f t="shared" si="7"/>
        <v>567.28666666666652</v>
      </c>
      <c r="AT89" s="98">
        <f t="shared" si="8"/>
        <v>125.17833333333333</v>
      </c>
      <c r="AU89" s="98">
        <f t="shared" si="57"/>
        <v>0</v>
      </c>
      <c r="AV89" s="98">
        <f t="array" ref="AV89">_xlfn.IFS(U89=0,AO89,U89&lt;0,AO89/-U89,U89&gt;0,AO89/U89)</f>
        <v>574.51108509068388</v>
      </c>
      <c r="AW89" s="234">
        <f t="shared" si="42"/>
        <v>0.38467431207946695</v>
      </c>
      <c r="AX89" s="234">
        <f t="shared" si="43"/>
        <v>3.3816651073676138</v>
      </c>
      <c r="AY89" s="99"/>
      <c r="AZ89" s="94">
        <f t="shared" si="11"/>
        <v>4596.088680725471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731</v>
      </c>
      <c r="N90" s="89">
        <v>0</v>
      </c>
      <c r="O90" s="89">
        <v>0</v>
      </c>
      <c r="P90" s="89">
        <v>0</v>
      </c>
      <c r="Q90" s="233">
        <f t="shared" si="45"/>
        <v>0</v>
      </c>
      <c r="R90" s="92">
        <f t="shared" si="46"/>
        <v>0</v>
      </c>
      <c r="S90" s="93">
        <v>0</v>
      </c>
      <c r="T90" s="93">
        <v>0</v>
      </c>
      <c r="U90" s="92">
        <f t="shared" si="47"/>
        <v>0</v>
      </c>
      <c r="V90" s="93">
        <v>0</v>
      </c>
      <c r="W90" s="93">
        <v>0</v>
      </c>
      <c r="X90" s="92">
        <f t="shared" si="48"/>
        <v>0</v>
      </c>
      <c r="Y90" s="93">
        <v>0</v>
      </c>
      <c r="Z90" s="93">
        <v>0</v>
      </c>
      <c r="AA90" s="92">
        <f t="shared" si="49"/>
        <v>0</v>
      </c>
      <c r="AB90" s="92">
        <f t="shared" si="50"/>
        <v>0</v>
      </c>
      <c r="AC90" s="234">
        <f t="shared" si="51"/>
        <v>0</v>
      </c>
      <c r="AD90" s="92">
        <f t="shared" si="52"/>
        <v>0</v>
      </c>
      <c r="AE90" s="93">
        <v>0</v>
      </c>
      <c r="AF90" s="234">
        <f t="shared" si="53"/>
        <v>0</v>
      </c>
      <c r="AG90" s="93">
        <v>0</v>
      </c>
      <c r="AH90" s="93"/>
      <c r="AI90" s="93"/>
      <c r="AJ90" s="93"/>
      <c r="AK90" s="93"/>
      <c r="AL90" s="122">
        <f t="shared" si="54"/>
        <v>44.7886312943562</v>
      </c>
      <c r="AM90" s="93">
        <v>0</v>
      </c>
      <c r="AN90" s="94">
        <f t="shared" si="55"/>
        <v>0</v>
      </c>
      <c r="AO90" s="95">
        <f t="shared" si="56"/>
        <v>-44.7886312943562</v>
      </c>
      <c r="AP90" s="96"/>
      <c r="AQ90" s="97">
        <f t="shared" si="5"/>
        <v>0</v>
      </c>
      <c r="AR90" s="98">
        <f t="shared" si="34"/>
        <v>107.88</v>
      </c>
      <c r="AS90" s="98">
        <f t="shared" si="7"/>
        <v>0</v>
      </c>
      <c r="AT90" s="98">
        <f t="shared" si="8"/>
        <v>0</v>
      </c>
      <c r="AU90" s="98">
        <f t="shared" si="57"/>
        <v>0</v>
      </c>
      <c r="AV90" s="98">
        <f t="array" ref="AV90">_xlfn.IFS(U90=0,AO90,U90&lt;0,AO90/-U90,U90&gt;0,AO90/U90)</f>
        <v>-44.7886312943562</v>
      </c>
      <c r="AW90" s="234">
        <f t="shared" si="42"/>
        <v>0</v>
      </c>
      <c r="AX90" s="234">
        <f t="shared" si="43"/>
        <v>-0.41517084996622361</v>
      </c>
      <c r="AY90" s="99"/>
      <c r="AZ90" s="94">
        <f t="shared" si="11"/>
        <v>-2194.642933423454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35</v>
      </c>
      <c r="F91" s="93">
        <v>7</v>
      </c>
      <c r="G91" s="93">
        <v>3</v>
      </c>
      <c r="H91" s="93">
        <v>19</v>
      </c>
      <c r="I91" s="93">
        <v>0</v>
      </c>
      <c r="J91" s="93">
        <v>6</v>
      </c>
      <c r="K91" s="93">
        <v>93.84</v>
      </c>
      <c r="L91" s="92">
        <f t="shared" si="41"/>
        <v>3284.4</v>
      </c>
      <c r="M91" s="89">
        <v>112</v>
      </c>
      <c r="N91" s="89">
        <v>9</v>
      </c>
      <c r="O91" s="89">
        <v>1075</v>
      </c>
      <c r="P91" s="89">
        <v>0</v>
      </c>
      <c r="Q91" s="233">
        <f t="shared" si="45"/>
        <v>1.2857142857142858</v>
      </c>
      <c r="R91" s="92">
        <f t="shared" si="46"/>
        <v>0</v>
      </c>
      <c r="S91" s="93">
        <v>0</v>
      </c>
      <c r="T91" s="93">
        <v>0</v>
      </c>
      <c r="U91" s="92">
        <f t="shared" si="47"/>
        <v>0</v>
      </c>
      <c r="V91" s="93">
        <v>0</v>
      </c>
      <c r="W91" s="93">
        <v>0</v>
      </c>
      <c r="X91" s="92">
        <f t="shared" si="48"/>
        <v>0</v>
      </c>
      <c r="Y91" s="93">
        <v>0</v>
      </c>
      <c r="Z91" s="93">
        <v>0</v>
      </c>
      <c r="AA91" s="92">
        <f t="shared" si="49"/>
        <v>0</v>
      </c>
      <c r="AB91" s="92">
        <f t="shared" si="50"/>
        <v>0</v>
      </c>
      <c r="AC91" s="234">
        <f t="shared" si="51"/>
        <v>0</v>
      </c>
      <c r="AD91" s="92">
        <f t="shared" si="52"/>
        <v>0</v>
      </c>
      <c r="AE91" s="93">
        <v>0</v>
      </c>
      <c r="AF91" s="234">
        <f t="shared" si="53"/>
        <v>0</v>
      </c>
      <c r="AG91" s="93">
        <v>163.34000000000003</v>
      </c>
      <c r="AH91" s="93"/>
      <c r="AI91" s="93">
        <v>624</v>
      </c>
      <c r="AJ91" s="93"/>
      <c r="AK91" s="93"/>
      <c r="AL91" s="122">
        <f t="shared" si="54"/>
        <v>17.72883322068266</v>
      </c>
      <c r="AM91" s="93">
        <v>0</v>
      </c>
      <c r="AN91" s="94">
        <f t="shared" si="55"/>
        <v>0</v>
      </c>
      <c r="AO91" s="95">
        <f t="shared" si="56"/>
        <v>-805.06883322068268</v>
      </c>
      <c r="AP91" s="96"/>
      <c r="AQ91" s="97">
        <f t="shared" si="5"/>
        <v>0</v>
      </c>
      <c r="AR91" s="98">
        <f t="shared" si="34"/>
        <v>93.84</v>
      </c>
      <c r="AS91" s="98">
        <f t="shared" si="7"/>
        <v>0</v>
      </c>
      <c r="AT91" s="98">
        <f t="shared" si="8"/>
        <v>163.34000000000003</v>
      </c>
      <c r="AU91" s="98">
        <f t="shared" si="57"/>
        <v>0</v>
      </c>
      <c r="AV91" s="98">
        <f t="array" ref="AV91">_xlfn.IFS(U91=0,AO91,U91&lt;0,AO91/-U91,U91&gt;0,AO91/U91)</f>
        <v>-805.06883322068268</v>
      </c>
      <c r="AW91" s="234">
        <f t="shared" si="42"/>
        <v>0</v>
      </c>
      <c r="AX91" s="234">
        <f t="shared" si="43"/>
        <v>-8.5791648893934642</v>
      </c>
      <c r="AY91" s="99"/>
      <c r="AZ91" s="94">
        <f t="shared" si="11"/>
        <v>-28177.409162723892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49</v>
      </c>
      <c r="F92" s="93">
        <v>4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1"/>
        <v>6834.03</v>
      </c>
      <c r="M92" s="89">
        <v>217</v>
      </c>
      <c r="N92" s="89">
        <v>3</v>
      </c>
      <c r="O92" s="89">
        <v>1250</v>
      </c>
      <c r="P92" s="89">
        <v>0</v>
      </c>
      <c r="Q92" s="233">
        <f t="shared" si="45"/>
        <v>0.42857142857142855</v>
      </c>
      <c r="R92" s="92">
        <f t="shared" si="46"/>
        <v>0</v>
      </c>
      <c r="S92" s="93">
        <v>0</v>
      </c>
      <c r="T92" s="93">
        <v>0</v>
      </c>
      <c r="U92" s="92">
        <f t="shared" si="47"/>
        <v>0</v>
      </c>
      <c r="V92" s="93">
        <v>0</v>
      </c>
      <c r="W92" s="93">
        <v>0</v>
      </c>
      <c r="X92" s="92">
        <f t="shared" si="48"/>
        <v>0</v>
      </c>
      <c r="Y92" s="93">
        <v>0</v>
      </c>
      <c r="Z92" s="93">
        <v>0</v>
      </c>
      <c r="AA92" s="92">
        <f t="shared" si="49"/>
        <v>0</v>
      </c>
      <c r="AB92" s="92">
        <f t="shared" si="50"/>
        <v>0</v>
      </c>
      <c r="AC92" s="234">
        <f t="shared" si="51"/>
        <v>0</v>
      </c>
      <c r="AD92" s="92">
        <f t="shared" si="52"/>
        <v>0</v>
      </c>
      <c r="AE92" s="93">
        <v>0</v>
      </c>
      <c r="AF92" s="234">
        <f t="shared" si="53"/>
        <v>0</v>
      </c>
      <c r="AG92" s="93">
        <v>266.36</v>
      </c>
      <c r="AH92" s="93"/>
      <c r="AI92" s="93"/>
      <c r="AJ92" s="93"/>
      <c r="AK92" s="93"/>
      <c r="AL92" s="122">
        <f t="shared" si="54"/>
        <v>40.123148867860763</v>
      </c>
      <c r="AM92" s="93">
        <v>0</v>
      </c>
      <c r="AN92" s="94">
        <f t="shared" si="55"/>
        <v>0</v>
      </c>
      <c r="AO92" s="95">
        <f t="shared" si="56"/>
        <v>-306.48314886786079</v>
      </c>
      <c r="AP92" s="96"/>
      <c r="AQ92" s="97">
        <f t="shared" si="5"/>
        <v>0</v>
      </c>
      <c r="AR92" s="98">
        <f t="shared" si="34"/>
        <v>139.47</v>
      </c>
      <c r="AS92" s="98">
        <f t="shared" si="7"/>
        <v>0</v>
      </c>
      <c r="AT92" s="98">
        <f t="shared" si="8"/>
        <v>266.36</v>
      </c>
      <c r="AU92" s="98">
        <f t="shared" si="57"/>
        <v>0</v>
      </c>
      <c r="AV92" s="98">
        <f t="array" ref="AV92">_xlfn.IFS(U92=0,AO92,U92&lt;0,AO92/-U92,U92&gt;0,AO92/U92)</f>
        <v>-306.48314886786079</v>
      </c>
      <c r="AW92" s="234">
        <f t="shared" si="42"/>
        <v>0</v>
      </c>
      <c r="AX92" s="234">
        <f t="shared" si="43"/>
        <v>-2.1974843971310016</v>
      </c>
      <c r="AY92" s="99"/>
      <c r="AZ92" s="94">
        <f t="shared" si="11"/>
        <v>-15017.674294525179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5"/>
        <v>0</v>
      </c>
      <c r="R93" s="92">
        <f t="shared" si="46"/>
        <v>0</v>
      </c>
      <c r="S93" s="93">
        <v>0</v>
      </c>
      <c r="T93" s="93">
        <v>0</v>
      </c>
      <c r="U93" s="92">
        <f t="shared" si="47"/>
        <v>0</v>
      </c>
      <c r="V93" s="93">
        <v>0</v>
      </c>
      <c r="W93" s="93">
        <v>0</v>
      </c>
      <c r="X93" s="92">
        <f t="shared" si="48"/>
        <v>0</v>
      </c>
      <c r="Y93" s="93">
        <v>0</v>
      </c>
      <c r="Z93" s="93">
        <v>0</v>
      </c>
      <c r="AA93" s="92">
        <f t="shared" si="49"/>
        <v>0</v>
      </c>
      <c r="AB93" s="92">
        <f t="shared" si="50"/>
        <v>0</v>
      </c>
      <c r="AC93" s="234">
        <f t="shared" si="51"/>
        <v>0</v>
      </c>
      <c r="AD93" s="92">
        <f t="shared" si="52"/>
        <v>0</v>
      </c>
      <c r="AE93" s="93">
        <v>0</v>
      </c>
      <c r="AF93" s="234">
        <f t="shared" si="53"/>
        <v>0</v>
      </c>
      <c r="AG93" s="93">
        <v>6.72</v>
      </c>
      <c r="AH93" s="93"/>
      <c r="AI93" s="93"/>
      <c r="AJ93" s="93"/>
      <c r="AK93" s="93"/>
      <c r="AL93" s="122">
        <f t="shared" si="54"/>
        <v>36.390762926664408</v>
      </c>
      <c r="AM93" s="93">
        <v>0</v>
      </c>
      <c r="AN93" s="94">
        <f t="shared" si="55"/>
        <v>0</v>
      </c>
      <c r="AO93" s="95">
        <f t="shared" si="56"/>
        <v>-43.110762926664407</v>
      </c>
      <c r="AP93" s="96"/>
      <c r="AQ93" s="97">
        <f t="shared" si="5"/>
        <v>0</v>
      </c>
      <c r="AR93" s="98">
        <f t="shared" si="34"/>
        <v>139.47</v>
      </c>
      <c r="AS93" s="98">
        <f t="shared" si="7"/>
        <v>0</v>
      </c>
      <c r="AT93" s="98">
        <f t="shared" si="8"/>
        <v>6.72</v>
      </c>
      <c r="AU93" s="98">
        <f t="shared" si="57"/>
        <v>0</v>
      </c>
      <c r="AV93" s="98">
        <f t="array" ref="AV93">_xlfn.IFS(U93=0,AO93,U93&lt;0,AO93/-U93,U93&gt;0,AO93/U93)</f>
        <v>-43.110762926664407</v>
      </c>
      <c r="AW93" s="234">
        <f t="shared" si="42"/>
        <v>0</v>
      </c>
      <c r="AX93" s="234">
        <f t="shared" si="43"/>
        <v>-0.3091042010946039</v>
      </c>
      <c r="AY93" s="99"/>
      <c r="AZ93" s="94">
        <f t="shared" si="11"/>
        <v>-1724.4305170665762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5"/>
        <v>0</v>
      </c>
      <c r="R94" s="92">
        <f t="shared" si="46"/>
        <v>0</v>
      </c>
      <c r="S94" s="93">
        <v>0</v>
      </c>
      <c r="T94" s="93">
        <v>0</v>
      </c>
      <c r="U94" s="92">
        <f t="shared" si="47"/>
        <v>0</v>
      </c>
      <c r="V94" s="93">
        <v>0</v>
      </c>
      <c r="W94" s="93">
        <v>0</v>
      </c>
      <c r="X94" s="92">
        <f t="shared" si="48"/>
        <v>0</v>
      </c>
      <c r="Y94" s="93">
        <v>0</v>
      </c>
      <c r="Z94" s="93">
        <v>0</v>
      </c>
      <c r="AA94" s="92">
        <f t="shared" si="49"/>
        <v>0</v>
      </c>
      <c r="AB94" s="92">
        <f t="shared" si="50"/>
        <v>0</v>
      </c>
      <c r="AC94" s="234">
        <f t="shared" si="51"/>
        <v>0</v>
      </c>
      <c r="AD94" s="92">
        <f t="shared" si="52"/>
        <v>0</v>
      </c>
      <c r="AE94" s="93">
        <v>0</v>
      </c>
      <c r="AF94" s="234">
        <f t="shared" si="53"/>
        <v>0</v>
      </c>
      <c r="AG94" s="93">
        <v>0</v>
      </c>
      <c r="AH94" s="93"/>
      <c r="AI94" s="93"/>
      <c r="AJ94" s="93"/>
      <c r="AK94" s="93"/>
      <c r="AL94" s="122">
        <f t="shared" si="54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5"/>
        <v>0</v>
      </c>
      <c r="R95" s="92">
        <f t="shared" si="46"/>
        <v>0</v>
      </c>
      <c r="S95" s="93">
        <v>0</v>
      </c>
      <c r="T95" s="93">
        <v>0</v>
      </c>
      <c r="U95" s="92">
        <f t="shared" si="47"/>
        <v>0</v>
      </c>
      <c r="V95" s="93">
        <v>0</v>
      </c>
      <c r="W95" s="93">
        <v>0</v>
      </c>
      <c r="X95" s="92">
        <f t="shared" si="48"/>
        <v>0</v>
      </c>
      <c r="Y95" s="93">
        <v>0</v>
      </c>
      <c r="Z95" s="93">
        <v>0</v>
      </c>
      <c r="AA95" s="92">
        <f t="shared" si="49"/>
        <v>0</v>
      </c>
      <c r="AB95" s="92">
        <f t="shared" si="50"/>
        <v>0</v>
      </c>
      <c r="AC95" s="234">
        <f t="shared" si="51"/>
        <v>0</v>
      </c>
      <c r="AD95" s="92">
        <f t="shared" si="52"/>
        <v>0</v>
      </c>
      <c r="AE95" s="93">
        <v>0</v>
      </c>
      <c r="AF95" s="234">
        <f t="shared" si="53"/>
        <v>0</v>
      </c>
      <c r="AG95" s="93">
        <v>0</v>
      </c>
      <c r="AH95" s="93"/>
      <c r="AI95" s="93"/>
      <c r="AJ95" s="93"/>
      <c r="AK95" s="93"/>
      <c r="AL95" s="122">
        <f t="shared" si="54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5"/>
        <v>0</v>
      </c>
      <c r="R96" s="92">
        <f t="shared" si="46"/>
        <v>0</v>
      </c>
      <c r="S96" s="93">
        <v>0</v>
      </c>
      <c r="T96" s="93">
        <v>0</v>
      </c>
      <c r="U96" s="92">
        <f t="shared" si="47"/>
        <v>0</v>
      </c>
      <c r="V96" s="93">
        <v>0</v>
      </c>
      <c r="W96" s="93">
        <v>0</v>
      </c>
      <c r="X96" s="92">
        <f t="shared" si="48"/>
        <v>0</v>
      </c>
      <c r="Y96" s="93">
        <v>0</v>
      </c>
      <c r="Z96" s="93">
        <v>0</v>
      </c>
      <c r="AA96" s="92">
        <f t="shared" si="49"/>
        <v>0</v>
      </c>
      <c r="AB96" s="92">
        <f t="shared" si="50"/>
        <v>0</v>
      </c>
      <c r="AC96" s="234">
        <f t="shared" si="51"/>
        <v>0</v>
      </c>
      <c r="AD96" s="92">
        <f t="shared" si="52"/>
        <v>0</v>
      </c>
      <c r="AE96" s="93">
        <v>0</v>
      </c>
      <c r="AF96" s="234">
        <f t="shared" si="53"/>
        <v>0</v>
      </c>
      <c r="AG96" s="93">
        <v>0</v>
      </c>
      <c r="AH96" s="93"/>
      <c r="AI96" s="93"/>
      <c r="AJ96" s="93"/>
      <c r="AK96" s="93"/>
      <c r="AL96" s="122">
        <f t="shared" si="54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 t="s">
        <v>100</v>
      </c>
      <c r="G97" s="93">
        <v>1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5"/>
        <v>0</v>
      </c>
      <c r="R97" s="92">
        <f t="shared" si="46"/>
        <v>0</v>
      </c>
      <c r="S97" s="93">
        <v>0</v>
      </c>
      <c r="T97" s="93">
        <v>0</v>
      </c>
      <c r="U97" s="92">
        <f t="shared" si="47"/>
        <v>0</v>
      </c>
      <c r="V97" s="93">
        <v>0</v>
      </c>
      <c r="W97" s="93">
        <v>0</v>
      </c>
      <c r="X97" s="92">
        <f t="shared" si="48"/>
        <v>0</v>
      </c>
      <c r="Y97" s="93">
        <v>0</v>
      </c>
      <c r="Z97" s="93">
        <v>0</v>
      </c>
      <c r="AA97" s="92">
        <f t="shared" si="49"/>
        <v>0</v>
      </c>
      <c r="AB97" s="92">
        <f t="shared" si="50"/>
        <v>0</v>
      </c>
      <c r="AC97" s="234">
        <f t="shared" si="51"/>
        <v>0</v>
      </c>
      <c r="AD97" s="92">
        <f t="shared" si="52"/>
        <v>0</v>
      </c>
      <c r="AE97" s="93">
        <v>0</v>
      </c>
      <c r="AF97" s="234">
        <f t="shared" si="53"/>
        <v>0</v>
      </c>
      <c r="AG97" s="93">
        <v>66.25</v>
      </c>
      <c r="AH97" s="93"/>
      <c r="AI97" s="93"/>
      <c r="AJ97" s="93"/>
      <c r="AK97" s="93"/>
      <c r="AL97" s="122">
        <f t="shared" si="54"/>
        <v>0.93309648529908751</v>
      </c>
      <c r="AM97" s="93">
        <v>0</v>
      </c>
      <c r="AN97" s="94">
        <f t="shared" si="55"/>
        <v>0</v>
      </c>
      <c r="AO97" s="95">
        <f t="shared" si="56"/>
        <v>-67.183096485299089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66.25</v>
      </c>
      <c r="AU97" s="98">
        <f t="shared" si="57"/>
        <v>0</v>
      </c>
      <c r="AV97" s="98">
        <f t="array" ref="AV97">_xlfn.IFS(U97=0,AO97,U97&lt;0,AO97/-U97,U97&gt;0,AO97/U97)</f>
        <v>-67.183096485299089</v>
      </c>
      <c r="AW97" s="234">
        <f t="shared" si="42"/>
        <v>0</v>
      </c>
      <c r="AX97" s="234">
        <f t="shared" si="43"/>
        <v>-0.16792415638197133</v>
      </c>
      <c r="AY97" s="99"/>
      <c r="AZ97" s="94">
        <f t="shared" si="11"/>
        <v>-134.36619297059818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9</v>
      </c>
      <c r="F98" s="93">
        <v>2</v>
      </c>
      <c r="G98" s="93" t="s">
        <v>100</v>
      </c>
      <c r="H98" s="93">
        <v>7</v>
      </c>
      <c r="I98" s="93">
        <v>0</v>
      </c>
      <c r="J98" s="93">
        <v>0</v>
      </c>
      <c r="K98" s="93">
        <v>300.08</v>
      </c>
      <c r="L98" s="92">
        <f t="shared" si="41"/>
        <v>2700.72</v>
      </c>
      <c r="M98" s="89">
        <v>59</v>
      </c>
      <c r="N98" s="89">
        <v>2</v>
      </c>
      <c r="O98" s="89">
        <v>878</v>
      </c>
      <c r="P98" s="89">
        <v>0</v>
      </c>
      <c r="Q98" s="233">
        <f t="shared" si="45"/>
        <v>0.2857142857142857</v>
      </c>
      <c r="R98" s="92">
        <f t="shared" si="46"/>
        <v>0.14285714285714285</v>
      </c>
      <c r="S98" s="93">
        <v>1</v>
      </c>
      <c r="T98" s="93">
        <v>0</v>
      </c>
      <c r="U98" s="92">
        <f t="shared" si="47"/>
        <v>1</v>
      </c>
      <c r="V98" s="93">
        <v>681.43</v>
      </c>
      <c r="W98" s="93">
        <v>0</v>
      </c>
      <c r="X98" s="92">
        <f t="shared" si="48"/>
        <v>681.43</v>
      </c>
      <c r="Y98" s="93">
        <v>877.57</v>
      </c>
      <c r="Z98" s="93">
        <v>0</v>
      </c>
      <c r="AA98" s="92">
        <f t="shared" si="49"/>
        <v>877.57</v>
      </c>
      <c r="AB98" s="92">
        <f t="shared" si="50"/>
        <v>0</v>
      </c>
      <c r="AC98" s="234">
        <f t="shared" si="51"/>
        <v>3.0565870331767059E-4</v>
      </c>
      <c r="AD98" s="92">
        <f t="shared" si="52"/>
        <v>300.08</v>
      </c>
      <c r="AE98" s="93">
        <v>325.0100000000001</v>
      </c>
      <c r="AF98" s="234">
        <f t="shared" si="53"/>
        <v>0.37035222261472028</v>
      </c>
      <c r="AG98" s="93">
        <v>43.33</v>
      </c>
      <c r="AH98" s="93"/>
      <c r="AI98" s="93"/>
      <c r="AJ98" s="93"/>
      <c r="AK98" s="93"/>
      <c r="AL98" s="122">
        <f t="shared" si="54"/>
        <v>6.5316753970936121</v>
      </c>
      <c r="AM98" s="93">
        <v>0</v>
      </c>
      <c r="AN98" s="94">
        <f t="shared" si="55"/>
        <v>38.909652999999999</v>
      </c>
      <c r="AO98" s="95">
        <f t="shared" si="56"/>
        <v>163.70867160290632</v>
      </c>
      <c r="AP98" s="96"/>
      <c r="AQ98" s="97">
        <f t="shared" ref="AQ98:AQ103" si="58">IF(U98=0,0,AA98/U98)</f>
        <v>877.57</v>
      </c>
      <c r="AR98" s="98">
        <f t="shared" si="34"/>
        <v>300.08</v>
      </c>
      <c r="AS98" s="98">
        <f t="shared" ref="AS98:AS103" si="59">IF(U98=0,0,AE98/U98)</f>
        <v>325.0100000000001</v>
      </c>
      <c r="AT98" s="98">
        <f t="shared" ref="AT98:AT103" si="60">IF(S98=0,AG98/1,AG98/S98)</f>
        <v>43.33</v>
      </c>
      <c r="AU98" s="98">
        <f t="shared" si="57"/>
        <v>0</v>
      </c>
      <c r="AV98" s="98">
        <f t="array" ref="AV98">_xlfn.IFS(U98=0,AO98,U98&lt;0,AO98/-U98,U98&gt;0,AO98/U98)</f>
        <v>163.70867160290632</v>
      </c>
      <c r="AW98" s="234">
        <f t="shared" si="42"/>
        <v>0.18654770742266294</v>
      </c>
      <c r="AX98" s="234">
        <f t="shared" si="43"/>
        <v>0.54555009198515836</v>
      </c>
      <c r="AY98" s="99"/>
      <c r="AZ98" s="94">
        <f t="shared" ref="AZ98:AZ103" si="61">AV98*E98</f>
        <v>1473.378044426157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5"/>
        <v>0</v>
      </c>
      <c r="R99" s="92">
        <f t="shared" si="46"/>
        <v>0</v>
      </c>
      <c r="S99" s="93">
        <v>0</v>
      </c>
      <c r="T99" s="93">
        <v>0</v>
      </c>
      <c r="U99" s="92">
        <f t="shared" si="47"/>
        <v>0</v>
      </c>
      <c r="V99" s="93">
        <v>0</v>
      </c>
      <c r="W99" s="93">
        <v>0</v>
      </c>
      <c r="X99" s="92">
        <f t="shared" si="48"/>
        <v>0</v>
      </c>
      <c r="Y99" s="93">
        <v>0</v>
      </c>
      <c r="Z99" s="93">
        <v>0</v>
      </c>
      <c r="AA99" s="92">
        <f t="shared" si="49"/>
        <v>0</v>
      </c>
      <c r="AB99" s="92">
        <f t="shared" si="50"/>
        <v>0</v>
      </c>
      <c r="AC99" s="234">
        <f t="shared" si="51"/>
        <v>0</v>
      </c>
      <c r="AD99" s="92">
        <f t="shared" si="52"/>
        <v>0</v>
      </c>
      <c r="AE99" s="93">
        <v>0</v>
      </c>
      <c r="AF99" s="234">
        <f t="shared" si="53"/>
        <v>0</v>
      </c>
      <c r="AG99" s="93">
        <v>0</v>
      </c>
      <c r="AH99" s="93"/>
      <c r="AI99" s="93"/>
      <c r="AJ99" s="93"/>
      <c r="AK99" s="93"/>
      <c r="AL99" s="122">
        <f t="shared" si="54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3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3" si="64">IF(AQ99=0,0,AV99/AQ99)</f>
        <v>0</v>
      </c>
      <c r="AX99" s="234">
        <f t="shared" ref="AX99:AX103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34</v>
      </c>
      <c r="F100" s="93">
        <v>3</v>
      </c>
      <c r="G100" s="93">
        <v>1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2"/>
        <v>4861.32</v>
      </c>
      <c r="M100" s="89">
        <v>97</v>
      </c>
      <c r="N100" s="89">
        <v>5</v>
      </c>
      <c r="O100" s="89">
        <v>1300</v>
      </c>
      <c r="P100" s="89">
        <v>67</v>
      </c>
      <c r="Q100" s="233">
        <f t="shared" si="45"/>
        <v>0.7142857142857143</v>
      </c>
      <c r="R100" s="92">
        <f t="shared" si="46"/>
        <v>0.2857142857142857</v>
      </c>
      <c r="S100" s="93">
        <v>2</v>
      </c>
      <c r="T100" s="93">
        <v>0</v>
      </c>
      <c r="U100" s="92">
        <f t="shared" si="47"/>
        <v>2</v>
      </c>
      <c r="V100" s="93">
        <v>1725</v>
      </c>
      <c r="W100" s="93">
        <v>0</v>
      </c>
      <c r="X100" s="92">
        <f t="shared" si="48"/>
        <v>1725</v>
      </c>
      <c r="Y100" s="93">
        <v>2600</v>
      </c>
      <c r="Z100" s="93">
        <v>0</v>
      </c>
      <c r="AA100" s="92">
        <f t="shared" si="49"/>
        <v>2600</v>
      </c>
      <c r="AB100" s="92">
        <f t="shared" si="50"/>
        <v>4355</v>
      </c>
      <c r="AC100" s="234">
        <f t="shared" si="51"/>
        <v>9.0558317698410777E-4</v>
      </c>
      <c r="AD100" s="92">
        <f t="shared" si="52"/>
        <v>285.95999999999998</v>
      </c>
      <c r="AE100" s="93">
        <v>973.40000000000009</v>
      </c>
      <c r="AF100" s="234">
        <f t="shared" si="53"/>
        <v>0.37438461538461543</v>
      </c>
      <c r="AG100" s="93">
        <v>256.40999999999997</v>
      </c>
      <c r="AH100" s="93"/>
      <c r="AI100" s="93"/>
      <c r="AJ100" s="93"/>
      <c r="AK100" s="93"/>
      <c r="AL100" s="122">
        <f t="shared" si="54"/>
        <v>27.992894558972623</v>
      </c>
      <c r="AM100" s="93">
        <v>0</v>
      </c>
      <c r="AN100" s="94">
        <f t="shared" si="55"/>
        <v>98.497500000000002</v>
      </c>
      <c r="AO100" s="95">
        <f t="shared" si="56"/>
        <v>957.73960544102738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486.70000000000005</v>
      </c>
      <c r="AT100" s="98">
        <f t="shared" si="60"/>
        <v>128.20499999999998</v>
      </c>
      <c r="AU100" s="98">
        <f t="shared" si="57"/>
        <v>0</v>
      </c>
      <c r="AV100" s="98">
        <f t="array" ref="AV100">_xlfn.IFS(U100=0,AO100,U100&lt;0,AO100/-U100,U100&gt;0,AO100/U100)</f>
        <v>478.86980272051369</v>
      </c>
      <c r="AW100" s="234">
        <f t="shared" si="64"/>
        <v>0.36836138670808743</v>
      </c>
      <c r="AX100" s="234">
        <f t="shared" si="65"/>
        <v>3.3492082999056771</v>
      </c>
      <c r="AY100" s="99"/>
      <c r="AZ100" s="94">
        <f t="shared" si="61"/>
        <v>16281.573292497465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5"/>
        <v>0</v>
      </c>
      <c r="R101" s="92">
        <f t="shared" si="46"/>
        <v>0</v>
      </c>
      <c r="S101" s="93">
        <v>0</v>
      </c>
      <c r="T101" s="93">
        <v>0</v>
      </c>
      <c r="U101" s="92">
        <f t="shared" si="47"/>
        <v>0</v>
      </c>
      <c r="V101" s="93">
        <v>0</v>
      </c>
      <c r="W101" s="93">
        <v>0</v>
      </c>
      <c r="X101" s="92">
        <f t="shared" si="48"/>
        <v>0</v>
      </c>
      <c r="Y101" s="93">
        <v>0</v>
      </c>
      <c r="Z101" s="93">
        <v>0</v>
      </c>
      <c r="AA101" s="92">
        <f t="shared" si="49"/>
        <v>0</v>
      </c>
      <c r="AB101" s="92">
        <f t="shared" si="50"/>
        <v>0</v>
      </c>
      <c r="AC101" s="234">
        <f t="shared" si="51"/>
        <v>0</v>
      </c>
      <c r="AD101" s="92">
        <f t="shared" si="52"/>
        <v>0</v>
      </c>
      <c r="AE101" s="93">
        <v>0</v>
      </c>
      <c r="AF101" s="234">
        <f t="shared" si="53"/>
        <v>0</v>
      </c>
      <c r="AG101" s="93">
        <v>0</v>
      </c>
      <c r="AH101" s="93"/>
      <c r="AI101" s="93"/>
      <c r="AJ101" s="93"/>
      <c r="AK101" s="93"/>
      <c r="AL101" s="122">
        <f t="shared" si="54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125</v>
      </c>
      <c r="F102" s="93">
        <v>9</v>
      </c>
      <c r="G102" s="93">
        <v>2</v>
      </c>
      <c r="H102" s="93">
        <v>114</v>
      </c>
      <c r="I102" s="93">
        <v>0</v>
      </c>
      <c r="J102" s="93">
        <v>0</v>
      </c>
      <c r="K102" s="92">
        <v>123.09</v>
      </c>
      <c r="L102" s="92">
        <f t="shared" si="62"/>
        <v>15386.25</v>
      </c>
      <c r="M102" s="89">
        <v>118</v>
      </c>
      <c r="N102" s="89">
        <v>12</v>
      </c>
      <c r="O102" s="89">
        <v>1300</v>
      </c>
      <c r="P102" s="89">
        <v>60</v>
      </c>
      <c r="Q102" s="233">
        <f t="shared" si="45"/>
        <v>1.7142857142857142</v>
      </c>
      <c r="R102" s="92">
        <f t="shared" si="46"/>
        <v>0.7142857142857143</v>
      </c>
      <c r="S102" s="93">
        <v>6</v>
      </c>
      <c r="T102" s="93">
        <v>-1</v>
      </c>
      <c r="U102" s="92">
        <f t="shared" si="47"/>
        <v>5</v>
      </c>
      <c r="V102" s="93">
        <v>5220.57</v>
      </c>
      <c r="W102" s="93">
        <v>-846</v>
      </c>
      <c r="X102" s="92">
        <f t="shared" si="48"/>
        <v>4374.57</v>
      </c>
      <c r="Y102" s="93">
        <v>7800.9</v>
      </c>
      <c r="Z102" s="93">
        <v>-1300</v>
      </c>
      <c r="AA102" s="92">
        <f t="shared" si="49"/>
        <v>6500.9</v>
      </c>
      <c r="AB102" s="92">
        <f t="shared" si="50"/>
        <v>9360</v>
      </c>
      <c r="AC102" s="234">
        <f t="shared" si="51"/>
        <v>2.2642714135599944E-3</v>
      </c>
      <c r="AD102" s="92">
        <f t="shared" si="52"/>
        <v>615.45000000000005</v>
      </c>
      <c r="AE102" s="93">
        <v>2430.4599999999991</v>
      </c>
      <c r="AF102" s="234">
        <f t="shared" si="53"/>
        <v>0.37386515713208929</v>
      </c>
      <c r="AG102" s="93">
        <v>1197.0800000000013</v>
      </c>
      <c r="AH102" s="93"/>
      <c r="AI102" s="93"/>
      <c r="AJ102" s="93"/>
      <c r="AK102" s="93"/>
      <c r="AL102" s="122">
        <f t="shared" si="54"/>
        <v>106.37299932409596</v>
      </c>
      <c r="AM102" s="93">
        <v>0</v>
      </c>
      <c r="AN102" s="94">
        <f t="shared" si="55"/>
        <v>249.78794699999997</v>
      </c>
      <c r="AO102" s="95">
        <f t="shared" si="56"/>
        <v>1901.7490536759035</v>
      </c>
      <c r="AP102" s="96"/>
      <c r="AQ102" s="97">
        <f t="shared" si="58"/>
        <v>1300.1799999999998</v>
      </c>
      <c r="AR102" s="98">
        <f t="shared" si="63"/>
        <v>123.09</v>
      </c>
      <c r="AS102" s="98">
        <f t="shared" si="59"/>
        <v>486.09199999999981</v>
      </c>
      <c r="AT102" s="98">
        <f t="shared" si="60"/>
        <v>199.51333333333355</v>
      </c>
      <c r="AU102" s="98">
        <f t="shared" si="57"/>
        <v>0</v>
      </c>
      <c r="AV102" s="98">
        <f t="array" ref="AV102">_xlfn.IFS(U102=0,AO102,U102&lt;0,AO102/-U102,U102&gt;0,AO102/U102)</f>
        <v>380.34981073518071</v>
      </c>
      <c r="AW102" s="234">
        <f t="shared" si="64"/>
        <v>0.29253627246625913</v>
      </c>
      <c r="AX102" s="234">
        <f t="shared" si="65"/>
        <v>3.0900138982466543</v>
      </c>
      <c r="AY102" s="99"/>
      <c r="AZ102" s="94">
        <f t="shared" si="61"/>
        <v>47543.726341897585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5"/>
        <v>0</v>
      </c>
      <c r="R103" s="92">
        <f t="shared" si="46"/>
        <v>0</v>
      </c>
      <c r="S103" s="93">
        <v>0</v>
      </c>
      <c r="T103" s="93">
        <v>0</v>
      </c>
      <c r="U103" s="92">
        <f t="shared" si="47"/>
        <v>0</v>
      </c>
      <c r="V103" s="93">
        <v>0</v>
      </c>
      <c r="W103" s="93">
        <v>0</v>
      </c>
      <c r="X103" s="92">
        <f t="shared" si="48"/>
        <v>0</v>
      </c>
      <c r="Y103" s="93">
        <v>0</v>
      </c>
      <c r="Z103" s="93">
        <v>0</v>
      </c>
      <c r="AA103" s="92">
        <f t="shared" si="49"/>
        <v>0</v>
      </c>
      <c r="AB103" s="92">
        <f t="shared" si="50"/>
        <v>0</v>
      </c>
      <c r="AC103" s="234">
        <f t="shared" si="51"/>
        <v>0</v>
      </c>
      <c r="AD103" s="92">
        <f t="shared" si="52"/>
        <v>0</v>
      </c>
      <c r="AE103" s="93">
        <v>0</v>
      </c>
      <c r="AF103" s="234">
        <f t="shared" si="53"/>
        <v>0</v>
      </c>
      <c r="AG103" s="93">
        <v>0</v>
      </c>
      <c r="AH103" s="93"/>
      <c r="AI103" s="93"/>
      <c r="AJ103" s="93"/>
      <c r="AK103" s="93"/>
      <c r="AL103" s="122">
        <f t="shared" si="54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463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4"/>
        <v>300</v>
      </c>
      <c r="F104" s="455">
        <v>4</v>
      </c>
      <c r="G104" s="455" t="s">
        <v>100</v>
      </c>
      <c r="H104" s="455">
        <v>96</v>
      </c>
      <c r="I104" s="455">
        <v>0</v>
      </c>
      <c r="J104" s="455">
        <v>200</v>
      </c>
      <c r="K104" s="455">
        <v>142.97999999999999</v>
      </c>
      <c r="L104" s="455">
        <f t="shared" ref="L104" si="66">E104*K104</f>
        <v>42894</v>
      </c>
      <c r="M104" s="89">
        <v>146</v>
      </c>
      <c r="N104" s="89">
        <v>5</v>
      </c>
      <c r="O104" s="89">
        <v>1990</v>
      </c>
      <c r="P104" s="89">
        <v>0</v>
      </c>
      <c r="Q104" s="456">
        <f t="shared" ref="Q104" si="67">N104/7</f>
        <v>0.7142857142857143</v>
      </c>
      <c r="R104" s="455">
        <f t="shared" ref="R104" si="68">U104/7</f>
        <v>0</v>
      </c>
      <c r="S104" s="93">
        <v>0</v>
      </c>
      <c r="T104" s="93">
        <v>0</v>
      </c>
      <c r="U104" s="92">
        <f t="shared" si="47"/>
        <v>0</v>
      </c>
      <c r="V104" s="93">
        <v>0</v>
      </c>
      <c r="W104" s="93">
        <v>0</v>
      </c>
      <c r="X104" s="92">
        <f t="shared" si="48"/>
        <v>0</v>
      </c>
      <c r="Y104" s="93">
        <v>0</v>
      </c>
      <c r="Z104" s="93">
        <v>0</v>
      </c>
      <c r="AA104" s="92">
        <f t="shared" si="49"/>
        <v>0</v>
      </c>
      <c r="AB104" s="92">
        <f t="shared" si="50"/>
        <v>0</v>
      </c>
      <c r="AC104" s="234">
        <f t="shared" si="51"/>
        <v>0</v>
      </c>
      <c r="AD104" s="92">
        <f t="shared" si="52"/>
        <v>0</v>
      </c>
      <c r="AE104" s="93">
        <v>0</v>
      </c>
      <c r="AF104" s="234">
        <f t="shared" si="53"/>
        <v>0</v>
      </c>
      <c r="AG104" s="93">
        <v>78.180000000000007</v>
      </c>
      <c r="AH104" s="93"/>
      <c r="AI104" s="93"/>
      <c r="AJ104" s="93"/>
      <c r="AK104" s="93"/>
      <c r="AL104" s="122">
        <f t="shared" si="54"/>
        <v>89.577262588712401</v>
      </c>
      <c r="AM104" s="93">
        <v>0</v>
      </c>
      <c r="AN104" s="458">
        <f t="shared" ref="AN104" si="69">X104*5.71%</f>
        <v>0</v>
      </c>
      <c r="AO104" s="459">
        <f t="shared" ref="AO104" si="70">AA104-AD104-AE104-AG104-AH104-AI104-AK104-AL104-AN104-AM104</f>
        <v>-167.75726258871242</v>
      </c>
      <c r="AP104" s="458"/>
      <c r="AQ104" s="460">
        <f t="shared" ref="AQ104" si="71">IF(U104=0,0,AA104/U104)</f>
        <v>0</v>
      </c>
      <c r="AR104" s="461">
        <f t="shared" ref="AR104" si="72">K104</f>
        <v>142.97999999999999</v>
      </c>
      <c r="AS104" s="461">
        <f t="shared" ref="AS104" si="73">IF(U104=0,0,AE104/U104)</f>
        <v>0</v>
      </c>
      <c r="AT104" s="461">
        <f t="shared" ref="AT104" si="74">IF(S104=0,AG104/1,AG104/S104)</f>
        <v>78.180000000000007</v>
      </c>
      <c r="AU104" s="461">
        <f t="shared" ref="AU104" si="75">IF(S104=0,0,(AH104+AI104+AJ104)/S104)</f>
        <v>0</v>
      </c>
      <c r="AV104" s="461">
        <f t="array" ref="AV104">_xlfn.IFS(U104=0,AO104,U104&lt;0,AO104/-U104,U104&gt;0,AO104/U104)</f>
        <v>-167.75726258871242</v>
      </c>
      <c r="AW104" s="457">
        <f t="shared" ref="AW104" si="76">IF(AQ104=0,0,AV104/AQ104)</f>
        <v>0</v>
      </c>
      <c r="AX104" s="457">
        <f t="shared" ref="AX104" si="77">IF(AR104=0,0,AV104/AR104)</f>
        <v>-1.1732918071668235</v>
      </c>
      <c r="AY104" s="462"/>
      <c r="AZ104" s="458">
        <f t="shared" ref="AZ104" si="78">AV104*E104</f>
        <v>-50327.178776613728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79">AVERAGE(AQ7:AQ98)</f>
        <v>627.61200378254421</v>
      </c>
      <c r="AR105" s="111">
        <f t="shared" si="79"/>
        <v>141.22217391304349</v>
      </c>
      <c r="AS105" s="111">
        <f t="shared" si="79"/>
        <v>236.23677835032152</v>
      </c>
      <c r="AT105" s="111">
        <f t="shared" si="79"/>
        <v>119.66697733150231</v>
      </c>
      <c r="AU105" s="111">
        <f t="shared" si="79"/>
        <v>83.857569245298336</v>
      </c>
      <c r="AV105" s="111">
        <f t="shared" si="79"/>
        <v>22.806347238367902</v>
      </c>
      <c r="AW105" s="112">
        <f t="shared" si="79"/>
        <v>5.0251841722238691E-2</v>
      </c>
      <c r="AX105" s="112">
        <f t="shared" si="79"/>
        <v>0.12085862737984419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0">SUM(E3:E104)</f>
        <v>63973</v>
      </c>
      <c r="F106" s="116">
        <f t="shared" si="80"/>
        <v>2241</v>
      </c>
      <c r="G106" s="116">
        <f t="shared" si="80"/>
        <v>718</v>
      </c>
      <c r="H106" s="116">
        <f t="shared" si="80"/>
        <v>11836</v>
      </c>
      <c r="I106" s="116">
        <f t="shared" si="80"/>
        <v>1461</v>
      </c>
      <c r="J106" s="116">
        <f t="shared" si="80"/>
        <v>47717</v>
      </c>
      <c r="K106" s="116"/>
      <c r="L106" s="116">
        <f>SUM(L3:L104)</f>
        <v>7932281.3100000033</v>
      </c>
      <c r="M106" s="116"/>
      <c r="N106" s="116">
        <f>SUM(N3:N104)</f>
        <v>3479</v>
      </c>
      <c r="O106" s="116"/>
      <c r="P106" s="116"/>
      <c r="Q106" s="294">
        <f>SUM(Q3:Q104)</f>
        <v>497.00000000000006</v>
      </c>
      <c r="R106" s="294">
        <f t="shared" ref="R106" si="81">SUM(R3:R104)</f>
        <v>275.00000000000006</v>
      </c>
      <c r="S106" s="116">
        <f t="shared" ref="S106:AE106" si="82">SUM(S3:S104)</f>
        <v>1972</v>
      </c>
      <c r="T106" s="116">
        <f t="shared" si="82"/>
        <v>-47</v>
      </c>
      <c r="U106" s="116">
        <f t="shared" si="82"/>
        <v>1925</v>
      </c>
      <c r="V106" s="116">
        <f t="shared" si="82"/>
        <v>1966605.1999999995</v>
      </c>
      <c r="W106" s="116">
        <f t="shared" si="82"/>
        <v>-45569.59</v>
      </c>
      <c r="X106" s="116">
        <f t="shared" si="82"/>
        <v>1921035.6099999996</v>
      </c>
      <c r="Y106" s="116">
        <f t="shared" si="82"/>
        <v>2939167.3999999994</v>
      </c>
      <c r="Z106" s="116">
        <f t="shared" si="82"/>
        <v>-68089.33</v>
      </c>
      <c r="AA106" s="116">
        <f t="shared" si="82"/>
        <v>2871078.0699999994</v>
      </c>
      <c r="AB106" s="116">
        <f t="shared" si="82"/>
        <v>2987098.31</v>
      </c>
      <c r="AC106" s="239">
        <f t="shared" si="82"/>
        <v>0.99999999999999989</v>
      </c>
      <c r="AD106" s="117">
        <f t="shared" si="82"/>
        <v>238729.30999999994</v>
      </c>
      <c r="AE106" s="116">
        <f t="shared" si="82"/>
        <v>1082608.5099999991</v>
      </c>
      <c r="AF106" s="239">
        <f>AE106/AA106</f>
        <v>0.37707386689070399</v>
      </c>
      <c r="AG106" s="116">
        <f t="shared" ref="AG106:AO106" si="83">SUM(AG3:AG104)</f>
        <v>252691.82000000015</v>
      </c>
      <c r="AH106" s="117">
        <f t="shared" si="83"/>
        <v>43580</v>
      </c>
      <c r="AI106" s="117">
        <f t="shared" si="83"/>
        <v>287584</v>
      </c>
      <c r="AJ106" s="117">
        <f t="shared" si="83"/>
        <v>0</v>
      </c>
      <c r="AK106" s="117">
        <f t="shared" si="83"/>
        <v>0</v>
      </c>
      <c r="AL106" s="117">
        <f t="shared" si="83"/>
        <v>11044.130000000003</v>
      </c>
      <c r="AM106" s="116">
        <f t="shared" si="83"/>
        <v>3110</v>
      </c>
      <c r="AN106" s="117">
        <f t="shared" si="83"/>
        <v>109691.13333099996</v>
      </c>
      <c r="AO106" s="117">
        <f t="shared" si="83"/>
        <v>842039.16666900052</v>
      </c>
      <c r="AP106" s="118"/>
      <c r="AQ106" s="116"/>
      <c r="AR106" s="116"/>
      <c r="AS106" s="116"/>
      <c r="AT106" s="116"/>
      <c r="AU106" s="240">
        <f>(AH106+AI106+AJ106)/S106</f>
        <v>167.93306288032454</v>
      </c>
      <c r="AV106" s="116"/>
      <c r="AW106" s="116"/>
      <c r="AX106" s="116"/>
      <c r="AY106" s="119"/>
      <c r="AZ106" s="116">
        <f>SUM(AZ3:AZ104)</f>
        <v>23435618.038513385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39" t="e">
        <f t="shared" ref="AF107:AF126" si="84">AE107/AA107</f>
        <v>#DIV/0!</v>
      </c>
      <c r="AG107" s="93"/>
      <c r="AH107" s="591"/>
      <c r="AI107" s="591"/>
      <c r="AJ107" s="417"/>
      <c r="AK107" s="41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9" t="e">
        <f t="shared" si="84"/>
        <v>#DIV/0!</v>
      </c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9" t="e">
        <f t="shared" si="84"/>
        <v>#DIV/0!</v>
      </c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9" t="e">
        <f t="shared" si="84"/>
        <v>#DIV/0!</v>
      </c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9" t="e">
        <f t="shared" si="84"/>
        <v>#DIV/0!</v>
      </c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9" t="e">
        <f t="shared" si="84"/>
        <v>#DIV/0!</v>
      </c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39" t="e">
        <f t="shared" si="84"/>
        <v>#DIV/0!</v>
      </c>
      <c r="AG113" s="93"/>
      <c r="AH113" s="417"/>
      <c r="AI113" s="417"/>
      <c r="AJ113" s="417"/>
      <c r="AK113" s="41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5">AVERAGE(AS108:AS112)</f>
        <v>#DIV/0!</v>
      </c>
      <c r="AT113" s="245" t="e">
        <f t="shared" si="85"/>
        <v>#DIV/0!</v>
      </c>
      <c r="AU113" s="245" t="e">
        <f t="shared" si="85"/>
        <v>#DIV/0!</v>
      </c>
      <c r="AV113" s="245" t="e">
        <f t="shared" si="85"/>
        <v>#DIV/0!</v>
      </c>
      <c r="AW113" s="246" t="e">
        <f t="shared" si="85"/>
        <v>#DIV/0!</v>
      </c>
      <c r="AX113" s="246" t="e">
        <f t="shared" si="85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86">SUM(E108:E112)</f>
        <v>0</v>
      </c>
      <c r="F114" s="249">
        <f t="shared" si="86"/>
        <v>0</v>
      </c>
      <c r="G114" s="249">
        <f t="shared" si="86"/>
        <v>0</v>
      </c>
      <c r="H114" s="249">
        <f t="shared" si="86"/>
        <v>0</v>
      </c>
      <c r="I114" s="249">
        <f t="shared" si="86"/>
        <v>0</v>
      </c>
      <c r="J114" s="249">
        <f t="shared" si="86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87">SUM(S108:S112)</f>
        <v>0</v>
      </c>
      <c r="T114" s="249">
        <f t="shared" si="87"/>
        <v>0</v>
      </c>
      <c r="U114" s="249">
        <f t="shared" si="87"/>
        <v>0</v>
      </c>
      <c r="V114" s="249">
        <f t="shared" si="87"/>
        <v>0</v>
      </c>
      <c r="W114" s="249">
        <f t="shared" si="87"/>
        <v>0</v>
      </c>
      <c r="X114" s="249">
        <f t="shared" si="87"/>
        <v>0</v>
      </c>
      <c r="Y114" s="249">
        <f t="shared" si="87"/>
        <v>0</v>
      </c>
      <c r="Z114" s="249">
        <f t="shared" si="87"/>
        <v>0</v>
      </c>
      <c r="AA114" s="249">
        <f t="shared" si="87"/>
        <v>0</v>
      </c>
      <c r="AB114" s="249">
        <f t="shared" si="87"/>
        <v>0</v>
      </c>
      <c r="AC114" s="252">
        <f t="shared" si="87"/>
        <v>0</v>
      </c>
      <c r="AD114" s="253">
        <f t="shared" si="87"/>
        <v>0</v>
      </c>
      <c r="AE114" s="249">
        <f t="shared" si="87"/>
        <v>0</v>
      </c>
      <c r="AF114" s="239" t="e">
        <f t="shared" si="84"/>
        <v>#DIV/0!</v>
      </c>
      <c r="AG114" s="249">
        <f t="shared" ref="AG114:AO114" si="88">SUM(AG108:AG112)</f>
        <v>0</v>
      </c>
      <c r="AH114" s="253">
        <f t="shared" si="88"/>
        <v>0</v>
      </c>
      <c r="AI114" s="253">
        <f t="shared" si="88"/>
        <v>0</v>
      </c>
      <c r="AJ114" s="253">
        <f t="shared" si="88"/>
        <v>0</v>
      </c>
      <c r="AK114" s="253">
        <f t="shared" si="88"/>
        <v>0</v>
      </c>
      <c r="AL114" s="253">
        <f t="shared" si="88"/>
        <v>0</v>
      </c>
      <c r="AM114" s="249">
        <f t="shared" si="88"/>
        <v>0</v>
      </c>
      <c r="AN114" s="253">
        <f t="shared" si="88"/>
        <v>0</v>
      </c>
      <c r="AO114" s="253">
        <f t="shared" si="88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39" t="e">
        <f t="shared" si="84"/>
        <v>#DIV/0!</v>
      </c>
      <c r="AG115" s="139"/>
      <c r="AH115" s="592"/>
      <c r="AI115" s="593"/>
      <c r="AJ115" s="41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9" t="e">
        <f t="shared" si="84"/>
        <v>#DIV/0!</v>
      </c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9" t="e">
        <f t="shared" si="84"/>
        <v>#DIV/0!</v>
      </c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9" t="e">
        <f t="shared" si="84"/>
        <v>#DIV/0!</v>
      </c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9" t="e">
        <f t="shared" si="84"/>
        <v>#DIV/0!</v>
      </c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9" t="e">
        <f t="shared" si="84"/>
        <v>#DIV/0!</v>
      </c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9" t="e">
        <f t="shared" si="84"/>
        <v>#DIV/0!</v>
      </c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9" t="e">
        <f t="shared" si="84"/>
        <v>#DIV/0!</v>
      </c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9" t="e">
        <f t="shared" si="84"/>
        <v>#DIV/0!</v>
      </c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9" t="e">
        <f t="shared" si="84"/>
        <v>#DIV/0!</v>
      </c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89">AVERAGE(AQ116:AQ123)</f>
        <v>#DIV/0!</v>
      </c>
      <c r="AR124" s="130" t="e">
        <f t="shared" si="89"/>
        <v>#DIV/0!</v>
      </c>
      <c r="AS124" s="130" t="e">
        <f t="shared" si="89"/>
        <v>#DIV/0!</v>
      </c>
      <c r="AT124" s="130" t="e">
        <f t="shared" si="89"/>
        <v>#DIV/0!</v>
      </c>
      <c r="AU124" s="130" t="e">
        <f t="shared" si="89"/>
        <v>#DIV/0!</v>
      </c>
      <c r="AV124" s="130" t="e">
        <f t="shared" si="89"/>
        <v>#DIV/0!</v>
      </c>
      <c r="AW124" s="131" t="e">
        <f t="shared" si="89"/>
        <v>#DIV/0!</v>
      </c>
      <c r="AX124" s="131" t="e">
        <f t="shared" si="89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0">SUM(E116:E123)</f>
        <v>0</v>
      </c>
      <c r="F125" s="134">
        <f t="shared" si="90"/>
        <v>0</v>
      </c>
      <c r="G125" s="134">
        <f t="shared" si="90"/>
        <v>0</v>
      </c>
      <c r="H125" s="134">
        <f t="shared" si="90"/>
        <v>0</v>
      </c>
      <c r="I125" s="134">
        <f t="shared" si="90"/>
        <v>0</v>
      </c>
      <c r="J125" s="134">
        <f t="shared" si="90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1">SUM(S116:S123)</f>
        <v>0</v>
      </c>
      <c r="T125" s="134">
        <f t="shared" si="91"/>
        <v>0</v>
      </c>
      <c r="U125" s="134">
        <f t="shared" si="91"/>
        <v>0</v>
      </c>
      <c r="V125" s="134">
        <f t="shared" si="91"/>
        <v>0</v>
      </c>
      <c r="W125" s="134">
        <f t="shared" si="91"/>
        <v>0</v>
      </c>
      <c r="X125" s="134">
        <f t="shared" si="91"/>
        <v>0</v>
      </c>
      <c r="Y125" s="134">
        <f t="shared" si="91"/>
        <v>0</v>
      </c>
      <c r="Z125" s="134">
        <f t="shared" si="91"/>
        <v>0</v>
      </c>
      <c r="AA125" s="134">
        <f t="shared" si="91"/>
        <v>0</v>
      </c>
      <c r="AB125" s="134">
        <f t="shared" si="91"/>
        <v>0</v>
      </c>
      <c r="AC125" s="265">
        <f t="shared" si="91"/>
        <v>0</v>
      </c>
      <c r="AD125" s="135">
        <f t="shared" si="91"/>
        <v>0</v>
      </c>
      <c r="AE125" s="134">
        <f t="shared" si="91"/>
        <v>0</v>
      </c>
      <c r="AF125" s="239" t="e">
        <f t="shared" si="84"/>
        <v>#DIV/0!</v>
      </c>
      <c r="AG125" s="134">
        <f t="shared" ref="AG125:AO125" si="92">SUM(AG116:AG123)</f>
        <v>0</v>
      </c>
      <c r="AH125" s="134">
        <f t="shared" si="92"/>
        <v>0</v>
      </c>
      <c r="AI125" s="134">
        <f t="shared" si="92"/>
        <v>0</v>
      </c>
      <c r="AJ125" s="134">
        <f t="shared" si="92"/>
        <v>0</v>
      </c>
      <c r="AK125" s="134">
        <f t="shared" si="92"/>
        <v>0</v>
      </c>
      <c r="AL125" s="136">
        <f t="shared" si="92"/>
        <v>0</v>
      </c>
      <c r="AM125" s="134">
        <f t="shared" si="92"/>
        <v>0</v>
      </c>
      <c r="AN125" s="134">
        <f t="shared" si="92"/>
        <v>0</v>
      </c>
      <c r="AO125" s="134">
        <f t="shared" si="92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57256</v>
      </c>
      <c r="F126" s="431">
        <f>SUM(F3:F18)+F28+F45+F47+F48+F49+F50</f>
        <v>2090</v>
      </c>
      <c r="G126" s="431">
        <f t="shared" ref="G126:AO126" si="93">SUM(G3:G18)+G28+G45+G47+G48+G49+G50</f>
        <v>654</v>
      </c>
      <c r="H126" s="431">
        <f t="shared" si="93"/>
        <v>9655</v>
      </c>
      <c r="I126" s="431">
        <f t="shared" si="93"/>
        <v>13</v>
      </c>
      <c r="J126" s="431">
        <f t="shared" si="93"/>
        <v>44844</v>
      </c>
      <c r="K126" s="431"/>
      <c r="L126" s="431">
        <f t="shared" si="93"/>
        <v>7061718.4799999995</v>
      </c>
      <c r="M126" s="431">
        <f t="shared" si="93"/>
        <v>1918</v>
      </c>
      <c r="N126" s="431">
        <f t="shared" si="93"/>
        <v>3224</v>
      </c>
      <c r="O126" s="431"/>
      <c r="P126" s="431"/>
      <c r="Q126" s="483">
        <f t="shared" si="93"/>
        <v>460.57142857142856</v>
      </c>
      <c r="R126" s="483">
        <f t="shared" si="93"/>
        <v>264.42857142857139</v>
      </c>
      <c r="S126" s="431">
        <f t="shared" si="93"/>
        <v>1892</v>
      </c>
      <c r="T126" s="431">
        <f>SUM(T3:T18)+T28+T45+T47+T48+T49+T50</f>
        <v>-41</v>
      </c>
      <c r="U126" s="431">
        <f t="shared" si="93"/>
        <v>1851</v>
      </c>
      <c r="V126" s="431">
        <f t="shared" si="93"/>
        <v>1903067.2599999995</v>
      </c>
      <c r="W126" s="431">
        <f t="shared" si="93"/>
        <v>-40767.589999999997</v>
      </c>
      <c r="X126" s="431">
        <f t="shared" si="93"/>
        <v>1862299.6699999997</v>
      </c>
      <c r="Y126" s="431">
        <f t="shared" si="93"/>
        <v>2844861.52</v>
      </c>
      <c r="Z126" s="431">
        <f t="shared" si="93"/>
        <v>-60944.33</v>
      </c>
      <c r="AA126" s="431">
        <f t="shared" si="93"/>
        <v>2783917.19</v>
      </c>
      <c r="AB126" s="431">
        <f t="shared" si="93"/>
        <v>2896987.1099999994</v>
      </c>
      <c r="AC126" s="434">
        <f t="shared" si="93"/>
        <v>0.96964175899264216</v>
      </c>
      <c r="AD126" s="435">
        <f t="shared" si="93"/>
        <v>228955.77000000002</v>
      </c>
      <c r="AE126" s="431">
        <f t="shared" si="93"/>
        <v>1050005.7799999996</v>
      </c>
      <c r="AF126" s="434">
        <f t="shared" si="84"/>
        <v>0.37716846742844373</v>
      </c>
      <c r="AG126" s="431">
        <f t="shared" si="93"/>
        <v>234083.09000000011</v>
      </c>
      <c r="AH126" s="435">
        <f t="shared" si="93"/>
        <v>41816</v>
      </c>
      <c r="AI126" s="435">
        <f t="shared" si="93"/>
        <v>275395</v>
      </c>
      <c r="AJ126" s="435">
        <f t="shared" si="93"/>
        <v>0</v>
      </c>
      <c r="AK126" s="435">
        <f t="shared" si="93"/>
        <v>0</v>
      </c>
      <c r="AL126" s="435">
        <f t="shared" si="93"/>
        <v>9009.0465655626886</v>
      </c>
      <c r="AM126" s="431">
        <f t="shared" si="93"/>
        <v>2269</v>
      </c>
      <c r="AN126" s="435">
        <f t="shared" si="93"/>
        <v>106337.31115699999</v>
      </c>
      <c r="AO126" s="435">
        <f t="shared" si="93"/>
        <v>836046.19227743777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4">E106+E114+E125</f>
        <v>63973</v>
      </c>
      <c r="F127" s="267">
        <f>F106+F114+F125</f>
        <v>2241</v>
      </c>
      <c r="G127" s="267">
        <f t="shared" si="94"/>
        <v>718</v>
      </c>
      <c r="H127" s="267">
        <f t="shared" si="94"/>
        <v>11836</v>
      </c>
      <c r="I127" s="267">
        <f t="shared" si="94"/>
        <v>1461</v>
      </c>
      <c r="J127" s="267">
        <f t="shared" si="94"/>
        <v>47717</v>
      </c>
      <c r="K127" s="267">
        <f t="shared" si="94"/>
        <v>0</v>
      </c>
      <c r="L127" s="267">
        <f t="shared" si="94"/>
        <v>7932281.3100000033</v>
      </c>
      <c r="M127" s="267">
        <f t="shared" si="94"/>
        <v>0</v>
      </c>
      <c r="N127" s="267">
        <f t="shared" si="94"/>
        <v>3479</v>
      </c>
      <c r="O127" s="267">
        <f t="shared" si="94"/>
        <v>0</v>
      </c>
      <c r="P127" s="267">
        <f t="shared" si="94"/>
        <v>0</v>
      </c>
      <c r="Q127" s="215">
        <f t="shared" si="94"/>
        <v>497.00000000000006</v>
      </c>
      <c r="R127" s="267">
        <f t="shared" si="94"/>
        <v>275.00000000000006</v>
      </c>
      <c r="S127" s="267">
        <f t="shared" si="94"/>
        <v>1972</v>
      </c>
      <c r="T127" s="267">
        <f t="shared" si="94"/>
        <v>-47</v>
      </c>
      <c r="U127" s="267">
        <f t="shared" si="94"/>
        <v>1925</v>
      </c>
      <c r="V127" s="267">
        <f t="shared" si="94"/>
        <v>1966605.1999999995</v>
      </c>
      <c r="W127" s="267">
        <f t="shared" si="94"/>
        <v>-45569.59</v>
      </c>
      <c r="X127" s="267">
        <f t="shared" si="94"/>
        <v>1921035.6099999996</v>
      </c>
      <c r="Y127" s="267">
        <f t="shared" si="94"/>
        <v>2939167.3999999994</v>
      </c>
      <c r="Z127" s="267">
        <f t="shared" si="94"/>
        <v>-68089.33</v>
      </c>
      <c r="AA127" s="267">
        <f t="shared" si="94"/>
        <v>2871078.0699999994</v>
      </c>
      <c r="AB127" s="267">
        <f t="shared" si="94"/>
        <v>2987098.31</v>
      </c>
      <c r="AC127" s="267">
        <f t="shared" si="94"/>
        <v>0.99999999999999989</v>
      </c>
      <c r="AD127" s="267">
        <f t="shared" si="94"/>
        <v>238729.30999999994</v>
      </c>
      <c r="AE127" s="267">
        <f t="shared" si="94"/>
        <v>1082608.5099999991</v>
      </c>
      <c r="AF127" s="268">
        <f>AE127/AA127</f>
        <v>0.37707386689070399</v>
      </c>
      <c r="AG127" s="267">
        <f>AG106+AG114+AG125+AG126</f>
        <v>486774.91000000027</v>
      </c>
      <c r="AH127" s="267">
        <f>AH106+AH114+AH125</f>
        <v>43580</v>
      </c>
      <c r="AI127" s="267">
        <f>AI106+AI114+AI125</f>
        <v>287584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3110</v>
      </c>
      <c r="AN127" s="267">
        <f>AN106+AN114+AN125</f>
        <v>109691.13333099996</v>
      </c>
      <c r="AO127" s="267">
        <f>AO106+AO114+AO125</f>
        <v>842039.16666900052</v>
      </c>
      <c r="AP127" s="155"/>
      <c r="AQ127" s="155"/>
      <c r="AR127" s="155"/>
      <c r="AS127" s="155"/>
      <c r="AT127" s="155"/>
      <c r="AU127" s="155">
        <f>(AH127+AI127)/S127</f>
        <v>167.93306288032454</v>
      </c>
      <c r="AV127" s="155"/>
      <c r="AW127" s="155"/>
      <c r="AX127" s="155"/>
      <c r="AY127" s="157"/>
      <c r="AZ127" s="155">
        <f>AZ106+AZ125</f>
        <v>23435618.038513385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19"/>
      <c r="AK128" s="41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0" priority="15" operator="greaterThan">
      <formula>0.23</formula>
    </cfRule>
  </conditionalFormatting>
  <conditionalFormatting sqref="M124:O124 M107:M113 M3:M105">
    <cfRule type="cellIs" dxfId="99" priority="26" operator="greaterThan">
      <formula>120</formula>
    </cfRule>
  </conditionalFormatting>
  <conditionalFormatting sqref="AC128">
    <cfRule type="cellIs" dxfId="98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4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6:M123">
    <cfRule type="cellIs" dxfId="95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sheetPr codeName="Лист27"/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A125" sqref="A125:XFD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401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400"/>
      <c r="AL1" s="402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sheetPr codeName="Лист28"/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sheetPr codeName="Лист29"/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89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88"/>
      <c r="AL1" s="390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sheetPr codeName="Лист30"/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50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301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49"/>
      <c r="AL1" s="351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 t="shared" ref="AN3:AN34" si="6"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7">IF(U3=0,0,AA3/U3)</f>
        <v>1526.3095562130177</v>
      </c>
      <c r="AR3" s="98">
        <f t="shared" ref="AR3:AR19" si="8">K3</f>
        <v>142.97999999999999</v>
      </c>
      <c r="AS3" s="98">
        <f t="shared" ref="AS3:AS97" si="9">IF(U3=0,0,AE3/U3)</f>
        <v>572.3440384615385</v>
      </c>
      <c r="AT3" s="98">
        <f t="shared" ref="AT3:AT97" si="10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1">IF(AQ3=0,0,AV3/AQ3)</f>
        <v>0.32134121188499287</v>
      </c>
      <c r="AX3" s="234">
        <f t="shared" ref="AX3" si="12">IF(AR3=0,0,AV3/AR3)</f>
        <v>3.430313068297222</v>
      </c>
      <c r="AY3" s="99"/>
      <c r="AZ3" s="94">
        <f t="shared" ref="AZ3:AZ97" si="13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4">U4/N4</f>
        <v>0.58662405843414744</v>
      </c>
      <c r="R4" s="92">
        <f t="shared" ref="R4:R67" si="15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6">Y4+Z4</f>
        <v>3629220.5200000033</v>
      </c>
      <c r="AB4" s="92">
        <f t="shared" ref="AB4:AB67" si="17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 t="shared" si="6"/>
        <v>133734.65666738828</v>
      </c>
      <c r="AO4" s="95">
        <f>AA4-AD4-AE4-AG4-AH4-AI4-AK4-AL4-AN4-AM4</f>
        <v>1357078.7927572371</v>
      </c>
      <c r="AP4" s="96"/>
      <c r="AQ4" s="97">
        <f t="shared" si="7"/>
        <v>1412.1480622568106</v>
      </c>
      <c r="AR4" s="98">
        <f t="shared" si="8"/>
        <v>123.09</v>
      </c>
      <c r="AS4" s="98">
        <f t="shared" si="9"/>
        <v>531.48393385214081</v>
      </c>
      <c r="AT4" s="98">
        <f t="shared" si="10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3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4"/>
        <v>0.6484375</v>
      </c>
      <c r="R5" s="92">
        <f t="shared" si="15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6"/>
        <v>1024901.4799999999</v>
      </c>
      <c r="AB5" s="92">
        <f t="shared" si="17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 t="shared" si="6"/>
        <v>37136.548767691304</v>
      </c>
      <c r="AO5" s="95">
        <f t="shared" ref="AO5:AO68" si="19">AA5-AD5-AE5-AG5-AH5-AI5-AK5-AL5-AN5-AM5</f>
        <v>350301.1346967073</v>
      </c>
      <c r="AP5" s="96"/>
      <c r="AQ5" s="97">
        <f t="shared" si="7"/>
        <v>1372.0234002677375</v>
      </c>
      <c r="AR5" s="98">
        <f t="shared" si="8"/>
        <v>123.09</v>
      </c>
      <c r="AS5" s="98">
        <f t="shared" si="9"/>
        <v>517.40431057563546</v>
      </c>
      <c r="AT5" s="98">
        <f t="shared" si="10"/>
        <v>90.914353562005246</v>
      </c>
      <c r="AU5" s="98">
        <f t="shared" si="18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3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4"/>
        <v>0.58309455587392545</v>
      </c>
      <c r="R6" s="92">
        <f t="shared" si="15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6"/>
        <v>516778.18</v>
      </c>
      <c r="AB6" s="92">
        <f t="shared" si="17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 t="shared" si="6"/>
        <v>18678.358941149228</v>
      </c>
      <c r="AO6" s="95">
        <f t="shared" si="19"/>
        <v>161939.23687170411</v>
      </c>
      <c r="AP6" s="96"/>
      <c r="AQ6" s="97">
        <f t="shared" si="7"/>
        <v>1269.7252579852579</v>
      </c>
      <c r="AR6" s="98">
        <f t="shared" si="8"/>
        <v>123.09</v>
      </c>
      <c r="AS6" s="98">
        <f t="shared" si="9"/>
        <v>476.58557739557756</v>
      </c>
      <c r="AT6" s="98">
        <f t="shared" si="10"/>
        <v>113.9657279236276</v>
      </c>
      <c r="AU6" s="98">
        <f t="shared" si="18"/>
        <v>103.32219570405728</v>
      </c>
      <c r="AV6" s="98">
        <f t="array" ref="AV6">_xlfn.IFS(U6=0,AO6,U6&lt;0,AO6/-U6,U6&gt;0,AO6/U6)</f>
        <v>397.88510287887988</v>
      </c>
      <c r="AW6" s="234">
        <f t="shared" ref="AW6" si="22">IF(AQ6=0,0,AV6/AQ6)</f>
        <v>0.31336314716636082</v>
      </c>
      <c r="AX6" s="234">
        <f t="shared" ref="AX6" si="23">IF(AR6=0,0,AV6/AR6)</f>
        <v>3.2324730106335191</v>
      </c>
      <c r="AY6" s="99"/>
      <c r="AZ6" s="94">
        <f t="shared" si="13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4"/>
        <v>0.54854669140383427</v>
      </c>
      <c r="R7" s="92">
        <f t="shared" si="15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6"/>
        <v>1275695.8</v>
      </c>
      <c r="AB7" s="92">
        <f t="shared" si="17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 t="shared" si="6"/>
        <v>46046.524601011653</v>
      </c>
      <c r="AO7" s="95">
        <f t="shared" si="19"/>
        <v>397787.67118443077</v>
      </c>
      <c r="AP7" s="96"/>
      <c r="AQ7" s="97">
        <f t="shared" si="7"/>
        <v>1438.2139797068771</v>
      </c>
      <c r="AR7" s="98">
        <f t="shared" si="8"/>
        <v>117.24</v>
      </c>
      <c r="AS7" s="98">
        <f t="shared" si="9"/>
        <v>541.95128523111634</v>
      </c>
      <c r="AT7" s="98">
        <f t="shared" si="10"/>
        <v>112.32325966850816</v>
      </c>
      <c r="AU7" s="98">
        <f t="shared" si="18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3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4"/>
        <v>0.50598802395209586</v>
      </c>
      <c r="R8" s="92">
        <f t="shared" si="15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6"/>
        <v>246102.7</v>
      </c>
      <c r="AB8" s="92">
        <f t="shared" si="17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 t="shared" si="6"/>
        <v>8911.1875225005697</v>
      </c>
      <c r="AO8" s="95">
        <f t="shared" si="19"/>
        <v>64341.2703947349</v>
      </c>
      <c r="AP8" s="96"/>
      <c r="AQ8" s="97">
        <f t="shared" si="7"/>
        <v>1456.2289940828402</v>
      </c>
      <c r="AR8" s="98">
        <f t="shared" si="8"/>
        <v>169.89</v>
      </c>
      <c r="AS8" s="98">
        <f t="shared" si="9"/>
        <v>545.63828402366846</v>
      </c>
      <c r="AT8" s="98">
        <f t="shared" si="10"/>
        <v>138.89548571428568</v>
      </c>
      <c r="AU8" s="98">
        <f t="shared" si="18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3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4"/>
        <v>0.43901303538175046</v>
      </c>
      <c r="R9" s="92">
        <f t="shared" si="15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6"/>
        <v>1492575.0699999998</v>
      </c>
      <c r="AB9" s="92">
        <f t="shared" si="17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 t="shared" si="6"/>
        <v>54690.747025802637</v>
      </c>
      <c r="AO9" s="95">
        <f t="shared" si="19"/>
        <v>431383.39777029079</v>
      </c>
      <c r="AP9" s="96"/>
      <c r="AQ9" s="97">
        <f t="shared" si="7"/>
        <v>1582.7943478260868</v>
      </c>
      <c r="AR9" s="98">
        <f t="shared" si="8"/>
        <v>123.09</v>
      </c>
      <c r="AS9" s="98">
        <f t="shared" si="9"/>
        <v>595.72853658536508</v>
      </c>
      <c r="AT9" s="98">
        <f t="shared" si="10"/>
        <v>149.8858255451714</v>
      </c>
      <c r="AU9" s="98">
        <f t="shared" si="18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3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4"/>
        <v>0.55769230769230771</v>
      </c>
      <c r="R10" s="92">
        <f t="shared" si="15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6"/>
        <v>1036187.9799999995</v>
      </c>
      <c r="AB10" s="92">
        <f t="shared" si="17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 t="shared" si="6"/>
        <v>37487.039490723873</v>
      </c>
      <c r="AO10" s="95">
        <f t="shared" si="19"/>
        <v>276776.73615990614</v>
      </c>
      <c r="AP10" s="96"/>
      <c r="AQ10" s="97">
        <f t="shared" si="7"/>
        <v>1323.3562962962956</v>
      </c>
      <c r="AR10" s="98">
        <f t="shared" si="8"/>
        <v>123.09</v>
      </c>
      <c r="AS10" s="98">
        <f t="shared" si="9"/>
        <v>498.02422733077822</v>
      </c>
      <c r="AT10" s="98">
        <f t="shared" si="10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3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4"/>
        <v>0.59161490683229812</v>
      </c>
      <c r="R11" s="92">
        <f t="shared" si="15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6"/>
        <v>491575.83</v>
      </c>
      <c r="AB11" s="92">
        <f t="shared" si="17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 t="shared" si="6"/>
        <v>17698.395409931236</v>
      </c>
      <c r="AO11" s="95">
        <f t="shared" si="19"/>
        <v>145329.18111353053</v>
      </c>
      <c r="AP11" s="96"/>
      <c r="AQ11" s="97">
        <f t="shared" si="7"/>
        <v>1290.2252755905513</v>
      </c>
      <c r="AR11" s="98">
        <f t="shared" si="8"/>
        <v>123.09</v>
      </c>
      <c r="AS11" s="98">
        <f t="shared" si="9"/>
        <v>485.81866141732274</v>
      </c>
      <c r="AT11" s="98">
        <f t="shared" si="10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6">IF(AQ11=0,0,AV11/AQ11)</f>
        <v>0.29563939527606659</v>
      </c>
      <c r="AX11" s="234">
        <f t="shared" ref="AX11:AX28" si="27">IF(AR11=0,0,AV11/AR11)</f>
        <v>3.0988822832519856</v>
      </c>
      <c r="AY11" s="99"/>
      <c r="AZ11" s="94">
        <f t="shared" si="13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4"/>
        <v>0.53122171945701357</v>
      </c>
      <c r="R12" s="92">
        <f t="shared" si="15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6"/>
        <v>789688.92999999993</v>
      </c>
      <c r="AB12" s="92">
        <f t="shared" si="17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 t="shared" si="6"/>
        <v>28705.836469202924</v>
      </c>
      <c r="AO12" s="95">
        <f t="shared" si="19"/>
        <v>245091.87939251351</v>
      </c>
      <c r="AP12" s="96"/>
      <c r="AQ12" s="97">
        <f t="shared" si="7"/>
        <v>1345.2963032367973</v>
      </c>
      <c r="AR12" s="98">
        <f t="shared" si="8"/>
        <v>117.24</v>
      </c>
      <c r="AS12" s="98">
        <f t="shared" si="9"/>
        <v>505.41482112436137</v>
      </c>
      <c r="AT12" s="98">
        <f t="shared" si="10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417.53301429729731</v>
      </c>
      <c r="AW12" s="234">
        <f t="shared" si="26"/>
        <v>0.31036509450944633</v>
      </c>
      <c r="AX12" s="234">
        <f t="shared" si="27"/>
        <v>3.5613529025699191</v>
      </c>
      <c r="AY12" s="99"/>
      <c r="AZ12" s="94">
        <f t="shared" si="13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4"/>
        <v>0.48385416666666664</v>
      </c>
      <c r="R13" s="92">
        <f t="shared" si="15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6"/>
        <v>1502219.0999999996</v>
      </c>
      <c r="AB13" s="92">
        <f t="shared" si="17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 t="shared" si="6"/>
        <v>55709.337823936199</v>
      </c>
      <c r="AO13" s="95">
        <f t="shared" si="19"/>
        <v>418587.00884009624</v>
      </c>
      <c r="AP13" s="96"/>
      <c r="AQ13" s="97">
        <f t="shared" si="7"/>
        <v>1617.028094725511</v>
      </c>
      <c r="AR13" s="98">
        <f t="shared" si="8"/>
        <v>123.09</v>
      </c>
      <c r="AS13" s="98">
        <f t="shared" si="9"/>
        <v>609.79118406889097</v>
      </c>
      <c r="AT13" s="98">
        <f t="shared" si="10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450.57805041990986</v>
      </c>
      <c r="AW13" s="234">
        <f t="shared" si="26"/>
        <v>0.27864577733041496</v>
      </c>
      <c r="AX13" s="234">
        <f t="shared" si="27"/>
        <v>3.6605577254034434</v>
      </c>
      <c r="AY13" s="99"/>
      <c r="AZ13" s="94">
        <f t="shared" si="13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4"/>
        <v>0.58050847457627119</v>
      </c>
      <c r="R14" s="92">
        <f t="shared" si="15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6"/>
        <v>347997.97</v>
      </c>
      <c r="AB14" s="92">
        <f t="shared" si="17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 t="shared" si="6"/>
        <v>12567.917007170627</v>
      </c>
      <c r="AO14" s="95">
        <f t="shared" si="19"/>
        <v>112391.29140489899</v>
      </c>
      <c r="AP14" s="96"/>
      <c r="AQ14" s="97">
        <f t="shared" si="7"/>
        <v>1270.0655839416058</v>
      </c>
      <c r="AR14" s="98">
        <f t="shared" si="8"/>
        <v>123.09</v>
      </c>
      <c r="AS14" s="98">
        <f t="shared" si="9"/>
        <v>479.21970802919714</v>
      </c>
      <c r="AT14" s="98">
        <f t="shared" si="10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410.1871949083905</v>
      </c>
      <c r="AW14" s="234">
        <f t="shared" si="26"/>
        <v>0.32296536501318956</v>
      </c>
      <c r="AX14" s="234">
        <f t="shared" si="27"/>
        <v>3.3324168893361805</v>
      </c>
      <c r="AY14" s="99"/>
      <c r="AZ14" s="94">
        <f t="shared" si="13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4"/>
        <v>0.55223880597014929</v>
      </c>
      <c r="R15" s="92">
        <f t="shared" si="15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6"/>
        <v>284115.46999999997</v>
      </c>
      <c r="AB15" s="92">
        <f t="shared" si="17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 t="shared" si="6"/>
        <v>10264.228533745278</v>
      </c>
      <c r="AO15" s="95">
        <f t="shared" si="19"/>
        <v>98646.900240499759</v>
      </c>
      <c r="AP15" s="96"/>
      <c r="AQ15" s="97">
        <f t="shared" si="7"/>
        <v>1279.7994144144143</v>
      </c>
      <c r="AR15" s="98">
        <f t="shared" si="8"/>
        <v>123.09</v>
      </c>
      <c r="AS15" s="98">
        <f t="shared" si="9"/>
        <v>481.36972972972967</v>
      </c>
      <c r="AT15" s="98">
        <f t="shared" si="10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444.35540648873763</v>
      </c>
      <c r="AW15" s="234">
        <f t="shared" si="26"/>
        <v>0.34720707126753697</v>
      </c>
      <c r="AX15" s="234">
        <f t="shared" si="27"/>
        <v>3.6100041147837976</v>
      </c>
      <c r="AY15" s="99"/>
      <c r="AZ15" s="94">
        <f t="shared" si="13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4"/>
        <v>0.5949275362318841</v>
      </c>
      <c r="R16" s="92">
        <f t="shared" si="15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6"/>
        <v>1131397.6899999997</v>
      </c>
      <c r="AB16" s="92">
        <f t="shared" si="17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 t="shared" si="6"/>
        <v>41522.001297091992</v>
      </c>
      <c r="AO16" s="95">
        <f t="shared" si="19"/>
        <v>358795.48154443718</v>
      </c>
      <c r="AP16" s="96"/>
      <c r="AQ16" s="97">
        <f t="shared" si="7"/>
        <v>1378.0727040194881</v>
      </c>
      <c r="AR16" s="98">
        <f t="shared" si="8"/>
        <v>117.24</v>
      </c>
      <c r="AS16" s="98">
        <f t="shared" si="9"/>
        <v>518.34138855054721</v>
      </c>
      <c r="AT16" s="98">
        <f t="shared" si="10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437.02251101636682</v>
      </c>
      <c r="AW16" s="234">
        <f t="shared" si="26"/>
        <v>0.3171258742312239</v>
      </c>
      <c r="AX16" s="234">
        <f t="shared" si="27"/>
        <v>3.7275888008901981</v>
      </c>
      <c r="AY16" s="99"/>
      <c r="AZ16" s="94">
        <f t="shared" si="13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4"/>
        <v>0.4107142857142857</v>
      </c>
      <c r="R17" s="92">
        <f t="shared" si="15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6"/>
        <v>168723.44</v>
      </c>
      <c r="AB17" s="92">
        <f t="shared" si="17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 t="shared" si="6"/>
        <v>6148.4502403686611</v>
      </c>
      <c r="AO17" s="95">
        <f t="shared" si="19"/>
        <v>43957.110845066054</v>
      </c>
      <c r="AP17" s="96"/>
      <c r="AQ17" s="97">
        <f t="shared" si="7"/>
        <v>1467.160347826087</v>
      </c>
      <c r="AR17" s="98">
        <f t="shared" si="8"/>
        <v>123.09</v>
      </c>
      <c r="AS17" s="98">
        <f t="shared" si="9"/>
        <v>552.91513043478278</v>
      </c>
      <c r="AT17" s="98">
        <f t="shared" si="10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382.23574647883527</v>
      </c>
      <c r="AW17" s="234">
        <f t="shared" si="26"/>
        <v>0.26052758789807778</v>
      </c>
      <c r="AX17" s="234">
        <f t="shared" si="27"/>
        <v>3.1053354982438481</v>
      </c>
      <c r="AY17" s="99"/>
      <c r="AZ17" s="94">
        <f t="shared" si="13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4"/>
        <v>0.42772861356932151</v>
      </c>
      <c r="R18" s="92">
        <f t="shared" si="15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6"/>
        <v>445437.81000000006</v>
      </c>
      <c r="AB18" s="92">
        <f t="shared" si="17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 t="shared" si="6"/>
        <v>16543.637203061986</v>
      </c>
      <c r="AO18" s="95">
        <f t="shared" si="19"/>
        <v>113513.28687015163</v>
      </c>
      <c r="AP18" s="96"/>
      <c r="AQ18" s="97">
        <f t="shared" si="7"/>
        <v>1535.9924482758622</v>
      </c>
      <c r="AR18" s="98">
        <f t="shared" si="8"/>
        <v>123.09</v>
      </c>
      <c r="AS18" s="98">
        <f t="shared" si="9"/>
        <v>579.43086206896555</v>
      </c>
      <c r="AT18" s="98">
        <f t="shared" si="10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391.42512713845389</v>
      </c>
      <c r="AW18" s="234">
        <f t="shared" si="26"/>
        <v>0.25483532004198661</v>
      </c>
      <c r="AX18" s="234">
        <f t="shared" si="27"/>
        <v>3.1799912839260207</v>
      </c>
      <c r="AY18" s="99"/>
      <c r="AZ18" s="94">
        <f t="shared" si="13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5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6"/>
        <v>0</v>
      </c>
      <c r="AB19" s="92">
        <f t="shared" si="17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 t="shared" si="6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4"/>
        <v>0.33333333333333331</v>
      </c>
      <c r="R20" s="92">
        <f t="shared" si="15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6"/>
        <v>2794</v>
      </c>
      <c r="AB20" s="92">
        <f t="shared" si="17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 t="shared" si="6"/>
        <v>99.234609047746687</v>
      </c>
      <c r="AO20" s="95">
        <f t="shared" si="19"/>
        <v>-180.24091855909955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18"/>
        <v>716.5</v>
      </c>
      <c r="AV20" s="98">
        <f t="array" ref="AV20">_xlfn.IFS(U20=0,AO20,U20&lt;0,AO20/-U20,U20&gt;0,AO20/U20)</f>
        <v>-90.120459279549777</v>
      </c>
      <c r="AW20" s="234">
        <f t="shared" si="26"/>
        <v>-6.4509992326091462E-2</v>
      </c>
      <c r="AX20" s="234">
        <f t="shared" si="27"/>
        <v>-0.76868354895555935</v>
      </c>
      <c r="AY20" s="99"/>
      <c r="AZ20" s="94">
        <f t="shared" si="13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4"/>
        <v>0</v>
      </c>
      <c r="R21" s="92">
        <f t="shared" si="15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6"/>
        <v>0</v>
      </c>
      <c r="AB21" s="92">
        <f t="shared" si="17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 t="shared" si="6"/>
        <v>0</v>
      </c>
      <c r="AO21" s="95">
        <f t="shared" si="19"/>
        <v>-2040.6397321335146</v>
      </c>
      <c r="AP21" s="96"/>
      <c r="AQ21" s="97">
        <f t="shared" si="7"/>
        <v>0</v>
      </c>
      <c r="AR21" s="98">
        <f t="shared" ref="AR21:AR98" si="29">K21</f>
        <v>117.24</v>
      </c>
      <c r="AS21" s="98">
        <f t="shared" si="9"/>
        <v>0</v>
      </c>
      <c r="AT21" s="98">
        <f t="shared" si="10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4"/>
        <v>0.4</v>
      </c>
      <c r="R22" s="92">
        <f t="shared" si="15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6"/>
        <v>2235</v>
      </c>
      <c r="AB22" s="92">
        <f t="shared" si="17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 t="shared" si="6"/>
        <v>80.035112134121917</v>
      </c>
      <c r="AO22" s="95">
        <f t="shared" si="19"/>
        <v>-1169.4581496982107</v>
      </c>
      <c r="AP22" s="96"/>
      <c r="AQ22" s="97">
        <f t="shared" si="7"/>
        <v>1117.5</v>
      </c>
      <c r="AR22" s="98">
        <f t="shared" si="29"/>
        <v>117.24</v>
      </c>
      <c r="AS22" s="98">
        <f t="shared" si="9"/>
        <v>422.59999999999997</v>
      </c>
      <c r="AT22" s="98">
        <f t="shared" si="10"/>
        <v>99.935000000000002</v>
      </c>
      <c r="AU22" s="98">
        <f t="shared" si="18"/>
        <v>1000</v>
      </c>
      <c r="AV22" s="98">
        <f t="array" ref="AV22">_xlfn.IFS(U22=0,AO22,U22&lt;0,AO22/-U22,U22&gt;0,AO22/U22)</f>
        <v>-584.72907484910536</v>
      </c>
      <c r="AW22" s="234">
        <f t="shared" si="26"/>
        <v>-0.52324749427213002</v>
      </c>
      <c r="AX22" s="234">
        <f t="shared" si="27"/>
        <v>-4.9874537261097354</v>
      </c>
      <c r="AY22" s="99"/>
      <c r="AZ22" s="94">
        <f t="shared" si="13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5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6"/>
        <v>0</v>
      </c>
      <c r="AB23" s="92">
        <f t="shared" si="17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 t="shared" si="6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29"/>
        <v>117.24</v>
      </c>
      <c r="AS23" s="98">
        <f t="shared" si="9"/>
        <v>0</v>
      </c>
      <c r="AT23" s="98">
        <f t="shared" si="10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4"/>
        <v>1</v>
      </c>
      <c r="R24" s="92">
        <f t="shared" si="15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6"/>
        <v>890.46</v>
      </c>
      <c r="AB24" s="92">
        <f t="shared" si="17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 t="shared" si="6"/>
        <v>32.315432305199849</v>
      </c>
      <c r="AO24" s="95">
        <f t="shared" si="19"/>
        <v>346.75456769480007</v>
      </c>
      <c r="AP24" s="96"/>
      <c r="AQ24" s="97">
        <f t="shared" si="7"/>
        <v>890.46</v>
      </c>
      <c r="AR24" s="98">
        <f t="shared" si="29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18"/>
        <v>0</v>
      </c>
      <c r="AV24" s="98">
        <f t="array" ref="AV24">_xlfn.IFS(U24=0,AO24,U24&lt;0,AO24/-U24,U24&gt;0,AO24/U24)</f>
        <v>346.75456769480007</v>
      </c>
      <c r="AW24" s="234">
        <f t="shared" si="26"/>
        <v>0.38941060541158506</v>
      </c>
      <c r="AX24" s="234">
        <f t="shared" si="27"/>
        <v>2.9576472850119422</v>
      </c>
      <c r="AY24" s="99"/>
      <c r="AZ24" s="94">
        <f t="shared" si="13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5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6"/>
        <v>0</v>
      </c>
      <c r="AB25" s="92">
        <f t="shared" si="17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 t="shared" si="6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29"/>
        <v>117.24</v>
      </c>
      <c r="AS25" s="98">
        <f t="shared" si="9"/>
        <v>0</v>
      </c>
      <c r="AT25" s="98">
        <f t="shared" si="10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4"/>
        <v>0.32126696832579188</v>
      </c>
      <c r="R26" s="92">
        <f t="shared" si="15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6"/>
        <v>131472.53000000003</v>
      </c>
      <c r="AB26" s="92">
        <f t="shared" si="17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 t="shared" si="6"/>
        <v>4847.9014350606813</v>
      </c>
      <c r="AO26" s="95">
        <f t="shared" si="19"/>
        <v>-18294.29544726972</v>
      </c>
      <c r="AP26" s="96"/>
      <c r="AQ26" s="97">
        <f t="shared" si="7"/>
        <v>925.86288732394382</v>
      </c>
      <c r="AR26" s="98">
        <f t="shared" si="29"/>
        <v>123.09</v>
      </c>
      <c r="AS26" s="98">
        <f t="shared" si="9"/>
        <v>349.57760563380293</v>
      </c>
      <c r="AT26" s="98">
        <f t="shared" si="10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-128.83306653006846</v>
      </c>
      <c r="AW26" s="234">
        <f t="shared" si="26"/>
        <v>-0.13914918536419524</v>
      </c>
      <c r="AX26" s="234">
        <f t="shared" si="27"/>
        <v>-1.0466574582018724</v>
      </c>
      <c r="AY26" s="99"/>
      <c r="AZ26" s="94">
        <f t="shared" si="13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4"/>
        <v>0.62903225806451613</v>
      </c>
      <c r="R27" s="92">
        <f t="shared" si="15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6"/>
        <v>18644.18</v>
      </c>
      <c r="AB27" s="92">
        <f t="shared" si="17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 t="shared" si="6"/>
        <v>641.65165185262242</v>
      </c>
      <c r="AO27" s="95">
        <f t="shared" si="19"/>
        <v>-818.91176731667372</v>
      </c>
      <c r="AP27" s="96"/>
      <c r="AQ27" s="97">
        <f t="shared" si="7"/>
        <v>478.05589743589746</v>
      </c>
      <c r="AR27" s="98">
        <f t="shared" si="29"/>
        <v>181.59</v>
      </c>
      <c r="AS27" s="98">
        <f t="shared" si="9"/>
        <v>179.62</v>
      </c>
      <c r="AT27" s="98">
        <f t="shared" si="10"/>
        <v>120.87846153846155</v>
      </c>
      <c r="AU27" s="98">
        <f t="shared" si="18"/>
        <v>0</v>
      </c>
      <c r="AV27" s="98">
        <f t="array" ref="AV27">_xlfn.IFS(U27=0,AO27,U27&lt;0,AO27/-U27,U27&gt;0,AO27/U27)</f>
        <v>-20.997737623504456</v>
      </c>
      <c r="AW27" s="234">
        <f t="shared" si="26"/>
        <v>-4.3923185000180956E-2</v>
      </c>
      <c r="AX27" s="234">
        <f t="shared" si="27"/>
        <v>-0.11563267593757616</v>
      </c>
      <c r="AY27" s="99"/>
      <c r="AZ27" s="94">
        <f t="shared" si="13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4"/>
        <v>0.35792880258899679</v>
      </c>
      <c r="R28" s="92">
        <f t="shared" si="15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6"/>
        <v>813762.96999999986</v>
      </c>
      <c r="AB28" s="92">
        <f t="shared" si="17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 t="shared" si="6"/>
        <v>29992.858001060456</v>
      </c>
      <c r="AO28" s="95">
        <f t="shared" si="19"/>
        <v>189672.27815222015</v>
      </c>
      <c r="AP28" s="96"/>
      <c r="AQ28" s="97">
        <f t="shared" si="7"/>
        <v>1471.5424412296561</v>
      </c>
      <c r="AR28" s="98">
        <f t="shared" si="29"/>
        <v>133.62</v>
      </c>
      <c r="AS28" s="98">
        <f t="shared" si="9"/>
        <v>552.92779385171787</v>
      </c>
      <c r="AT28" s="98">
        <f t="shared" si="10"/>
        <v>237.5229381443302</v>
      </c>
      <c r="AU28" s="98">
        <f t="shared" si="18"/>
        <v>127.47079037800687</v>
      </c>
      <c r="AV28" s="98">
        <f>_xlfn.IFS(U28=0,AO28,U28&lt;0,AO28/-U28,U28&gt;0,AO28/U28)</f>
        <v>342.9878447598918</v>
      </c>
      <c r="AW28" s="234">
        <f t="shared" si="26"/>
        <v>0.2330804978164836</v>
      </c>
      <c r="AX28" s="234">
        <f t="shared" si="27"/>
        <v>2.5668900221515627</v>
      </c>
      <c r="AY28" s="99"/>
      <c r="AZ28" s="94">
        <f t="shared" si="13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5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6"/>
        <v>0</v>
      </c>
      <c r="AB29" s="92">
        <f t="shared" si="17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 t="shared" si="6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29"/>
        <v>111.39</v>
      </c>
      <c r="AS29" s="98">
        <f t="shared" si="9"/>
        <v>0</v>
      </c>
      <c r="AT29" s="98">
        <f t="shared" si="10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4"/>
        <v>1</v>
      </c>
      <c r="R30" s="92">
        <f t="shared" si="15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6"/>
        <v>558</v>
      </c>
      <c r="AB30" s="92">
        <f t="shared" si="17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 t="shared" si="6"/>
        <v>20.148309261100422</v>
      </c>
      <c r="AO30" s="95">
        <f t="shared" si="19"/>
        <v>53.878275665590849</v>
      </c>
      <c r="AP30" s="96"/>
      <c r="AQ30" s="97">
        <f t="shared" si="7"/>
        <v>558</v>
      </c>
      <c r="AR30" s="98">
        <f t="shared" si="29"/>
        <v>111.39</v>
      </c>
      <c r="AS30" s="98">
        <f t="shared" si="9"/>
        <v>211.14</v>
      </c>
      <c r="AT30" s="98">
        <f t="shared" si="10"/>
        <v>159.44</v>
      </c>
      <c r="AU30" s="98">
        <f t="shared" si="18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3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5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6"/>
        <v>499</v>
      </c>
      <c r="AB31" s="92">
        <f t="shared" si="17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 t="shared" si="6"/>
        <v>14.734497631386461</v>
      </c>
      <c r="AO31" s="95">
        <f t="shared" si="19"/>
        <v>164.9655023686135</v>
      </c>
      <c r="AP31" s="96"/>
      <c r="AQ31" s="97">
        <f t="shared" si="7"/>
        <v>499</v>
      </c>
      <c r="AR31" s="98">
        <f t="shared" si="29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18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5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6"/>
        <v>0</v>
      </c>
      <c r="AB32" s="92">
        <f t="shared" si="17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 t="shared" si="6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29"/>
        <v>140.63999999999999</v>
      </c>
      <c r="AS32" s="98">
        <f t="shared" si="9"/>
        <v>0</v>
      </c>
      <c r="AT32" s="98">
        <f t="shared" si="10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4"/>
        <v>0.16981132075471697</v>
      </c>
      <c r="R33" s="92">
        <f t="shared" si="15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6"/>
        <v>15216</v>
      </c>
      <c r="AB33" s="92">
        <f t="shared" si="17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 t="shared" si="6"/>
        <v>547.18566203830619</v>
      </c>
      <c r="AO33" s="95">
        <f t="shared" si="19"/>
        <v>-7977.2283206943621</v>
      </c>
      <c r="AP33" s="96"/>
      <c r="AQ33" s="97">
        <f t="shared" si="7"/>
        <v>1690.6666666666667</v>
      </c>
      <c r="AR33" s="98">
        <f t="shared" si="29"/>
        <v>123.09</v>
      </c>
      <c r="AS33" s="98">
        <f t="shared" si="9"/>
        <v>636.35111111111109</v>
      </c>
      <c r="AT33" s="98">
        <f t="shared" si="10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3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4"/>
        <v>0</v>
      </c>
      <c r="R34" s="92">
        <f t="shared" si="15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6"/>
        <v>-439</v>
      </c>
      <c r="AB34" s="92">
        <f t="shared" si="17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 t="shared" si="6"/>
        <v>-13.50662282877092</v>
      </c>
      <c r="AO34" s="95">
        <f t="shared" si="19"/>
        <v>4.3366228287709614</v>
      </c>
      <c r="AP34" s="96"/>
      <c r="AQ34" s="97">
        <f t="shared" si="7"/>
        <v>0</v>
      </c>
      <c r="AR34" s="98">
        <f t="shared" si="29"/>
        <v>117.24</v>
      </c>
      <c r="AS34" s="98">
        <f t="shared" si="9"/>
        <v>0</v>
      </c>
      <c r="AT34" s="98">
        <f t="shared" si="10"/>
        <v>169</v>
      </c>
      <c r="AU34" s="98">
        <f t="shared" si="18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3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5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6"/>
        <v>0</v>
      </c>
      <c r="AB35" s="92">
        <f t="shared" si="17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 t="shared" ref="AN35:AN66" si="37">666212.62*X35/$X$126</f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29"/>
        <v>128.94</v>
      </c>
      <c r="AS35" s="98">
        <f t="shared" si="9"/>
        <v>0</v>
      </c>
      <c r="AT35" s="98">
        <f t="shared" si="10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5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6"/>
        <v>0</v>
      </c>
      <c r="AB36" s="92">
        <f t="shared" si="17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 t="shared" si="37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29"/>
        <v>169.89</v>
      </c>
      <c r="AS36" s="98">
        <f t="shared" si="9"/>
        <v>0</v>
      </c>
      <c r="AT36" s="98">
        <f t="shared" si="10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4"/>
        <v>0.75</v>
      </c>
      <c r="R37" s="92">
        <f t="shared" si="15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6"/>
        <v>5988</v>
      </c>
      <c r="AB37" s="92">
        <f t="shared" si="17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 t="shared" si="37"/>
        <v>224.92433884275542</v>
      </c>
      <c r="AO37" s="95">
        <f t="shared" si="19"/>
        <v>1559.4488310106274</v>
      </c>
      <c r="AP37" s="96"/>
      <c r="AQ37" s="97">
        <f t="shared" si="7"/>
        <v>998</v>
      </c>
      <c r="AR37" s="98">
        <f t="shared" si="29"/>
        <v>169.89</v>
      </c>
      <c r="AS37" s="98">
        <f t="shared" si="9"/>
        <v>380.71333333333331</v>
      </c>
      <c r="AT37" s="98">
        <f t="shared" si="10"/>
        <v>149.66666666666666</v>
      </c>
      <c r="AU37" s="98">
        <f t="shared" si="18"/>
        <v>0</v>
      </c>
      <c r="AV37" s="98">
        <f t="array" ref="AV37">_xlfn.IFS(U37=0,AO37,U37&lt;0,AO37/-U37,U37&gt;0,AO37/U37)</f>
        <v>259.90813850177125</v>
      </c>
      <c r="AW37" s="234">
        <f t="shared" si="38"/>
        <v>0.26042899649476076</v>
      </c>
      <c r="AX37" s="234">
        <f t="shared" si="39"/>
        <v>1.5298613132130865</v>
      </c>
      <c r="AY37" s="99"/>
      <c r="AZ37" s="94">
        <f t="shared" si="13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4"/>
        <v>0.13043478260869565</v>
      </c>
      <c r="R38" s="92">
        <f t="shared" si="15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6"/>
        <v>3531.09</v>
      </c>
      <c r="AB38" s="92">
        <f t="shared" si="17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 t="shared" si="37"/>
        <v>122.06191787819012</v>
      </c>
      <c r="AO38" s="95">
        <f t="shared" si="19"/>
        <v>-630.7495493161714</v>
      </c>
      <c r="AP38" s="96"/>
      <c r="AQ38" s="97">
        <f t="shared" si="7"/>
        <v>1177.03</v>
      </c>
      <c r="AR38" s="98">
        <f t="shared" si="29"/>
        <v>105.54</v>
      </c>
      <c r="AS38" s="98">
        <f t="shared" si="9"/>
        <v>444.05999999999995</v>
      </c>
      <c r="AT38" s="98">
        <f t="shared" si="10"/>
        <v>745.25999999999988</v>
      </c>
      <c r="AU38" s="98">
        <f t="shared" si="18"/>
        <v>0</v>
      </c>
      <c r="AV38" s="98">
        <f t="array" ref="AV38">_xlfn.IFS(U38=0,AO38,U38&lt;0,AO38/-U38,U38&gt;0,AO38/U38)</f>
        <v>-210.24984977205713</v>
      </c>
      <c r="AW38" s="234">
        <f t="shared" si="38"/>
        <v>-0.17862743496092465</v>
      </c>
      <c r="AX38" s="234">
        <f t="shared" si="39"/>
        <v>-1.9921342597314489</v>
      </c>
      <c r="AY38" s="99"/>
      <c r="AZ38" s="94">
        <f t="shared" si="13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4"/>
        <v>0.352112676056338</v>
      </c>
      <c r="R39" s="92">
        <f t="shared" si="15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6"/>
        <v>26785.570000000003</v>
      </c>
      <c r="AB39" s="92">
        <f t="shared" si="17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 t="shared" si="37"/>
        <v>976.86705421576721</v>
      </c>
      <c r="AO39" s="95">
        <f t="shared" si="19"/>
        <v>3013.1005703687888</v>
      </c>
      <c r="AP39" s="96"/>
      <c r="AQ39" s="97">
        <f t="shared" si="7"/>
        <v>1071.4228000000001</v>
      </c>
      <c r="AR39" s="98">
        <f t="shared" si="29"/>
        <v>105.54</v>
      </c>
      <c r="AS39" s="98">
        <f t="shared" si="9"/>
        <v>403.49520000000012</v>
      </c>
      <c r="AT39" s="98">
        <f t="shared" si="10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120.52402281475155</v>
      </c>
      <c r="AW39" s="234">
        <f t="shared" si="38"/>
        <v>0.11248969390491927</v>
      </c>
      <c r="AX39" s="234">
        <f t="shared" si="39"/>
        <v>1.141974822955766</v>
      </c>
      <c r="AY39" s="99"/>
      <c r="AZ39" s="94">
        <f t="shared" si="13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4"/>
        <v>0.34210526315789475</v>
      </c>
      <c r="R40" s="92">
        <f t="shared" si="15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6"/>
        <v>15536</v>
      </c>
      <c r="AB40" s="92">
        <f t="shared" si="17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 t="shared" si="37"/>
        <v>549.58559915250942</v>
      </c>
      <c r="AO40" s="95">
        <f t="shared" si="19"/>
        <v>4493.4671284311016</v>
      </c>
      <c r="AP40" s="96"/>
      <c r="AQ40" s="97">
        <f t="shared" si="7"/>
        <v>1195.0769230769231</v>
      </c>
      <c r="AR40" s="98">
        <f t="shared" si="29"/>
        <v>105.54</v>
      </c>
      <c r="AS40" s="98">
        <f t="shared" si="9"/>
        <v>450.34769230769234</v>
      </c>
      <c r="AT40" s="98">
        <f t="shared" si="10"/>
        <v>224.30571428571426</v>
      </c>
      <c r="AU40" s="98">
        <f t="shared" si="18"/>
        <v>0</v>
      </c>
      <c r="AV40" s="98">
        <f t="array" ref="AV40">_xlfn.IFS(U40=0,AO40,U40&lt;0,AO40/-U40,U40&gt;0,AO40/U40)</f>
        <v>345.65131757162322</v>
      </c>
      <c r="AW40" s="234">
        <f t="shared" si="38"/>
        <v>0.28922934657769706</v>
      </c>
      <c r="AX40" s="234">
        <f t="shared" si="39"/>
        <v>3.2750740721207428</v>
      </c>
      <c r="AY40" s="99"/>
      <c r="AZ40" s="94">
        <f t="shared" si="13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4"/>
        <v>0.5</v>
      </c>
      <c r="R41" s="92">
        <f t="shared" si="15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6"/>
        <v>3629</v>
      </c>
      <c r="AB41" s="92">
        <f t="shared" si="17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 t="shared" si="37"/>
        <v>128.31291687332376</v>
      </c>
      <c r="AO41" s="95">
        <f t="shared" si="19"/>
        <v>1059.9055047521515</v>
      </c>
      <c r="AP41" s="96"/>
      <c r="AQ41" s="97">
        <f t="shared" si="7"/>
        <v>1209.6666666666667</v>
      </c>
      <c r="AR41" s="98">
        <f t="shared" si="29"/>
        <v>123.09</v>
      </c>
      <c r="AS41" s="98">
        <f t="shared" si="9"/>
        <v>457.06333333333333</v>
      </c>
      <c r="AT41" s="98">
        <f t="shared" si="10"/>
        <v>179.04666666666671</v>
      </c>
      <c r="AU41" s="98">
        <f t="shared" si="18"/>
        <v>0</v>
      </c>
      <c r="AV41" s="98">
        <f t="array" ref="AV41">_xlfn.IFS(U41=0,AO41,U41&lt;0,AO41/-U41,U41&gt;0,AO41/U41)</f>
        <v>353.30183491738381</v>
      </c>
      <c r="AW41" s="234">
        <f t="shared" si="38"/>
        <v>0.29206544633567139</v>
      </c>
      <c r="AX41" s="234">
        <f t="shared" si="39"/>
        <v>2.8702724422567538</v>
      </c>
      <c r="AY41" s="99"/>
      <c r="AZ41" s="94">
        <f t="shared" si="13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4"/>
        <v>0.34146341463414637</v>
      </c>
      <c r="R42" s="92">
        <f t="shared" si="15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6"/>
        <v>16392.910000000003</v>
      </c>
      <c r="AB42" s="92">
        <f t="shared" si="17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 t="shared" si="37"/>
        <v>597.40574146528172</v>
      </c>
      <c r="AO42" s="95">
        <f t="shared" si="19"/>
        <v>5019.8063696138934</v>
      </c>
      <c r="AP42" s="96"/>
      <c r="AQ42" s="97">
        <f t="shared" si="7"/>
        <v>1170.9221428571432</v>
      </c>
      <c r="AR42" s="98">
        <f t="shared" si="29"/>
        <v>123.09</v>
      </c>
      <c r="AS42" s="98">
        <f t="shared" si="9"/>
        <v>441.91785714285732</v>
      </c>
      <c r="AT42" s="98">
        <f t="shared" si="10"/>
        <v>196.65071428571426</v>
      </c>
      <c r="AU42" s="98">
        <f t="shared" si="18"/>
        <v>0</v>
      </c>
      <c r="AV42" s="98">
        <f t="array" ref="AV42">_xlfn.IFS(U42=0,AO42,U42&lt;0,AO42/-U42,U42&gt;0,AO42/U42)</f>
        <v>358.5575978295638</v>
      </c>
      <c r="AW42" s="234">
        <f t="shared" si="38"/>
        <v>0.30621813757373717</v>
      </c>
      <c r="AX42" s="234">
        <f t="shared" si="39"/>
        <v>2.9129709791986658</v>
      </c>
      <c r="AY42" s="99"/>
      <c r="AZ42" s="94">
        <f t="shared" si="13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4"/>
        <v>0.55737704918032782</v>
      </c>
      <c r="R43" s="92">
        <f t="shared" si="15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6"/>
        <v>37400.750000000007</v>
      </c>
      <c r="AB43" s="92">
        <f t="shared" si="17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 t="shared" si="37"/>
        <v>1374.7375590069212</v>
      </c>
      <c r="AO43" s="95">
        <f t="shared" si="19"/>
        <v>8993.3249530237135</v>
      </c>
      <c r="AP43" s="96"/>
      <c r="AQ43" s="97">
        <f t="shared" si="7"/>
        <v>1100.0220588235297</v>
      </c>
      <c r="AR43" s="98">
        <f t="shared" si="29"/>
        <v>123.09</v>
      </c>
      <c r="AS43" s="98">
        <f t="shared" si="9"/>
        <v>416.21470588235309</v>
      </c>
      <c r="AT43" s="98">
        <f t="shared" si="10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264.50955744187394</v>
      </c>
      <c r="AW43" s="234">
        <f t="shared" si="38"/>
        <v>0.24045841201108831</v>
      </c>
      <c r="AX43" s="234">
        <f t="shared" si="39"/>
        <v>2.1489118323330403</v>
      </c>
      <c r="AY43" s="99"/>
      <c r="AZ43" s="94">
        <f t="shared" si="13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4"/>
        <v>0.4353932584269663</v>
      </c>
      <c r="R44" s="92">
        <f t="shared" si="15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6"/>
        <v>176996.28999999998</v>
      </c>
      <c r="AB44" s="92">
        <f t="shared" si="17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 t="shared" si="37"/>
        <v>6582.1730150214589</v>
      </c>
      <c r="AO44" s="95">
        <f t="shared" si="19"/>
        <v>46000.878410937672</v>
      </c>
      <c r="AP44" s="96"/>
      <c r="AQ44" s="97">
        <f t="shared" si="7"/>
        <v>1141.9115483870967</v>
      </c>
      <c r="AR44" s="98">
        <f t="shared" si="29"/>
        <v>111.39</v>
      </c>
      <c r="AS44" s="98">
        <f t="shared" si="9"/>
        <v>431.35690322580649</v>
      </c>
      <c r="AT44" s="98">
        <f t="shared" si="10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296.7798607157269</v>
      </c>
      <c r="AW44" s="234">
        <f t="shared" si="38"/>
        <v>0.25989741599068361</v>
      </c>
      <c r="AX44" s="234">
        <f t="shared" si="39"/>
        <v>2.6643312749414392</v>
      </c>
      <c r="AY44" s="99"/>
      <c r="AZ44" s="94">
        <f t="shared" si="13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4"/>
        <v>0.38938053097345132</v>
      </c>
      <c r="R45" s="92">
        <f t="shared" si="15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6"/>
        <v>285837.20999999996</v>
      </c>
      <c r="AB45" s="92">
        <f t="shared" si="17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 t="shared" si="37"/>
        <v>10577.262935924082</v>
      </c>
      <c r="AO45" s="95">
        <f t="shared" si="19"/>
        <v>70020.12133312838</v>
      </c>
      <c r="AP45" s="96"/>
      <c r="AQ45" s="97">
        <f t="shared" si="7"/>
        <v>1624.0750568181816</v>
      </c>
      <c r="AR45" s="98">
        <f t="shared" si="29"/>
        <v>107.88</v>
      </c>
      <c r="AS45" s="98">
        <f t="shared" si="9"/>
        <v>612.12465909090895</v>
      </c>
      <c r="AT45" s="98">
        <f t="shared" si="10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397.84159848368398</v>
      </c>
      <c r="AW45" s="234">
        <f t="shared" si="38"/>
        <v>0.24496503213534862</v>
      </c>
      <c r="AX45" s="234">
        <f t="shared" si="39"/>
        <v>3.6878160778984426</v>
      </c>
      <c r="AY45" s="99"/>
      <c r="AZ45" s="94">
        <f t="shared" si="13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5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6"/>
        <v>0</v>
      </c>
      <c r="AB46" s="92">
        <f t="shared" si="17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 t="shared" si="37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29"/>
        <v>107.88</v>
      </c>
      <c r="AS46" s="98">
        <f t="shared" si="9"/>
        <v>0</v>
      </c>
      <c r="AT46" s="98">
        <f t="shared" si="10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4"/>
        <v>0.6166666666666667</v>
      </c>
      <c r="R47" s="92">
        <f t="shared" si="15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6"/>
        <v>90990.84</v>
      </c>
      <c r="AB47" s="92">
        <f t="shared" si="17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 t="shared" si="37"/>
        <v>3302.0338485634124</v>
      </c>
      <c r="AO47" s="95">
        <f t="shared" si="19"/>
        <v>24845.243331434667</v>
      </c>
      <c r="AP47" s="96"/>
      <c r="AQ47" s="97">
        <f t="shared" si="7"/>
        <v>1229.6059459459459</v>
      </c>
      <c r="AR47" s="98">
        <f t="shared" si="29"/>
        <v>123.09</v>
      </c>
      <c r="AS47" s="98">
        <f t="shared" si="9"/>
        <v>462.5877027027027</v>
      </c>
      <c r="AT47" s="98">
        <f t="shared" si="10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335.74653150587386</v>
      </c>
      <c r="AW47" s="234">
        <f t="shared" si="38"/>
        <v>0.27305213724188793</v>
      </c>
      <c r="AX47" s="234">
        <f t="shared" si="39"/>
        <v>2.7276507555924434</v>
      </c>
      <c r="AY47" s="99"/>
      <c r="AZ47" s="94">
        <f t="shared" si="13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4"/>
        <v>0.44279661016949151</v>
      </c>
      <c r="R48" s="92">
        <f t="shared" si="15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6"/>
        <v>278726.45000000007</v>
      </c>
      <c r="AB48" s="92">
        <f t="shared" si="17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 t="shared" si="37"/>
        <v>10051.939026621436</v>
      </c>
      <c r="AO48" s="95">
        <f t="shared" si="19"/>
        <v>73606.128767306189</v>
      </c>
      <c r="AP48" s="96"/>
      <c r="AQ48" s="97">
        <f t="shared" si="7"/>
        <v>1333.6193779904308</v>
      </c>
      <c r="AR48" s="98">
        <f t="shared" si="29"/>
        <v>107.88</v>
      </c>
      <c r="AS48" s="98">
        <f t="shared" si="9"/>
        <v>502.03803827751187</v>
      </c>
      <c r="AT48" s="98">
        <f t="shared" si="10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352.18243429333103</v>
      </c>
      <c r="AW48" s="234">
        <f t="shared" si="38"/>
        <v>0.26408017167838277</v>
      </c>
      <c r="AX48" s="234">
        <f t="shared" si="39"/>
        <v>3.2645757720924271</v>
      </c>
      <c r="AY48" s="99"/>
      <c r="AZ48" s="94">
        <f t="shared" si="13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4"/>
        <v>0.34628378378378377</v>
      </c>
      <c r="R49" s="92">
        <f t="shared" si="15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6"/>
        <v>340017.48000000004</v>
      </c>
      <c r="AB49" s="92">
        <f t="shared" si="17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 t="shared" si="37"/>
        <v>12915.953654972716</v>
      </c>
      <c r="AO49" s="95">
        <f t="shared" si="19"/>
        <v>69694.704497517989</v>
      </c>
      <c r="AP49" s="96"/>
      <c r="AQ49" s="97">
        <f t="shared" si="7"/>
        <v>1658.6218536585368</v>
      </c>
      <c r="AR49" s="98">
        <f t="shared" si="29"/>
        <v>123.09</v>
      </c>
      <c r="AS49" s="98">
        <f t="shared" si="9"/>
        <v>616.82268292682943</v>
      </c>
      <c r="AT49" s="98">
        <f t="shared" si="10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339.97416828057555</v>
      </c>
      <c r="AW49" s="234">
        <f t="shared" si="38"/>
        <v>0.20497388692345458</v>
      </c>
      <c r="AX49" s="234">
        <f t="shared" si="39"/>
        <v>2.7619966551350683</v>
      </c>
      <c r="AY49" s="99"/>
      <c r="AZ49" s="94">
        <f t="shared" si="13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4"/>
        <v>0.4838709677419355</v>
      </c>
      <c r="R50" s="92">
        <f t="shared" si="15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6"/>
        <v>195998.27000000002</v>
      </c>
      <c r="AB50" s="92">
        <f t="shared" si="17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 t="shared" si="37"/>
        <v>7338.7822127693198</v>
      </c>
      <c r="AO50" s="95">
        <f t="shared" si="19"/>
        <v>55895.966117222219</v>
      </c>
      <c r="AP50" s="96"/>
      <c r="AQ50" s="97">
        <f t="shared" si="7"/>
        <v>1306.6551333333334</v>
      </c>
      <c r="AR50" s="98">
        <f t="shared" si="29"/>
        <v>134.79</v>
      </c>
      <c r="AS50" s="98">
        <f t="shared" si="9"/>
        <v>493.51333333333315</v>
      </c>
      <c r="AT50" s="98">
        <f t="shared" si="10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372.63977411481477</v>
      </c>
      <c r="AW50" s="234">
        <f t="shared" si="38"/>
        <v>0.2851860178011888</v>
      </c>
      <c r="AX50" s="234">
        <f t="shared" si="39"/>
        <v>2.7645951043461294</v>
      </c>
      <c r="AY50" s="99"/>
      <c r="AZ50" s="94">
        <f t="shared" si="13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4"/>
        <v>0.42857142857142855</v>
      </c>
      <c r="R51" s="92">
        <f t="shared" si="15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6"/>
        <v>3357</v>
      </c>
      <c r="AB51" s="92">
        <f t="shared" si="17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 t="shared" si="37"/>
        <v>115.81091888305646</v>
      </c>
      <c r="AO51" s="95">
        <f t="shared" si="19"/>
        <v>845.60225097032628</v>
      </c>
      <c r="AP51" s="96"/>
      <c r="AQ51" s="97">
        <f t="shared" si="7"/>
        <v>1119</v>
      </c>
      <c r="AR51" s="98">
        <f t="shared" si="29"/>
        <v>144.15</v>
      </c>
      <c r="AS51" s="98">
        <f t="shared" si="9"/>
        <v>422.10666666666663</v>
      </c>
      <c r="AT51" s="98">
        <f t="shared" si="10"/>
        <v>173.70249999999999</v>
      </c>
      <c r="AU51" s="98">
        <f t="shared" si="18"/>
        <v>0</v>
      </c>
      <c r="AV51" s="98">
        <f t="array" ref="AV51">_xlfn.IFS(U51=0,AO51,U51&lt;0,AO51/-U51,U51&gt;0,AO51/U51)</f>
        <v>281.86741699010878</v>
      </c>
      <c r="AW51" s="234">
        <f t="shared" si="38"/>
        <v>0.25189224038436886</v>
      </c>
      <c r="AX51" s="234">
        <f t="shared" si="39"/>
        <v>1.9553757682282953</v>
      </c>
      <c r="AY51" s="99"/>
      <c r="AZ51" s="94">
        <f t="shared" si="13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4"/>
        <v>0.2073170731707317</v>
      </c>
      <c r="R52" s="92">
        <f t="shared" si="15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6"/>
        <v>19955.8</v>
      </c>
      <c r="AB52" s="92">
        <f t="shared" si="17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 t="shared" si="37"/>
        <v>745.2960058164897</v>
      </c>
      <c r="AO52" s="95">
        <f t="shared" si="19"/>
        <v>-182.68802607544706</v>
      </c>
      <c r="AP52" s="96"/>
      <c r="AQ52" s="97">
        <f t="shared" si="7"/>
        <v>1173.870588235294</v>
      </c>
      <c r="AR52" s="98">
        <f t="shared" si="29"/>
        <v>96.18</v>
      </c>
      <c r="AS52" s="98">
        <f t="shared" si="9"/>
        <v>444.41705882352943</v>
      </c>
      <c r="AT52" s="98">
        <f t="shared" si="10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-10.746354475026298</v>
      </c>
      <c r="AW52" s="234">
        <f t="shared" si="38"/>
        <v>-9.154633042796935E-3</v>
      </c>
      <c r="AX52" s="234">
        <f t="shared" si="39"/>
        <v>-0.11173169551909229</v>
      </c>
      <c r="AY52" s="99"/>
      <c r="AZ52" s="94">
        <f t="shared" si="13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4"/>
        <v>0.16666666666666666</v>
      </c>
      <c r="R53" s="92">
        <f t="shared" si="15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6"/>
        <v>7642.5199999999986</v>
      </c>
      <c r="AB53" s="92">
        <f t="shared" si="17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 t="shared" si="37"/>
        <v>279.75955315283454</v>
      </c>
      <c r="AO53" s="95">
        <f t="shared" si="19"/>
        <v>-2111.329031416105</v>
      </c>
      <c r="AP53" s="96"/>
      <c r="AQ53" s="97">
        <f t="shared" si="7"/>
        <v>1091.7885714285712</v>
      </c>
      <c r="AR53" s="98">
        <f t="shared" si="29"/>
        <v>96.18</v>
      </c>
      <c r="AS53" s="98">
        <f t="shared" si="9"/>
        <v>410.9371428571427</v>
      </c>
      <c r="AT53" s="98">
        <f t="shared" si="10"/>
        <v>291.39</v>
      </c>
      <c r="AU53" s="98">
        <f t="shared" si="18"/>
        <v>431</v>
      </c>
      <c r="AV53" s="98">
        <f t="array" ref="AV53">_xlfn.IFS(U53=0,AO53,U53&lt;0,AO53/-U53,U53&gt;0,AO53/U53)</f>
        <v>-301.61843305944359</v>
      </c>
      <c r="AW53" s="234">
        <f t="shared" si="38"/>
        <v>-0.27626084477582075</v>
      </c>
      <c r="AX53" s="234">
        <f t="shared" si="39"/>
        <v>-3.1359787176070242</v>
      </c>
      <c r="AY53" s="99"/>
      <c r="AZ53" s="94">
        <f t="shared" si="13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4"/>
        <v>0.30769230769230771</v>
      </c>
      <c r="R54" s="92">
        <f t="shared" si="15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6"/>
        <v>15836.489999999998</v>
      </c>
      <c r="AB54" s="92">
        <f t="shared" si="17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 t="shared" si="37"/>
        <v>591.559383030101</v>
      </c>
      <c r="AO54" s="95">
        <f t="shared" si="19"/>
        <v>4222.4288283296646</v>
      </c>
      <c r="AP54" s="96"/>
      <c r="AQ54" s="97">
        <f t="shared" si="7"/>
        <v>989.78062499999987</v>
      </c>
      <c r="AR54" s="98">
        <f t="shared" si="29"/>
        <v>123.09</v>
      </c>
      <c r="AS54" s="98">
        <f t="shared" si="9"/>
        <v>375.5581249999999</v>
      </c>
      <c r="AT54" s="98">
        <f t="shared" si="10"/>
        <v>162.94722222222222</v>
      </c>
      <c r="AU54" s="98">
        <f t="shared" si="18"/>
        <v>0</v>
      </c>
      <c r="AV54" s="98">
        <f t="array" ref="AV54">_xlfn.IFS(U54=0,AO54,U54&lt;0,AO54/-U54,U54&gt;0,AO54/U54)</f>
        <v>263.90180177060404</v>
      </c>
      <c r="AW54" s="234">
        <f t="shared" si="38"/>
        <v>0.26662655855746226</v>
      </c>
      <c r="AX54" s="234">
        <f t="shared" si="39"/>
        <v>2.1439743421123083</v>
      </c>
      <c r="AY54" s="99"/>
      <c r="AZ54" s="94">
        <f t="shared" si="13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4"/>
        <v>0</v>
      </c>
      <c r="R55" s="92">
        <f t="shared" si="15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6"/>
        <v>0</v>
      </c>
      <c r="AB55" s="92">
        <f t="shared" si="17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 t="shared" si="37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29"/>
        <v>158.19</v>
      </c>
      <c r="AS55" s="98">
        <f t="shared" si="9"/>
        <v>0</v>
      </c>
      <c r="AT55" s="98">
        <f t="shared" si="10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5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6"/>
        <v>0</v>
      </c>
      <c r="AB56" s="92">
        <f t="shared" si="17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 t="shared" si="37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29"/>
        <v>152.34</v>
      </c>
      <c r="AS56" s="98">
        <f t="shared" si="9"/>
        <v>0</v>
      </c>
      <c r="AT56" s="98">
        <f t="shared" si="10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5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6"/>
        <v>0</v>
      </c>
      <c r="AB57" s="92">
        <f t="shared" si="17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 t="shared" si="37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29"/>
        <v>93.84</v>
      </c>
      <c r="AS57" s="98">
        <f t="shared" si="9"/>
        <v>0</v>
      </c>
      <c r="AT57" s="98">
        <f t="shared" si="10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4"/>
        <v>0.3125</v>
      </c>
      <c r="R58" s="92">
        <f t="shared" si="15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6"/>
        <v>15500.369999999999</v>
      </c>
      <c r="AB58" s="92">
        <f t="shared" si="17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 t="shared" si="37"/>
        <v>551.93530502478734</v>
      </c>
      <c r="AO58" s="95">
        <f t="shared" si="19"/>
        <v>-2655.2179110913066</v>
      </c>
      <c r="AP58" s="96"/>
      <c r="AQ58" s="97">
        <f t="shared" si="7"/>
        <v>1033.3579999999999</v>
      </c>
      <c r="AR58" s="98">
        <f t="shared" si="29"/>
        <v>169.89</v>
      </c>
      <c r="AS58" s="98">
        <f t="shared" si="9"/>
        <v>389.11200000000002</v>
      </c>
      <c r="AT58" s="98">
        <f t="shared" si="10"/>
        <v>290.27812499999999</v>
      </c>
      <c r="AU58" s="98">
        <f t="shared" si="18"/>
        <v>281.8125</v>
      </c>
      <c r="AV58" s="98">
        <f t="array" ref="AV58">_xlfn.IFS(U58=0,AO58,U58&lt;0,AO58/-U58,U58&gt;0,AO58/U58)</f>
        <v>-177.0145274060871</v>
      </c>
      <c r="AW58" s="234">
        <f t="shared" si="38"/>
        <v>-0.17130029225697882</v>
      </c>
      <c r="AX58" s="234">
        <f t="shared" si="39"/>
        <v>-1.0419361198780805</v>
      </c>
      <c r="AY58" s="99"/>
      <c r="AZ58" s="94">
        <f t="shared" si="13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5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6"/>
        <v>0</v>
      </c>
      <c r="AB59" s="92">
        <f t="shared" si="17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 t="shared" si="37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29"/>
        <v>158.19</v>
      </c>
      <c r="AS59" s="98">
        <f t="shared" si="9"/>
        <v>0</v>
      </c>
      <c r="AT59" s="98">
        <f t="shared" si="10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4"/>
        <v>0.26315789473684209</v>
      </c>
      <c r="R60" s="92">
        <f t="shared" si="15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6"/>
        <v>5213.53</v>
      </c>
      <c r="AB60" s="92">
        <f t="shared" si="17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 t="shared" si="37"/>
        <v>188.92528212970896</v>
      </c>
      <c r="AO60" s="95">
        <f t="shared" si="19"/>
        <v>518.83640491823451</v>
      </c>
      <c r="AP60" s="96"/>
      <c r="AQ60" s="97">
        <f t="shared" si="7"/>
        <v>1042.7059999999999</v>
      </c>
      <c r="AR60" s="98">
        <f t="shared" si="29"/>
        <v>158.19</v>
      </c>
      <c r="AS60" s="98">
        <f t="shared" si="9"/>
        <v>397.09199999999998</v>
      </c>
      <c r="AT60" s="98">
        <f t="shared" si="10"/>
        <v>330.42600000000004</v>
      </c>
      <c r="AU60" s="98">
        <f t="shared" si="18"/>
        <v>0</v>
      </c>
      <c r="AV60" s="98">
        <f t="array" ref="AV60">_xlfn.IFS(U60=0,AO60,U60&lt;0,AO60/-U60,U60&gt;0,AO60/U60)</f>
        <v>103.7672809836469</v>
      </c>
      <c r="AW60" s="234">
        <f t="shared" si="38"/>
        <v>9.9517295367674979E-2</v>
      </c>
      <c r="AX60" s="234">
        <f t="shared" si="39"/>
        <v>0.65596612291324929</v>
      </c>
      <c r="AY60" s="99"/>
      <c r="AZ60" s="94">
        <f t="shared" si="13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4"/>
        <v>0.125</v>
      </c>
      <c r="R61" s="92">
        <f t="shared" si="15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6"/>
        <v>1896</v>
      </c>
      <c r="AB61" s="92">
        <f t="shared" si="17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 t="shared" si="37"/>
        <v>73.784113138988261</v>
      </c>
      <c r="AO61" s="95">
        <f t="shared" si="19"/>
        <v>-531.51114382248875</v>
      </c>
      <c r="AP61" s="96"/>
      <c r="AQ61" s="97">
        <f t="shared" si="7"/>
        <v>948</v>
      </c>
      <c r="AR61" s="98">
        <f t="shared" si="29"/>
        <v>128.94</v>
      </c>
      <c r="AS61" s="98">
        <f t="shared" si="9"/>
        <v>360.61</v>
      </c>
      <c r="AT61" s="98">
        <f t="shared" si="10"/>
        <v>372.89</v>
      </c>
      <c r="AU61" s="98">
        <f t="shared" si="18"/>
        <v>0</v>
      </c>
      <c r="AV61" s="98">
        <f t="array" ref="AV61">_xlfn.IFS(U61=0,AO61,U61&lt;0,AO61/-U61,U61&gt;0,AO61/U61)</f>
        <v>-265.75557191124437</v>
      </c>
      <c r="AW61" s="234">
        <f t="shared" si="38"/>
        <v>-0.28033288176291599</v>
      </c>
      <c r="AX61" s="234">
        <f t="shared" si="39"/>
        <v>-2.0610793540502899</v>
      </c>
      <c r="AY61" s="99"/>
      <c r="AZ61" s="94">
        <f t="shared" si="13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5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6"/>
        <v>0</v>
      </c>
      <c r="AB62" s="92">
        <f t="shared" si="17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 t="shared" si="37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29"/>
        <v>175.74</v>
      </c>
      <c r="AS62" s="98">
        <f t="shared" si="9"/>
        <v>0</v>
      </c>
      <c r="AT62" s="98">
        <f t="shared" si="10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5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6"/>
        <v>0</v>
      </c>
      <c r="AB63" s="92">
        <f t="shared" si="17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 t="shared" si="37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29"/>
        <v>140.63999999999999</v>
      </c>
      <c r="AS63" s="98">
        <f t="shared" si="9"/>
        <v>0</v>
      </c>
      <c r="AT63" s="98">
        <f t="shared" si="10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5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6"/>
        <v>0</v>
      </c>
      <c r="AB64" s="92">
        <f t="shared" si="17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 t="shared" si="37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29"/>
        <v>99.69</v>
      </c>
      <c r="AS64" s="98">
        <f t="shared" si="9"/>
        <v>0</v>
      </c>
      <c r="AT64" s="98">
        <f t="shared" si="10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4"/>
        <v>0</v>
      </c>
      <c r="R65" s="92">
        <f t="shared" si="15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6"/>
        <v>0</v>
      </c>
      <c r="AB65" s="92">
        <f t="shared" si="17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 t="shared" si="37"/>
        <v>0</v>
      </c>
      <c r="AO65" s="95">
        <f t="shared" si="19"/>
        <v>-177.25716111607446</v>
      </c>
      <c r="AP65" s="96"/>
      <c r="AQ65" s="97">
        <f t="shared" si="7"/>
        <v>0</v>
      </c>
      <c r="AR65" s="98">
        <f t="shared" si="29"/>
        <v>99.69</v>
      </c>
      <c r="AS65" s="98">
        <f t="shared" si="9"/>
        <v>0</v>
      </c>
      <c r="AT65" s="98">
        <f t="shared" si="10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8"/>
        <v>0</v>
      </c>
      <c r="AX65" s="234">
        <f t="shared" si="39"/>
        <v>-1.7780836705394167</v>
      </c>
      <c r="AY65" s="99"/>
      <c r="AZ65" s="94">
        <f t="shared" si="13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5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6"/>
        <v>0</v>
      </c>
      <c r="AB66" s="92">
        <f t="shared" si="17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 t="shared" si="37"/>
        <v>0</v>
      </c>
      <c r="AO66" s="95">
        <f t="shared" si="19"/>
        <v>-6.9109071588401365</v>
      </c>
      <c r="AP66" s="96"/>
      <c r="AQ66" s="97">
        <f t="shared" si="7"/>
        <v>0</v>
      </c>
      <c r="AR66" s="98">
        <f t="shared" si="29"/>
        <v>97.35</v>
      </c>
      <c r="AS66" s="98">
        <f t="shared" si="9"/>
        <v>0</v>
      </c>
      <c r="AT66" s="98">
        <f t="shared" si="10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8"/>
        <v>0</v>
      </c>
      <c r="AX66" s="234">
        <f t="shared" si="39"/>
        <v>-7.0990314934156515E-2</v>
      </c>
      <c r="AY66" s="99"/>
      <c r="AZ66" s="94">
        <f t="shared" si="13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4"/>
        <v>1</v>
      </c>
      <c r="R67" s="92">
        <f t="shared" si="15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1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2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6"/>
        <v>2066.5299999999997</v>
      </c>
      <c r="AB67" s="92">
        <f t="shared" si="17"/>
        <v>10.49</v>
      </c>
      <c r="AC67" s="234">
        <f t="shared" ref="AC67:AC103" si="43">AA67/$AA$126</f>
        <v>1.1350527210576208E-4</v>
      </c>
      <c r="AD67" s="92">
        <f t="shared" ref="AD67:AD103" si="44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5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 t="shared" ref="AN67:AN103" si="46">666212.62*X67/$X$126</f>
        <v>68.091239054134391</v>
      </c>
      <c r="AO67" s="95">
        <f t="shared" si="19"/>
        <v>691.0487609458653</v>
      </c>
      <c r="AP67" s="96"/>
      <c r="AQ67" s="97">
        <f t="shared" si="7"/>
        <v>1033.2649999999999</v>
      </c>
      <c r="AR67" s="98">
        <f t="shared" si="29"/>
        <v>161.69999999999999</v>
      </c>
      <c r="AS67" s="98">
        <f t="shared" si="9"/>
        <v>388.62</v>
      </c>
      <c r="AT67" s="98">
        <f t="shared" si="10"/>
        <v>103.375</v>
      </c>
      <c r="AU67" s="98">
        <f t="shared" si="18"/>
        <v>0</v>
      </c>
      <c r="AV67" s="98">
        <f t="array" ref="AV67">_xlfn.IFS(U67=0,AO67,U67&lt;0,AO67/-U67,U67&gt;0,AO67/U67)</f>
        <v>345.52438047293265</v>
      </c>
      <c r="AW67" s="234">
        <f t="shared" si="38"/>
        <v>0.33440054630025473</v>
      </c>
      <c r="AX67" s="234">
        <f t="shared" si="39"/>
        <v>2.1368236269198064</v>
      </c>
      <c r="AY67" s="99"/>
      <c r="AZ67" s="94">
        <f t="shared" si="13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7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1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2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8">Y68+Z68</f>
        <v>0</v>
      </c>
      <c r="AB68" s="92">
        <f t="shared" ref="AB68:AB103" si="49">N68*O68*P68/100</f>
        <v>0</v>
      </c>
      <c r="AC68" s="234">
        <f t="shared" si="43"/>
        <v>0</v>
      </c>
      <c r="AD68" s="92">
        <f t="shared" si="44"/>
        <v>0</v>
      </c>
      <c r="AE68" s="89">
        <f>'Юнит 10'!AE68+'Юнит 11'!AE68+'Юнит 12'!AE68+'Юнит 13'!AE68</f>
        <v>0</v>
      </c>
      <c r="AF68" s="234">
        <f t="shared" si="45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 t="shared" si="46"/>
        <v>0</v>
      </c>
      <c r="AO68" s="95">
        <f t="shared" si="19"/>
        <v>0</v>
      </c>
      <c r="AP68" s="96"/>
      <c r="AQ68" s="97">
        <f t="shared" si="7"/>
        <v>0</v>
      </c>
      <c r="AR68" s="98">
        <f t="shared" si="29"/>
        <v>161.69999999999999</v>
      </c>
      <c r="AS68" s="98">
        <f t="shared" si="9"/>
        <v>0</v>
      </c>
      <c r="AT68" s="98">
        <f t="shared" si="10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50">U69/N69</f>
        <v>0.33333333333333331</v>
      </c>
      <c r="R69" s="92">
        <f t="shared" si="47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1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2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8"/>
        <v>2993.88</v>
      </c>
      <c r="AB69" s="92">
        <f t="shared" si="49"/>
        <v>50.299199999999999</v>
      </c>
      <c r="AC69" s="234">
        <f t="shared" si="43"/>
        <v>1.6444046979816361E-4</v>
      </c>
      <c r="AD69" s="92">
        <f t="shared" si="44"/>
        <v>421.91999999999996</v>
      </c>
      <c r="AE69" s="89">
        <f>'Юнит 10'!AE69+'Юнит 11'!AE69+'Юнит 12'!AE69+'Юнит 13'!AE69</f>
        <v>1124.67</v>
      </c>
      <c r="AF69" s="234">
        <f t="shared" si="45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 t="shared" si="46"/>
        <v>114.80852654419395</v>
      </c>
      <c r="AO69" s="95">
        <f t="shared" ref="AO69:AO103" si="51">AA69-AD69-AE69-AG69-AH69-AI69-AK69-AL69-AN69-AM69</f>
        <v>769.34993709669175</v>
      </c>
      <c r="AP69" s="96"/>
      <c r="AQ69" s="97">
        <f t="shared" si="7"/>
        <v>997.96</v>
      </c>
      <c r="AR69" s="98">
        <f t="shared" si="29"/>
        <v>140.63999999999999</v>
      </c>
      <c r="AS69" s="98">
        <f t="shared" si="9"/>
        <v>374.89000000000004</v>
      </c>
      <c r="AT69" s="98">
        <f t="shared" si="10"/>
        <v>177.82000000000002</v>
      </c>
      <c r="AU69" s="98">
        <f t="shared" si="18"/>
        <v>0</v>
      </c>
      <c r="AV69" s="98">
        <f t="array" ref="AV69">_xlfn.IFS(U69=0,AO69,U69&lt;0,AO69/-U69,U69&gt;0,AO69/U69)</f>
        <v>256.4499790322306</v>
      </c>
      <c r="AW69" s="234">
        <f t="shared" si="38"/>
        <v>0.25697420641331375</v>
      </c>
      <c r="AX69" s="234">
        <f t="shared" si="39"/>
        <v>1.8234497940289436</v>
      </c>
      <c r="AY69" s="99"/>
      <c r="AZ69" s="94">
        <f t="shared" si="13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50"/>
        <v>0.36363636363636365</v>
      </c>
      <c r="R70" s="92">
        <f t="shared" si="47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1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2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8"/>
        <v>4192</v>
      </c>
      <c r="AB70" s="92">
        <f t="shared" si="49"/>
        <v>41.500799999999998</v>
      </c>
      <c r="AC70" s="234">
        <f t="shared" si="43"/>
        <v>2.3024785542303023E-4</v>
      </c>
      <c r="AD70" s="92">
        <f t="shared" si="44"/>
        <v>468.96</v>
      </c>
      <c r="AE70" s="89">
        <f>'Юнит 10'!AE70+'Юнит 11'!AE70+'Юнит 12'!AE70+'Юнит 13'!AE70</f>
        <v>1582.96</v>
      </c>
      <c r="AF70" s="234">
        <f t="shared" si="45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 t="shared" si="46"/>
        <v>146.89847638564078</v>
      </c>
      <c r="AO70" s="95">
        <f t="shared" si="51"/>
        <v>1012.7371084811311</v>
      </c>
      <c r="AP70" s="96"/>
      <c r="AQ70" s="97">
        <f t="shared" si="7"/>
        <v>1048</v>
      </c>
      <c r="AR70" s="98">
        <f t="shared" si="29"/>
        <v>117.24</v>
      </c>
      <c r="AS70" s="98">
        <f t="shared" si="9"/>
        <v>395.74</v>
      </c>
      <c r="AT70" s="98">
        <f t="shared" si="10"/>
        <v>243.30500000000001</v>
      </c>
      <c r="AU70" s="98">
        <f t="shared" si="18"/>
        <v>0</v>
      </c>
      <c r="AV70" s="98">
        <f t="array" ref="AV70">_xlfn.IFS(U70=0,AO70,U70&lt;0,AO70/-U70,U70&gt;0,AO70/U70)</f>
        <v>253.18427712028279</v>
      </c>
      <c r="AW70" s="234">
        <f t="shared" si="38"/>
        <v>0.24158805068729272</v>
      </c>
      <c r="AX70" s="234">
        <f t="shared" si="39"/>
        <v>2.159538358241921</v>
      </c>
      <c r="AY70" s="99"/>
      <c r="AZ70" s="94">
        <f t="shared" si="13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50"/>
        <v>0.33333333333333331</v>
      </c>
      <c r="R71" s="92">
        <f t="shared" si="47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1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2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8"/>
        <v>7679.9700000000012</v>
      </c>
      <c r="AB71" s="92">
        <f t="shared" si="49"/>
        <v>81.080999999999989</v>
      </c>
      <c r="AC71" s="234">
        <f t="shared" si="43"/>
        <v>4.218264843065863E-4</v>
      </c>
      <c r="AD71" s="92">
        <f t="shared" si="44"/>
        <v>1353.99</v>
      </c>
      <c r="AE71" s="89">
        <f>'Юнит 10'!AE71+'Юнит 11'!AE71+'Юнит 12'!AE71+'Юнит 13'!AE71</f>
        <v>2907.6300000000006</v>
      </c>
      <c r="AF71" s="234">
        <f t="shared" si="45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 t="shared" si="46"/>
        <v>290.1289558609227</v>
      </c>
      <c r="AO71" s="95">
        <f t="shared" si="51"/>
        <v>96.834932590779374</v>
      </c>
      <c r="AP71" s="96"/>
      <c r="AQ71" s="97">
        <f t="shared" si="7"/>
        <v>698.17909090909097</v>
      </c>
      <c r="AR71" s="98">
        <f t="shared" si="29"/>
        <v>123.09</v>
      </c>
      <c r="AS71" s="98">
        <f t="shared" si="9"/>
        <v>264.33000000000004</v>
      </c>
      <c r="AT71" s="98">
        <f t="shared" si="10"/>
        <v>275.18636363636364</v>
      </c>
      <c r="AU71" s="98">
        <f t="shared" ref="AU71:AU103" si="52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8"/>
        <v>1.2608764434077133E-2</v>
      </c>
      <c r="AX71" s="234">
        <f t="shared" si="39"/>
        <v>7.1518203672685438E-2</v>
      </c>
      <c r="AY71" s="99"/>
      <c r="AZ71" s="94">
        <f t="shared" si="13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50"/>
        <v>0.8571428571428571</v>
      </c>
      <c r="R72" s="92">
        <f t="shared" si="47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1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2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8"/>
        <v>4971.78</v>
      </c>
      <c r="AB72" s="92">
        <f t="shared" si="49"/>
        <v>29.295000000000002</v>
      </c>
      <c r="AC72" s="234">
        <f t="shared" si="43"/>
        <v>2.7307769146829992E-4</v>
      </c>
      <c r="AD72" s="92">
        <f t="shared" si="44"/>
        <v>738.54</v>
      </c>
      <c r="AE72" s="89">
        <f>'Юнит 10'!AE72+'Юнит 11'!AE72+'Юнит 12'!AE72+'Юнит 13'!AE72</f>
        <v>1874.4599999999996</v>
      </c>
      <c r="AF72" s="234">
        <f t="shared" si="45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 t="shared" si="46"/>
        <v>175.53028428299402</v>
      </c>
      <c r="AO72" s="95">
        <f t="shared" si="51"/>
        <v>1401.1397157170061</v>
      </c>
      <c r="AP72" s="96"/>
      <c r="AQ72" s="97">
        <f t="shared" si="7"/>
        <v>828.63</v>
      </c>
      <c r="AR72" s="98">
        <f t="shared" si="29"/>
        <v>123.09</v>
      </c>
      <c r="AS72" s="98">
        <f t="shared" si="9"/>
        <v>312.40999999999991</v>
      </c>
      <c r="AT72" s="98">
        <f t="shared" si="10"/>
        <v>130.35166666666666</v>
      </c>
      <c r="AU72" s="98">
        <f t="shared" si="52"/>
        <v>0</v>
      </c>
      <c r="AV72" s="98">
        <f t="array" ref="AV72">_xlfn.IFS(U72=0,AO72,U72&lt;0,AO72/-U72,U72&gt;0,AO72/U72)</f>
        <v>233.52328595283436</v>
      </c>
      <c r="AW72" s="234">
        <f t="shared" si="38"/>
        <v>0.28181852690927717</v>
      </c>
      <c r="AX72" s="234">
        <f t="shared" si="39"/>
        <v>1.8971751235099061</v>
      </c>
      <c r="AY72" s="99"/>
      <c r="AZ72" s="94">
        <f t="shared" si="13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50"/>
        <v>0.16666666666666666</v>
      </c>
      <c r="R73" s="92">
        <f t="shared" si="47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1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2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8"/>
        <v>2421.21</v>
      </c>
      <c r="AB73" s="92">
        <f t="shared" si="49"/>
        <v>24.694200000000002</v>
      </c>
      <c r="AC73" s="234">
        <f t="shared" si="43"/>
        <v>1.3298626193434997E-4</v>
      </c>
      <c r="AD73" s="92">
        <f t="shared" si="44"/>
        <v>369.27</v>
      </c>
      <c r="AE73" s="89">
        <f>'Юнит 10'!AE73+'Юнит 11'!AE73+'Юнит 12'!AE73+'Юнит 13'!AE73</f>
        <v>912.74</v>
      </c>
      <c r="AF73" s="234">
        <f t="shared" si="45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 t="shared" si="46"/>
        <v>96.091249553050901</v>
      </c>
      <c r="AO73" s="95">
        <f t="shared" si="51"/>
        <v>-912.76149477297724</v>
      </c>
      <c r="AP73" s="96"/>
      <c r="AQ73" s="97">
        <f t="shared" si="7"/>
        <v>807.07</v>
      </c>
      <c r="AR73" s="98">
        <f t="shared" si="29"/>
        <v>123.09</v>
      </c>
      <c r="AS73" s="98">
        <f t="shared" si="9"/>
        <v>304.24666666666667</v>
      </c>
      <c r="AT73" s="98">
        <f t="shared" si="10"/>
        <v>488.21500000000003</v>
      </c>
      <c r="AU73" s="98">
        <f t="shared" si="52"/>
        <v>0</v>
      </c>
      <c r="AV73" s="98">
        <f t="array" ref="AV73">_xlfn.IFS(U73=0,AO73,U73&lt;0,AO73/-U73,U73&gt;0,AO73/U73)</f>
        <v>-304.25383159099243</v>
      </c>
      <c r="AW73" s="234">
        <f t="shared" si="38"/>
        <v>-0.37698567855451498</v>
      </c>
      <c r="AX73" s="234">
        <f t="shared" si="39"/>
        <v>-2.471799752953062</v>
      </c>
      <c r="AY73" s="99"/>
      <c r="AZ73" s="94">
        <f t="shared" si="13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50"/>
        <v>0</v>
      </c>
      <c r="R74" s="92">
        <f t="shared" si="47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1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2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8"/>
        <v>0</v>
      </c>
      <c r="AB74" s="92">
        <f t="shared" si="49"/>
        <v>0</v>
      </c>
      <c r="AC74" s="234">
        <f t="shared" si="43"/>
        <v>0</v>
      </c>
      <c r="AD74" s="92">
        <f t="shared" si="44"/>
        <v>0</v>
      </c>
      <c r="AE74" s="89">
        <f>'Юнит 10'!AE74+'Юнит 11'!AE74+'Юнит 12'!AE74+'Юнит 13'!AE74</f>
        <v>0</v>
      </c>
      <c r="AF74" s="234">
        <f t="shared" si="45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 t="shared" si="46"/>
        <v>0</v>
      </c>
      <c r="AO74" s="95">
        <f t="shared" si="51"/>
        <v>-204.83</v>
      </c>
      <c r="AP74" s="96"/>
      <c r="AQ74" s="97">
        <f t="shared" si="7"/>
        <v>0</v>
      </c>
      <c r="AR74" s="98">
        <f t="shared" si="29"/>
        <v>134.79</v>
      </c>
      <c r="AS74" s="98">
        <f t="shared" si="9"/>
        <v>0</v>
      </c>
      <c r="AT74" s="98">
        <f t="shared" si="10"/>
        <v>204.83</v>
      </c>
      <c r="AU74" s="98">
        <f t="shared" si="52"/>
        <v>0</v>
      </c>
      <c r="AV74" s="98">
        <f t="array" ref="AV74">_xlfn.IFS(U74=0,AO74,U74&lt;0,AO74/-U74,U74&gt;0,AO74/U74)</f>
        <v>-204.83</v>
      </c>
      <c r="AW74" s="234">
        <f t="shared" si="38"/>
        <v>0</v>
      </c>
      <c r="AX74" s="234">
        <f t="shared" si="39"/>
        <v>-1.519623117441947</v>
      </c>
      <c r="AY74" s="99"/>
      <c r="AZ74" s="94">
        <f t="shared" si="13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50"/>
        <v>0.17741935483870969</v>
      </c>
      <c r="R75" s="92">
        <f t="shared" si="47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1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2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8"/>
        <v>8359.17</v>
      </c>
      <c r="AB75" s="92">
        <f t="shared" si="49"/>
        <v>99.342600000000004</v>
      </c>
      <c r="AC75" s="234">
        <f t="shared" si="43"/>
        <v>4.5913190973676806E-4</v>
      </c>
      <c r="AD75" s="92">
        <f t="shared" si="44"/>
        <v>1482.6899999999998</v>
      </c>
      <c r="AE75" s="89">
        <f>'Юнит 10'!AE75+'Юнит 11'!AE75+'Юнит 12'!AE75+'Юнит 13'!AE75</f>
        <v>3161.68</v>
      </c>
      <c r="AF75" s="234">
        <f t="shared" si="45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 t="shared" si="46"/>
        <v>319.95905794064669</v>
      </c>
      <c r="AO75" s="95">
        <f t="shared" si="51"/>
        <v>-1370.9455606484014</v>
      </c>
      <c r="AP75" s="96"/>
      <c r="AQ75" s="97">
        <f t="shared" si="7"/>
        <v>759.92454545454541</v>
      </c>
      <c r="AR75" s="98">
        <f t="shared" si="29"/>
        <v>134.79</v>
      </c>
      <c r="AS75" s="98">
        <f t="shared" si="9"/>
        <v>287.42545454545456</v>
      </c>
      <c r="AT75" s="98">
        <f t="shared" si="10"/>
        <v>337.60928571428565</v>
      </c>
      <c r="AU75" s="98">
        <f t="shared" si="52"/>
        <v>0</v>
      </c>
      <c r="AV75" s="98">
        <f t="array" ref="AV75">_xlfn.IFS(U75=0,AO75,U75&lt;0,AO75/-U75,U75&gt;0,AO75/U75)</f>
        <v>-124.63141460440012</v>
      </c>
      <c r="AW75" s="234">
        <f t="shared" si="38"/>
        <v>-0.16400498621853621</v>
      </c>
      <c r="AX75" s="234">
        <f t="shared" si="39"/>
        <v>-0.9246339832658218</v>
      </c>
      <c r="AY75" s="99"/>
      <c r="AZ75" s="94">
        <f t="shared" si="13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50"/>
        <v>0.14583333333333334</v>
      </c>
      <c r="R76" s="92">
        <f t="shared" si="47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1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2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8"/>
        <v>7350</v>
      </c>
      <c r="AB76" s="92">
        <f t="shared" si="49"/>
        <v>95.76</v>
      </c>
      <c r="AC76" s="234">
        <f t="shared" si="43"/>
        <v>4.0370270452272719E-4</v>
      </c>
      <c r="AD76" s="92">
        <f t="shared" si="44"/>
        <v>861.63</v>
      </c>
      <c r="AE76" s="89">
        <f>'Юнит 10'!AE76+'Юнит 11'!AE76+'Юнит 12'!AE76+'Юнит 13'!AE76</f>
        <v>2744.0799999999995</v>
      </c>
      <c r="AF76" s="234">
        <f t="shared" si="45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 t="shared" si="46"/>
        <v>261.92802039430552</v>
      </c>
      <c r="AO76" s="95">
        <f t="shared" si="51"/>
        <v>-4003.1300903230954</v>
      </c>
      <c r="AP76" s="96"/>
      <c r="AQ76" s="97">
        <f t="shared" si="7"/>
        <v>1050</v>
      </c>
      <c r="AR76" s="98">
        <f t="shared" si="29"/>
        <v>123.09</v>
      </c>
      <c r="AS76" s="98">
        <f t="shared" si="9"/>
        <v>392.0114285714285</v>
      </c>
      <c r="AT76" s="98">
        <f t="shared" si="10"/>
        <v>316.74714285714282</v>
      </c>
      <c r="AU76" s="98">
        <f t="shared" si="52"/>
        <v>730.71428571428567</v>
      </c>
      <c r="AV76" s="98">
        <f t="array" ref="AV76">_xlfn.IFS(U76=0,AO76,U76&lt;0,AO76/-U76,U76&gt;0,AO76/U76)</f>
        <v>-571.87572718901367</v>
      </c>
      <c r="AW76" s="234">
        <f t="shared" si="38"/>
        <v>-0.54464354970382256</v>
      </c>
      <c r="AX76" s="234">
        <f t="shared" si="39"/>
        <v>-4.6459966462670703</v>
      </c>
      <c r="AY76" s="99"/>
      <c r="AZ76" s="94">
        <f t="shared" si="13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50"/>
        <v>0.1111111111111111</v>
      </c>
      <c r="R77" s="92">
        <f t="shared" si="47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1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2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8"/>
        <v>3450</v>
      </c>
      <c r="AB77" s="92">
        <f t="shared" si="49"/>
        <v>62.1</v>
      </c>
      <c r="AC77" s="234">
        <f t="shared" si="43"/>
        <v>1.894931062045454E-4</v>
      </c>
      <c r="AD77" s="92">
        <f t="shared" si="44"/>
        <v>369.27</v>
      </c>
      <c r="AE77" s="89">
        <f>'Юнит 10'!AE77+'Юнит 11'!AE77+'Юнит 12'!AE77+'Юнит 13'!AE77</f>
        <v>1302.1799999999998</v>
      </c>
      <c r="AF77" s="234">
        <f t="shared" si="45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 t="shared" si="46"/>
        <v>120.05266820118285</v>
      </c>
      <c r="AO77" s="95">
        <f t="shared" si="51"/>
        <v>-1489.1612706864582</v>
      </c>
      <c r="AP77" s="96"/>
      <c r="AQ77" s="97">
        <f t="shared" si="7"/>
        <v>1150</v>
      </c>
      <c r="AR77" s="98">
        <f t="shared" si="29"/>
        <v>123.09</v>
      </c>
      <c r="AS77" s="98">
        <f t="shared" si="9"/>
        <v>434.05999999999995</v>
      </c>
      <c r="AT77" s="98">
        <f t="shared" si="10"/>
        <v>449.41</v>
      </c>
      <c r="AU77" s="98">
        <f t="shared" si="52"/>
        <v>557.33333333333337</v>
      </c>
      <c r="AV77" s="98">
        <f t="array" ref="AV77">_xlfn.IFS(U77=0,AO77,U77&lt;0,AO77/-U77,U77&gt;0,AO77/U77)</f>
        <v>-496.38709022881943</v>
      </c>
      <c r="AW77" s="234">
        <f t="shared" si="38"/>
        <v>-0.43164094802506037</v>
      </c>
      <c r="AX77" s="234">
        <f t="shared" si="39"/>
        <v>-4.0327166319670109</v>
      </c>
      <c r="AY77" s="99"/>
      <c r="AZ77" s="94">
        <f t="shared" si="13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50"/>
        <v>0.16666666666666666</v>
      </c>
      <c r="R78" s="92">
        <f t="shared" si="47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1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2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8"/>
        <v>3980</v>
      </c>
      <c r="AB78" s="92">
        <f t="shared" si="49"/>
        <v>33.6</v>
      </c>
      <c r="AC78" s="234">
        <f t="shared" si="43"/>
        <v>2.18603641360606E-4</v>
      </c>
      <c r="AD78" s="92">
        <f t="shared" si="44"/>
        <v>492.36</v>
      </c>
      <c r="AE78" s="89">
        <f>'Юнит 10'!AE78+'Юнит 11'!AE78+'Юнит 12'!AE78+'Юнит 13'!AE78</f>
        <v>1500.67</v>
      </c>
      <c r="AF78" s="234">
        <f t="shared" si="45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 t="shared" si="46"/>
        <v>136.34991558135275</v>
      </c>
      <c r="AO78" s="95">
        <f t="shared" si="51"/>
        <v>-3027.6349780846417</v>
      </c>
      <c r="AP78" s="96"/>
      <c r="AQ78" s="97">
        <f t="shared" si="7"/>
        <v>995</v>
      </c>
      <c r="AR78" s="98">
        <f t="shared" si="29"/>
        <v>123.09</v>
      </c>
      <c r="AS78" s="98">
        <f t="shared" si="9"/>
        <v>375.16750000000002</v>
      </c>
      <c r="AT78" s="98">
        <f t="shared" si="10"/>
        <v>624.33499999999992</v>
      </c>
      <c r="AU78" s="98">
        <f t="shared" si="52"/>
        <v>580</v>
      </c>
      <c r="AV78" s="98">
        <f t="array" ref="AV78">_xlfn.IFS(U78=0,AO78,U78&lt;0,AO78/-U78,U78&gt;0,AO78/U78)</f>
        <v>-756.90874452116043</v>
      </c>
      <c r="AW78" s="234">
        <f t="shared" si="38"/>
        <v>-0.76071230605141749</v>
      </c>
      <c r="AX78" s="234">
        <f t="shared" si="39"/>
        <v>-6.1492301935263658</v>
      </c>
      <c r="AY78" s="99"/>
      <c r="AZ78" s="94">
        <f t="shared" si="13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50"/>
        <v>0.12</v>
      </c>
      <c r="R79" s="92">
        <f t="shared" si="47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1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2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8"/>
        <v>4500</v>
      </c>
      <c r="AB79" s="92">
        <f t="shared" si="49"/>
        <v>59.72</v>
      </c>
      <c r="AC79" s="234">
        <f t="shared" si="43"/>
        <v>2.4716492113636355E-4</v>
      </c>
      <c r="AD79" s="92">
        <f t="shared" si="44"/>
        <v>492.12</v>
      </c>
      <c r="AE79" s="89">
        <f>'Юнит 10'!AE79+'Юнит 11'!AE79+'Юнит 12'!AE79+'Юнит 13'!AE79</f>
        <v>1713.82</v>
      </c>
      <c r="AF79" s="234">
        <f t="shared" si="45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 t="shared" si="46"/>
        <v>165.53984838898577</v>
      </c>
      <c r="AO79" s="95">
        <f t="shared" si="51"/>
        <v>-1901.737457103301</v>
      </c>
      <c r="AP79" s="96"/>
      <c r="AQ79" s="97">
        <f t="shared" si="7"/>
        <v>1500</v>
      </c>
      <c r="AR79" s="98">
        <f t="shared" si="29"/>
        <v>164.04</v>
      </c>
      <c r="AS79" s="98">
        <f t="shared" si="9"/>
        <v>571.27333333333331</v>
      </c>
      <c r="AT79" s="98">
        <f t="shared" si="10"/>
        <v>499.74333333333334</v>
      </c>
      <c r="AU79" s="98">
        <f t="shared" si="52"/>
        <v>786.66666666666663</v>
      </c>
      <c r="AV79" s="98">
        <f t="array" ref="AV79">_xlfn.IFS(U79=0,AO79,U79&lt;0,AO79/-U79,U79&gt;0,AO79/U79)</f>
        <v>-633.91248570110031</v>
      </c>
      <c r="AW79" s="234">
        <f t="shared" si="38"/>
        <v>-0.42260832380073354</v>
      </c>
      <c r="AX79" s="234">
        <f t="shared" si="39"/>
        <v>-3.8643775036643522</v>
      </c>
      <c r="AY79" s="99"/>
      <c r="AZ79" s="94">
        <f t="shared" si="13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50"/>
        <v>0.19298245614035087</v>
      </c>
      <c r="R80" s="92">
        <f t="shared" si="47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1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2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8"/>
        <v>10735.73</v>
      </c>
      <c r="AB80" s="92">
        <f t="shared" si="49"/>
        <v>118.14389999999999</v>
      </c>
      <c r="AC80" s="234">
        <f t="shared" si="43"/>
        <v>5.8966574639806495E-4</v>
      </c>
      <c r="AD80" s="92">
        <f t="shared" si="44"/>
        <v>1804.4399999999998</v>
      </c>
      <c r="AE80" s="89">
        <f>'Юнит 10'!AE80+'Юнит 11'!AE80+'Юнит 12'!AE80+'Юнит 13'!AE80</f>
        <v>4052.4899999999989</v>
      </c>
      <c r="AF80" s="234">
        <f t="shared" si="45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 t="shared" si="46"/>
        <v>410.21901843109441</v>
      </c>
      <c r="AO80" s="95">
        <f t="shared" si="51"/>
        <v>-873.20803262669028</v>
      </c>
      <c r="AP80" s="96"/>
      <c r="AQ80" s="97">
        <f t="shared" si="7"/>
        <v>975.97545454545445</v>
      </c>
      <c r="AR80" s="98">
        <f t="shared" si="29"/>
        <v>164.04</v>
      </c>
      <c r="AS80" s="98">
        <f t="shared" si="9"/>
        <v>368.40818181818173</v>
      </c>
      <c r="AT80" s="98">
        <f t="shared" si="10"/>
        <v>349.50133333333326</v>
      </c>
      <c r="AU80" s="98">
        <f t="shared" si="52"/>
        <v>0</v>
      </c>
      <c r="AV80" s="98">
        <f t="array" ref="AV80">_xlfn.IFS(U80=0,AO80,U80&lt;0,AO80/-U80,U80&gt;0,AO80/U80)</f>
        <v>-79.382548420608202</v>
      </c>
      <c r="AW80" s="234">
        <f t="shared" si="38"/>
        <v>-8.1336623837101926E-2</v>
      </c>
      <c r="AX80" s="234">
        <f t="shared" si="39"/>
        <v>-0.48392189966232751</v>
      </c>
      <c r="AY80" s="99"/>
      <c r="AZ80" s="94">
        <f t="shared" si="13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50"/>
        <v>0.39130434782608697</v>
      </c>
      <c r="R81" s="92">
        <f t="shared" si="47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1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2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8"/>
        <v>20922.32</v>
      </c>
      <c r="AB81" s="92">
        <f t="shared" si="49"/>
        <v>177.15060000000003</v>
      </c>
      <c r="AC81" s="234">
        <f t="shared" si="43"/>
        <v>1.1491696828421693E-3</v>
      </c>
      <c r="AD81" s="92">
        <f t="shared" si="44"/>
        <v>2320.92</v>
      </c>
      <c r="AE81" s="89">
        <f>'Юнит 10'!AE81+'Юнит 11'!AE81+'Юнит 12'!AE81+'Юнит 13'!AE81</f>
        <v>7936.0399999999991</v>
      </c>
      <c r="AF81" s="234">
        <f t="shared" si="45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 t="shared" si="46"/>
        <v>754.51846183395298</v>
      </c>
      <c r="AO81" s="95">
        <f t="shared" si="51"/>
        <v>59.409766016931144</v>
      </c>
      <c r="AP81" s="96"/>
      <c r="AQ81" s="97">
        <f t="shared" si="7"/>
        <v>1162.3511111111111</v>
      </c>
      <c r="AR81" s="98">
        <f t="shared" si="29"/>
        <v>128.94</v>
      </c>
      <c r="AS81" s="98">
        <f t="shared" si="9"/>
        <v>440.89111111111106</v>
      </c>
      <c r="AT81" s="98">
        <f t="shared" si="10"/>
        <v>226.43473684210522</v>
      </c>
      <c r="AU81" s="98">
        <f t="shared" si="52"/>
        <v>289.36842105263156</v>
      </c>
      <c r="AV81" s="98">
        <f t="array" ref="AV81">_xlfn.IFS(U81=0,AO81,U81&lt;0,AO81/-U81,U81&gt;0,AO81/U81)</f>
        <v>3.3005425564961746</v>
      </c>
      <c r="AW81" s="234">
        <f t="shared" si="38"/>
        <v>2.8395400709353047E-3</v>
      </c>
      <c r="AX81" s="234">
        <f t="shared" si="39"/>
        <v>2.5597507030372068E-2</v>
      </c>
      <c r="AY81" s="99"/>
      <c r="AZ81" s="94">
        <f t="shared" si="13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50"/>
        <v>0.33333333333333331</v>
      </c>
      <c r="R82" s="92">
        <f t="shared" si="47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1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2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8"/>
        <v>3499</v>
      </c>
      <c r="AB82" s="92">
        <f t="shared" si="49"/>
        <v>34.867800000000003</v>
      </c>
      <c r="AC82" s="234">
        <f t="shared" si="43"/>
        <v>1.9218445756803026E-4</v>
      </c>
      <c r="AD82" s="92">
        <f t="shared" si="44"/>
        <v>386.82</v>
      </c>
      <c r="AE82" s="89">
        <f>'Юнит 10'!AE82+'Юнит 11'!AE82+'Юнит 12'!AE82+'Юнит 13'!AE82</f>
        <v>1304.8399999999997</v>
      </c>
      <c r="AF82" s="234">
        <f t="shared" si="45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 t="shared" si="46"/>
        <v>127.19666705276418</v>
      </c>
      <c r="AO82" s="95">
        <f t="shared" si="51"/>
        <v>867.00722703838608</v>
      </c>
      <c r="AP82" s="96"/>
      <c r="AQ82" s="97">
        <f t="shared" si="7"/>
        <v>1166.3333333333333</v>
      </c>
      <c r="AR82" s="98">
        <f t="shared" si="29"/>
        <v>128.94</v>
      </c>
      <c r="AS82" s="98">
        <f t="shared" si="9"/>
        <v>434.94666666666654</v>
      </c>
      <c r="AT82" s="98">
        <f t="shared" si="10"/>
        <v>211.77999999999997</v>
      </c>
      <c r="AU82" s="98">
        <f t="shared" si="52"/>
        <v>0</v>
      </c>
      <c r="AV82" s="98">
        <f t="array" ref="AV82">_xlfn.IFS(U82=0,AO82,U82&lt;0,AO82/-U82,U82&gt;0,AO82/U82)</f>
        <v>289.00240901279534</v>
      </c>
      <c r="AW82" s="234">
        <f t="shared" si="38"/>
        <v>0.2477871469100846</v>
      </c>
      <c r="AX82" s="234">
        <f t="shared" si="39"/>
        <v>2.2413712502931236</v>
      </c>
      <c r="AY82" s="99"/>
      <c r="AZ82" s="94">
        <f t="shared" si="13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50"/>
        <v>0.16666666666666666</v>
      </c>
      <c r="R83" s="92">
        <f t="shared" si="47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1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2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8"/>
        <v>4125</v>
      </c>
      <c r="AB83" s="92">
        <f t="shared" si="49"/>
        <v>44.55</v>
      </c>
      <c r="AC83" s="234">
        <f t="shared" si="43"/>
        <v>2.2656784437499993E-4</v>
      </c>
      <c r="AD83" s="92">
        <f t="shared" si="44"/>
        <v>369.27</v>
      </c>
      <c r="AE83" s="89">
        <f>'Юнит 10'!AE83+'Юнит 11'!AE83+'Юнит 12'!AE83+'Юнит 13'!AE83</f>
        <v>1559.28</v>
      </c>
      <c r="AF83" s="234">
        <f t="shared" si="45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 t="shared" si="46"/>
        <v>146.8426638946128</v>
      </c>
      <c r="AO83" s="95">
        <f t="shared" si="51"/>
        <v>181.91669901369752</v>
      </c>
      <c r="AP83" s="96"/>
      <c r="AQ83" s="97">
        <f t="shared" si="7"/>
        <v>1375</v>
      </c>
      <c r="AR83" s="98">
        <f t="shared" si="29"/>
        <v>123.09</v>
      </c>
      <c r="AS83" s="98">
        <f t="shared" si="9"/>
        <v>519.76</v>
      </c>
      <c r="AT83" s="98">
        <f t="shared" si="10"/>
        <v>566.43666666666661</v>
      </c>
      <c r="AU83" s="98">
        <f t="shared" si="52"/>
        <v>0</v>
      </c>
      <c r="AV83" s="98">
        <f t="array" ref="AV83">_xlfn.IFS(U83=0,AO83,U83&lt;0,AO83/-U83,U83&gt;0,AO83/U83)</f>
        <v>60.638899671232508</v>
      </c>
      <c r="AW83" s="234">
        <f t="shared" si="38"/>
        <v>4.4101017942714552E-2</v>
      </c>
      <c r="AX83" s="234">
        <f t="shared" si="39"/>
        <v>0.4926387169650866</v>
      </c>
      <c r="AY83" s="99"/>
      <c r="AZ83" s="94">
        <f t="shared" si="13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50"/>
        <v>3.4482758620689655E-2</v>
      </c>
      <c r="R84" s="92">
        <f t="shared" si="47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1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2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8"/>
        <v>1438</v>
      </c>
      <c r="AB84" s="92">
        <f t="shared" si="49"/>
        <v>37.531799999999997</v>
      </c>
      <c r="AC84" s="234">
        <f t="shared" si="43"/>
        <v>7.8982923687575737E-5</v>
      </c>
      <c r="AD84" s="92">
        <f t="shared" si="44"/>
        <v>146.49</v>
      </c>
      <c r="AE84" s="89">
        <f>'Юнит 10'!AE84+'Юнит 11'!AE84+'Юнит 12'!AE84+'Юнит 13'!AE84</f>
        <v>545.17999999999995</v>
      </c>
      <c r="AF84" s="234">
        <f t="shared" si="45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 t="shared" si="46"/>
        <v>53.412553913775923</v>
      </c>
      <c r="AO84" s="95">
        <f t="shared" si="51"/>
        <v>-5479.3933604908343</v>
      </c>
      <c r="AP84" s="96"/>
      <c r="AQ84" s="97">
        <f t="shared" si="7"/>
        <v>1438</v>
      </c>
      <c r="AR84" s="98">
        <f t="shared" si="29"/>
        <v>146.49</v>
      </c>
      <c r="AS84" s="98">
        <f t="shared" si="9"/>
        <v>545.17999999999995</v>
      </c>
      <c r="AT84" s="98">
        <f t="shared" si="10"/>
        <v>1502.89</v>
      </c>
      <c r="AU84" s="98">
        <f t="shared" si="52"/>
        <v>4500</v>
      </c>
      <c r="AV84" s="98">
        <f t="array" ref="AV84">_xlfn.IFS(U84=0,AO84,U84&lt;0,AO84/-U84,U84&gt;0,AO84/U84)</f>
        <v>-5479.3933604908343</v>
      </c>
      <c r="AW84" s="234">
        <f t="shared" si="38"/>
        <v>-3.8104265371980768</v>
      </c>
      <c r="AX84" s="234">
        <f t="shared" si="39"/>
        <v>-37.404555672679592</v>
      </c>
      <c r="AY84" s="99"/>
      <c r="AZ84" s="94">
        <f t="shared" si="13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50"/>
        <v>0.24242424242424243</v>
      </c>
      <c r="R85" s="92">
        <f t="shared" si="47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1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2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8"/>
        <v>8003.52</v>
      </c>
      <c r="AB85" s="92">
        <f t="shared" si="49"/>
        <v>96.465599999999995</v>
      </c>
      <c r="AC85" s="234">
        <f t="shared" si="43"/>
        <v>4.3959764213629082E-4</v>
      </c>
      <c r="AD85" s="92">
        <f t="shared" si="44"/>
        <v>825.6</v>
      </c>
      <c r="AE85" s="89">
        <f>'Юнит 10'!AE85+'Юнит 11'!AE85+'Юнит 12'!AE85+'Юнит 13'!AE85</f>
        <v>3034.8</v>
      </c>
      <c r="AF85" s="234">
        <f t="shared" si="45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 t="shared" si="46"/>
        <v>282.24376712848988</v>
      </c>
      <c r="AO85" s="95">
        <f t="shared" si="51"/>
        <v>-2691.3915713805504</v>
      </c>
      <c r="AP85" s="96"/>
      <c r="AQ85" s="97">
        <f t="shared" si="7"/>
        <v>1000.44</v>
      </c>
      <c r="AR85" s="98">
        <f t="shared" si="29"/>
        <v>103.2</v>
      </c>
      <c r="AS85" s="98">
        <f t="shared" si="9"/>
        <v>379.35</v>
      </c>
      <c r="AT85" s="98">
        <f t="shared" si="10"/>
        <v>289.99555555555554</v>
      </c>
      <c r="AU85" s="98">
        <f t="shared" si="52"/>
        <v>424.88888888888891</v>
      </c>
      <c r="AV85" s="98">
        <f t="array" ref="AV85">_xlfn.IFS(U85=0,AO85,U85&lt;0,AO85/-U85,U85&gt;0,AO85/U85)</f>
        <v>-336.4239464225688</v>
      </c>
      <c r="AW85" s="234">
        <f t="shared" si="38"/>
        <v>-0.33627598498917355</v>
      </c>
      <c r="AX85" s="234">
        <f t="shared" si="39"/>
        <v>-3.2599219614589998</v>
      </c>
      <c r="AY85" s="99"/>
      <c r="AZ85" s="94">
        <f t="shared" si="13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50"/>
        <v>0.15</v>
      </c>
      <c r="R86" s="92">
        <f t="shared" si="47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1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2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8"/>
        <v>4176</v>
      </c>
      <c r="AB86" s="92">
        <f t="shared" si="49"/>
        <v>58.253999999999998</v>
      </c>
      <c r="AC86" s="234">
        <f t="shared" si="43"/>
        <v>2.293690468145454E-4</v>
      </c>
      <c r="AD86" s="92">
        <f t="shared" si="44"/>
        <v>450</v>
      </c>
      <c r="AE86" s="89">
        <f>'Юнит 10'!AE86+'Юнит 11'!AE86+'Юнит 12'!AE86+'Юнит 13'!AE86</f>
        <v>1585.5699999999997</v>
      </c>
      <c r="AF86" s="234">
        <f t="shared" si="45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 t="shared" si="46"/>
        <v>147.40078880489258</v>
      </c>
      <c r="AO86" s="95">
        <f t="shared" si="51"/>
        <v>-1943.4317065982964</v>
      </c>
      <c r="AP86" s="96"/>
      <c r="AQ86" s="97">
        <f t="shared" si="7"/>
        <v>1392</v>
      </c>
      <c r="AR86" s="98">
        <f t="shared" si="29"/>
        <v>150</v>
      </c>
      <c r="AS86" s="98">
        <f t="shared" si="9"/>
        <v>528.5233333333332</v>
      </c>
      <c r="AT86" s="98">
        <f t="shared" si="10"/>
        <v>366.74333333333334</v>
      </c>
      <c r="AU86" s="98">
        <f t="shared" si="52"/>
        <v>895</v>
      </c>
      <c r="AV86" s="98">
        <f t="array" ref="AV86">_xlfn.IFS(U86=0,AO86,U86&lt;0,AO86/-U86,U86&gt;0,AO86/U86)</f>
        <v>-647.81056886609883</v>
      </c>
      <c r="AW86" s="234">
        <f t="shared" si="38"/>
        <v>-0.46538115579461126</v>
      </c>
      <c r="AX86" s="234">
        <f t="shared" si="39"/>
        <v>-4.3187371257739926</v>
      </c>
      <c r="AY86" s="99"/>
      <c r="AZ86" s="94">
        <f t="shared" si="13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50"/>
        <v>0.27184466019417475</v>
      </c>
      <c r="R87" s="92">
        <f t="shared" si="47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1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2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8"/>
        <v>29023.86</v>
      </c>
      <c r="AB87" s="92">
        <f t="shared" si="49"/>
        <v>293.67360000000002</v>
      </c>
      <c r="AC87" s="234">
        <f t="shared" si="43"/>
        <v>1.5941511262161905E-3</v>
      </c>
      <c r="AD87" s="92">
        <f t="shared" si="44"/>
        <v>4200</v>
      </c>
      <c r="AE87" s="89">
        <f>'Юнит 10'!AE87+'Юнит 11'!AE87+'Юнит 12'!AE87+'Юнит 13'!AE87</f>
        <v>11011.799999999997</v>
      </c>
      <c r="AF87" s="234">
        <f t="shared" si="45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 t="shared" si="46"/>
        <v>1106.3760327718205</v>
      </c>
      <c r="AO87" s="95">
        <f t="shared" si="51"/>
        <v>-3646.2653903329206</v>
      </c>
      <c r="AP87" s="96"/>
      <c r="AQ87" s="97">
        <f t="shared" si="7"/>
        <v>1036.5664285714286</v>
      </c>
      <c r="AR87" s="98">
        <f t="shared" si="29"/>
        <v>150</v>
      </c>
      <c r="AS87" s="98">
        <f t="shared" si="9"/>
        <v>393.27857142857135</v>
      </c>
      <c r="AT87" s="98">
        <f t="shared" si="10"/>
        <v>301.54096774193545</v>
      </c>
      <c r="AU87" s="98">
        <f t="shared" si="52"/>
        <v>225.80645161290323</v>
      </c>
      <c r="AV87" s="98">
        <f t="array" ref="AV87">_xlfn.IFS(U87=0,AO87,U87&lt;0,AO87/-U87,U87&gt;0,AO87/U87)</f>
        <v>-130.22376394046145</v>
      </c>
      <c r="AW87" s="234">
        <f t="shared" si="38"/>
        <v>-0.12562992621701319</v>
      </c>
      <c r="AX87" s="234">
        <f t="shared" si="39"/>
        <v>-0.86815842626974304</v>
      </c>
      <c r="AY87" s="99"/>
      <c r="AZ87" s="94">
        <f t="shared" si="13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50"/>
        <v>0.39130434782608697</v>
      </c>
      <c r="R88" s="92">
        <f t="shared" si="47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1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2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8"/>
        <v>11237.580000000002</v>
      </c>
      <c r="AB88" s="92">
        <f t="shared" si="49"/>
        <v>104.07959999999999</v>
      </c>
      <c r="AC88" s="234">
        <f t="shared" si="43"/>
        <v>6.172301276585727E-4</v>
      </c>
      <c r="AD88" s="92">
        <f t="shared" si="44"/>
        <v>1350</v>
      </c>
      <c r="AE88" s="89">
        <f>'Юнит 10'!AE88+'Юнит 11'!AE88+'Юнит 12'!AE88+'Юнит 13'!AE88</f>
        <v>4220.3099999999995</v>
      </c>
      <c r="AF88" s="234">
        <f t="shared" si="45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 t="shared" si="46"/>
        <v>398.33374846668619</v>
      </c>
      <c r="AO88" s="95">
        <f t="shared" si="51"/>
        <v>2776.4825054905505</v>
      </c>
      <c r="AP88" s="96"/>
      <c r="AQ88" s="97">
        <f t="shared" si="7"/>
        <v>1248.6200000000001</v>
      </c>
      <c r="AR88" s="98">
        <f t="shared" si="29"/>
        <v>150</v>
      </c>
      <c r="AS88" s="98">
        <f t="shared" si="9"/>
        <v>468.92333333333329</v>
      </c>
      <c r="AT88" s="98">
        <f t="shared" si="10"/>
        <v>247.95</v>
      </c>
      <c r="AU88" s="98">
        <f t="shared" si="52"/>
        <v>0</v>
      </c>
      <c r="AV88" s="98">
        <f t="array" ref="AV88">_xlfn.IFS(U88=0,AO88,U88&lt;0,AO88/-U88,U88&gt;0,AO88/U88)</f>
        <v>308.49805616561673</v>
      </c>
      <c r="AW88" s="234">
        <f t="shared" si="38"/>
        <v>0.24707121155004461</v>
      </c>
      <c r="AX88" s="234">
        <f t="shared" si="39"/>
        <v>2.0566537077707783</v>
      </c>
      <c r="AY88" s="99"/>
      <c r="AZ88" s="94">
        <f t="shared" si="13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50"/>
        <v>0.34</v>
      </c>
      <c r="R89" s="92">
        <f t="shared" si="47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1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2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8"/>
        <v>25337.46</v>
      </c>
      <c r="AB89" s="92">
        <f t="shared" si="49"/>
        <v>323.36</v>
      </c>
      <c r="AC89" s="234">
        <f t="shared" si="43"/>
        <v>1.3916736228212815E-3</v>
      </c>
      <c r="AD89" s="92">
        <f t="shared" si="44"/>
        <v>2888.1299999999997</v>
      </c>
      <c r="AE89" s="89">
        <f>'Юнит 10'!AE89+'Юнит 11'!AE89+'Юнит 12'!AE89+'Юнит 13'!AE89</f>
        <v>9571.119999999999</v>
      </c>
      <c r="AF89" s="234">
        <f t="shared" si="45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 t="shared" si="46"/>
        <v>927.73252773928573</v>
      </c>
      <c r="AO89" s="95">
        <f t="shared" si="51"/>
        <v>8819.1501079465106</v>
      </c>
      <c r="AP89" s="96"/>
      <c r="AQ89" s="97">
        <f t="shared" si="7"/>
        <v>1490.4388235294118</v>
      </c>
      <c r="AR89" s="98">
        <f t="shared" si="29"/>
        <v>169.89</v>
      </c>
      <c r="AS89" s="98">
        <f t="shared" si="9"/>
        <v>563.00705882352941</v>
      </c>
      <c r="AT89" s="98">
        <f t="shared" si="10"/>
        <v>168.85999999999999</v>
      </c>
      <c r="AU89" s="98">
        <f t="shared" si="52"/>
        <v>0</v>
      </c>
      <c r="AV89" s="98">
        <f t="array" ref="AV89">_xlfn.IFS(U89=0,AO89,U89&lt;0,AO89/-U89,U89&gt;0,AO89/U89)</f>
        <v>518.7735357615594</v>
      </c>
      <c r="AW89" s="234">
        <f t="shared" si="38"/>
        <v>0.34806764797838891</v>
      </c>
      <c r="AX89" s="234">
        <f t="shared" si="39"/>
        <v>3.0535848829334244</v>
      </c>
      <c r="AY89" s="99"/>
      <c r="AZ89" s="94">
        <f t="shared" si="13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50"/>
        <v>0</v>
      </c>
      <c r="R90" s="92">
        <f t="shared" si="47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1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2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8"/>
        <v>0</v>
      </c>
      <c r="AB90" s="92">
        <f t="shared" si="49"/>
        <v>10.77</v>
      </c>
      <c r="AC90" s="234">
        <f t="shared" si="43"/>
        <v>0</v>
      </c>
      <c r="AD90" s="92">
        <f t="shared" si="44"/>
        <v>0</v>
      </c>
      <c r="AE90" s="89">
        <f>'Юнит 10'!AE90+'Юнит 11'!AE90+'Юнит 12'!AE90+'Юнит 13'!AE90</f>
        <v>0</v>
      </c>
      <c r="AF90" s="234">
        <f t="shared" si="45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 t="shared" si="46"/>
        <v>0</v>
      </c>
      <c r="AO90" s="95">
        <f t="shared" si="51"/>
        <v>-197.0113947176074</v>
      </c>
      <c r="AP90" s="96"/>
      <c r="AQ90" s="97">
        <f t="shared" si="7"/>
        <v>0</v>
      </c>
      <c r="AR90" s="98">
        <f t="shared" si="29"/>
        <v>107.88</v>
      </c>
      <c r="AS90" s="98">
        <f t="shared" si="9"/>
        <v>0</v>
      </c>
      <c r="AT90" s="98">
        <f t="shared" si="10"/>
        <v>0</v>
      </c>
      <c r="AU90" s="98">
        <f t="shared" si="52"/>
        <v>0</v>
      </c>
      <c r="AV90" s="98">
        <f t="array" ref="AV90">_xlfn.IFS(U90=0,AO90,U90&lt;0,AO90/-U90,U90&gt;0,AO90/U90)</f>
        <v>-197.0113947176074</v>
      </c>
      <c r="AW90" s="234">
        <f t="shared" si="38"/>
        <v>0</v>
      </c>
      <c r="AX90" s="234">
        <f t="shared" si="39"/>
        <v>-1.8262087014980295</v>
      </c>
      <c r="AY90" s="99"/>
      <c r="AZ90" s="94">
        <f t="shared" si="13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50"/>
        <v>0.11627906976744186</v>
      </c>
      <c r="R91" s="92">
        <f t="shared" si="47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1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2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8"/>
        <v>5374.75</v>
      </c>
      <c r="AB91" s="92">
        <f t="shared" si="49"/>
        <v>69.337500000000006</v>
      </c>
      <c r="AC91" s="234">
        <f t="shared" si="43"/>
        <v>2.9521103552837113E-4</v>
      </c>
      <c r="AD91" s="92">
        <f t="shared" si="44"/>
        <v>469.20000000000005</v>
      </c>
      <c r="AE91" s="89">
        <f>'Юнит 10'!AE91+'Юнит 11'!AE91+'Юнит 12'!AE91+'Юнит 13'!AE91</f>
        <v>2024.3400000000001</v>
      </c>
      <c r="AF91" s="234">
        <f t="shared" si="45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 t="shared" si="46"/>
        <v>198.10866940345264</v>
      </c>
      <c r="AO91" s="95">
        <f t="shared" si="51"/>
        <v>-1703.8773806113918</v>
      </c>
      <c r="AP91" s="96"/>
      <c r="AQ91" s="97">
        <f t="shared" si="7"/>
        <v>1074.95</v>
      </c>
      <c r="AR91" s="98">
        <f t="shared" si="29"/>
        <v>93.84</v>
      </c>
      <c r="AS91" s="98">
        <f t="shared" si="9"/>
        <v>404.86800000000005</v>
      </c>
      <c r="AT91" s="98">
        <f t="shared" si="10"/>
        <v>550.67666666666662</v>
      </c>
      <c r="AU91" s="98">
        <f t="shared" si="52"/>
        <v>166.66666666666666</v>
      </c>
      <c r="AV91" s="98">
        <f t="array" ref="AV91">_xlfn.IFS(U91=0,AO91,U91&lt;0,AO91/-U91,U91&gt;0,AO91/U91)</f>
        <v>-340.77547612227835</v>
      </c>
      <c r="AW91" s="234">
        <f t="shared" si="38"/>
        <v>-0.31701518779690063</v>
      </c>
      <c r="AX91" s="234">
        <f t="shared" si="39"/>
        <v>-3.6314522178418409</v>
      </c>
      <c r="AY91" s="99"/>
      <c r="AZ91" s="94">
        <f t="shared" si="13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50"/>
        <v>0</v>
      </c>
      <c r="R92" s="92">
        <f t="shared" si="47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1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2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8"/>
        <v>0</v>
      </c>
      <c r="AB92" s="92">
        <f t="shared" si="49"/>
        <v>0</v>
      </c>
      <c r="AC92" s="234">
        <f t="shared" si="43"/>
        <v>0</v>
      </c>
      <c r="AD92" s="92">
        <f t="shared" si="44"/>
        <v>0</v>
      </c>
      <c r="AE92" s="89">
        <f>'Юнит 10'!AE92+'Юнит 11'!AE92+'Юнит 12'!AE92+'Юнит 13'!AE92</f>
        <v>0</v>
      </c>
      <c r="AF92" s="234">
        <f t="shared" si="45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 t="shared" si="46"/>
        <v>0</v>
      </c>
      <c r="AO92" s="95">
        <f t="shared" si="51"/>
        <v>-729.07805716151574</v>
      </c>
      <c r="AP92" s="96"/>
      <c r="AQ92" s="97">
        <f t="shared" si="7"/>
        <v>0</v>
      </c>
      <c r="AR92" s="98">
        <f t="shared" si="29"/>
        <v>139.47</v>
      </c>
      <c r="AS92" s="98">
        <f t="shared" si="9"/>
        <v>0</v>
      </c>
      <c r="AT92" s="98">
        <f t="shared" si="10"/>
        <v>539.27</v>
      </c>
      <c r="AU92" s="98">
        <f t="shared" si="52"/>
        <v>0</v>
      </c>
      <c r="AV92" s="98">
        <f t="array" ref="AV92">_xlfn.IFS(U92=0,AO92,U92&lt;0,AO92/-U92,U92&gt;0,AO92/U92)</f>
        <v>-729.07805716151574</v>
      </c>
      <c r="AW92" s="234">
        <f t="shared" si="38"/>
        <v>0</v>
      </c>
      <c r="AX92" s="234">
        <f t="shared" si="39"/>
        <v>-5.2274901925970871</v>
      </c>
      <c r="AY92" s="99"/>
      <c r="AZ92" s="94">
        <f t="shared" si="13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50"/>
        <v>0.35294117647058826</v>
      </c>
      <c r="R93" s="92">
        <f t="shared" si="47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1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2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8"/>
        <v>7698.18</v>
      </c>
      <c r="AB93" s="92">
        <f t="shared" si="49"/>
        <v>77.111999999999995</v>
      </c>
      <c r="AC93" s="234">
        <f t="shared" si="43"/>
        <v>4.2282667835411811E-4</v>
      </c>
      <c r="AD93" s="92">
        <f t="shared" si="44"/>
        <v>836.81999999999994</v>
      </c>
      <c r="AE93" s="89">
        <f>'Юнит 10'!AE93+'Юнит 11'!AE93+'Юнит 12'!AE93+'Юнит 13'!AE93</f>
        <v>2921.829999999999</v>
      </c>
      <c r="AF93" s="234">
        <f t="shared" si="45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 t="shared" si="46"/>
        <v>285.92571716160569</v>
      </c>
      <c r="AO93" s="95">
        <f t="shared" si="51"/>
        <v>2172.9908222466429</v>
      </c>
      <c r="AP93" s="96"/>
      <c r="AQ93" s="97">
        <f t="shared" si="7"/>
        <v>1283.03</v>
      </c>
      <c r="AR93" s="98">
        <f t="shared" si="29"/>
        <v>139.47</v>
      </c>
      <c r="AS93" s="98">
        <f t="shared" si="9"/>
        <v>486.97166666666652</v>
      </c>
      <c r="AT93" s="98">
        <f t="shared" si="10"/>
        <v>188.81428571428569</v>
      </c>
      <c r="AU93" s="98">
        <f t="shared" si="52"/>
        <v>0</v>
      </c>
      <c r="AV93" s="98">
        <f t="array" ref="AV93">_xlfn.IFS(U93=0,AO93,U93&lt;0,AO93/-U93,U93&gt;0,AO93/U93)</f>
        <v>362.16513704110713</v>
      </c>
      <c r="AW93" s="234">
        <f t="shared" si="38"/>
        <v>0.28227331944000306</v>
      </c>
      <c r="AX93" s="234">
        <f t="shared" si="39"/>
        <v>2.5967242922571674</v>
      </c>
      <c r="AY93" s="99"/>
      <c r="AZ93" s="94">
        <f t="shared" si="13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7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1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2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8"/>
        <v>1297</v>
      </c>
      <c r="AB94" s="92">
        <f t="shared" si="49"/>
        <v>0</v>
      </c>
      <c r="AC94" s="234">
        <f t="shared" si="43"/>
        <v>7.1238422825303007E-5</v>
      </c>
      <c r="AD94" s="92">
        <f t="shared" si="44"/>
        <v>400.08</v>
      </c>
      <c r="AE94" s="89">
        <f>'Юнит 10'!AE94+'Юнит 11'!AE94+'Юнит 12'!AE94+'Юнит 13'!AE94</f>
        <v>490.39</v>
      </c>
      <c r="AF94" s="234">
        <f t="shared" si="45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 t="shared" si="46"/>
        <v>46.324367553222586</v>
      </c>
      <c r="AO94" s="95">
        <f t="shared" si="51"/>
        <v>312.88563244677749</v>
      </c>
      <c r="AP94" s="96"/>
      <c r="AQ94" s="97">
        <f t="shared" si="7"/>
        <v>1297</v>
      </c>
      <c r="AR94" s="98">
        <f t="shared" si="29"/>
        <v>400.08</v>
      </c>
      <c r="AS94" s="98">
        <f t="shared" si="9"/>
        <v>490.39</v>
      </c>
      <c r="AT94" s="98">
        <f t="shared" si="10"/>
        <v>47.32</v>
      </c>
      <c r="AU94" s="98">
        <f t="shared" si="52"/>
        <v>0</v>
      </c>
      <c r="AV94" s="98">
        <f t="array" ref="AV94">_xlfn.IFS(U94=0,AO94,U94&lt;0,AO94/-U94,U94&gt;0,AO94/U94)</f>
        <v>312.88563244677749</v>
      </c>
      <c r="AW94" s="234">
        <f t="shared" si="38"/>
        <v>0.24123795870992867</v>
      </c>
      <c r="AX94" s="234">
        <f t="shared" si="39"/>
        <v>0.78205766958302714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7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1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2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8"/>
        <v>0</v>
      </c>
      <c r="AB95" s="92">
        <f t="shared" si="49"/>
        <v>0</v>
      </c>
      <c r="AC95" s="234">
        <f t="shared" si="43"/>
        <v>0</v>
      </c>
      <c r="AD95" s="92">
        <f t="shared" si="44"/>
        <v>0</v>
      </c>
      <c r="AE95" s="89">
        <f>'Юнит 10'!AE95+'Юнит 11'!AE95+'Юнит 12'!AE95+'Юнит 13'!AE95</f>
        <v>0</v>
      </c>
      <c r="AF95" s="234">
        <f t="shared" si="45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 t="shared" si="46"/>
        <v>0</v>
      </c>
      <c r="AO95" s="95">
        <f t="shared" si="51"/>
        <v>0</v>
      </c>
      <c r="AP95" s="96"/>
      <c r="AQ95" s="97">
        <f t="shared" si="7"/>
        <v>0</v>
      </c>
      <c r="AR95" s="98">
        <f t="shared" si="29"/>
        <v>400.08</v>
      </c>
      <c r="AS95" s="98">
        <f t="shared" si="9"/>
        <v>0</v>
      </c>
      <c r="AT95" s="98">
        <f t="shared" si="10"/>
        <v>0</v>
      </c>
      <c r="AU95" s="98">
        <f t="shared" si="52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7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1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2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8"/>
        <v>0</v>
      </c>
      <c r="AB96" s="92">
        <f t="shared" si="49"/>
        <v>0</v>
      </c>
      <c r="AC96" s="234">
        <f t="shared" si="43"/>
        <v>0</v>
      </c>
      <c r="AD96" s="92">
        <f t="shared" si="44"/>
        <v>0</v>
      </c>
      <c r="AE96" s="89">
        <f>'Юнит 10'!AE96+'Юнит 11'!AE96+'Юнит 12'!AE96+'Юнит 13'!AE96</f>
        <v>0</v>
      </c>
      <c r="AF96" s="234">
        <f t="shared" si="45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 t="shared" si="46"/>
        <v>0</v>
      </c>
      <c r="AO96" s="95">
        <f t="shared" si="51"/>
        <v>0</v>
      </c>
      <c r="AP96" s="96"/>
      <c r="AQ96" s="97">
        <f t="shared" si="7"/>
        <v>0</v>
      </c>
      <c r="AR96" s="98">
        <f t="shared" si="29"/>
        <v>300.08</v>
      </c>
      <c r="AS96" s="98">
        <f t="shared" si="9"/>
        <v>0</v>
      </c>
      <c r="AT96" s="98">
        <f t="shared" si="10"/>
        <v>0</v>
      </c>
      <c r="AU96" s="98">
        <f t="shared" si="52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50"/>
        <v>0.2857142857142857</v>
      </c>
      <c r="R97" s="92">
        <f t="shared" si="47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1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2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8"/>
        <v>2988</v>
      </c>
      <c r="AB97" s="92">
        <f t="shared" si="49"/>
        <v>42.251999999999995</v>
      </c>
      <c r="AC97" s="234">
        <f t="shared" si="43"/>
        <v>1.641175076345454E-4</v>
      </c>
      <c r="AD97" s="92">
        <f t="shared" si="44"/>
        <v>800.16</v>
      </c>
      <c r="AE97" s="89">
        <f>'Юнит 10'!AE97+'Юнит 11'!AE97+'Юнит 12'!AE97+'Юнит 13'!AE97</f>
        <v>1111.8899999999999</v>
      </c>
      <c r="AF97" s="234">
        <f t="shared" si="45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 t="shared" si="46"/>
        <v>104.92748313260054</v>
      </c>
      <c r="AO97" s="95">
        <f t="shared" si="51"/>
        <v>539.93161382471635</v>
      </c>
      <c r="AP97" s="96"/>
      <c r="AQ97" s="97">
        <f t="shared" si="7"/>
        <v>1494</v>
      </c>
      <c r="AR97" s="98">
        <f t="shared" si="29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52"/>
        <v>0</v>
      </c>
      <c r="AV97" s="98">
        <f t="array" ref="AV97">_xlfn.IFS(U97=0,AO97,U97&lt;0,AO97/-U97,U97&gt;0,AO97/U97)</f>
        <v>269.96580691235818</v>
      </c>
      <c r="AW97" s="234">
        <f t="shared" si="38"/>
        <v>0.18070000462674576</v>
      </c>
      <c r="AX97" s="234">
        <f t="shared" si="39"/>
        <v>0.67477956136862172</v>
      </c>
      <c r="AY97" s="99"/>
      <c r="AZ97" s="94">
        <f t="shared" si="13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50"/>
        <v>0.25</v>
      </c>
      <c r="R98" s="92">
        <f t="shared" si="47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1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2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8"/>
        <v>878</v>
      </c>
      <c r="AB98" s="92">
        <f t="shared" si="49"/>
        <v>14.048000000000002</v>
      </c>
      <c r="AC98" s="234">
        <f t="shared" si="43"/>
        <v>4.8224622390606044E-5</v>
      </c>
      <c r="AD98" s="92">
        <f t="shared" si="44"/>
        <v>300.08</v>
      </c>
      <c r="AE98" s="89">
        <f>'Юнит 10'!AE98+'Юнит 11'!AE98+'Юнит 12'!AE98+'Юнит 13'!AE98</f>
        <v>331.74</v>
      </c>
      <c r="AF98" s="234">
        <f t="shared" si="45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 t="shared" si="46"/>
        <v>31.031745011556332</v>
      </c>
      <c r="AO98" s="95">
        <f t="shared" si="51"/>
        <v>-260.99101731833474</v>
      </c>
      <c r="AP98" s="96"/>
      <c r="AQ98" s="97">
        <f t="shared" ref="AQ98:AQ103" si="53">IF(U98=0,0,AA98/U98)</f>
        <v>878</v>
      </c>
      <c r="AR98" s="98">
        <f t="shared" si="29"/>
        <v>300.08</v>
      </c>
      <c r="AS98" s="98">
        <f t="shared" ref="AS98:AS103" si="54">IF(U98=0,0,AE98/U98)</f>
        <v>331.74</v>
      </c>
      <c r="AT98" s="98">
        <f t="shared" ref="AT98:AT103" si="55">IF(S98=0,AG98/1,AG98/S98)</f>
        <v>429.5</v>
      </c>
      <c r="AU98" s="98">
        <f t="shared" si="52"/>
        <v>0</v>
      </c>
      <c r="AV98" s="98">
        <f t="array" ref="AV98">_xlfn.IFS(U98=0,AO98,U98&lt;0,AO98/-U98,U98&gt;0,AO98/U98)</f>
        <v>-260.99101731833474</v>
      </c>
      <c r="AW98" s="234">
        <f t="shared" si="38"/>
        <v>-0.29725628396165688</v>
      </c>
      <c r="AX98" s="234">
        <f t="shared" si="39"/>
        <v>-0.86973812756043312</v>
      </c>
      <c r="AY98" s="99"/>
      <c r="AZ98" s="94">
        <f t="shared" ref="AZ98:AZ103" si="56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7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7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1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2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8"/>
        <v>0</v>
      </c>
      <c r="AB99" s="92">
        <f t="shared" si="49"/>
        <v>0</v>
      </c>
      <c r="AC99" s="234">
        <f t="shared" si="43"/>
        <v>0</v>
      </c>
      <c r="AD99" s="92">
        <f t="shared" si="44"/>
        <v>0</v>
      </c>
      <c r="AE99" s="89">
        <f>'Юнит 10'!AE99+'Юнит 11'!AE99+'Юнит 12'!AE99+'Юнит 13'!AE99</f>
        <v>0</v>
      </c>
      <c r="AF99" s="234">
        <f t="shared" si="45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 t="shared" si="46"/>
        <v>0</v>
      </c>
      <c r="AO99" s="95">
        <f t="shared" si="51"/>
        <v>0</v>
      </c>
      <c r="AP99" s="96"/>
      <c r="AQ99" s="97">
        <f t="shared" si="53"/>
        <v>0</v>
      </c>
      <c r="AR99" s="98">
        <f t="shared" ref="AR99:AR103" si="58">K99</f>
        <v>142.97999999999999</v>
      </c>
      <c r="AS99" s="98">
        <f t="shared" si="54"/>
        <v>0</v>
      </c>
      <c r="AT99" s="98">
        <f t="shared" si="55"/>
        <v>0</v>
      </c>
      <c r="AU99" s="98">
        <f t="shared" si="52"/>
        <v>0</v>
      </c>
      <c r="AV99" s="98">
        <f t="array" ref="AV99">_xlfn.IFS(U99=0,AO99,U99&lt;0,AO99/-U99,U99&gt;0,AO99/U99)</f>
        <v>0</v>
      </c>
      <c r="AW99" s="234">
        <f t="shared" ref="AW99:AW103" si="59">IF(AQ99=0,0,AV99/AQ99)</f>
        <v>0</v>
      </c>
      <c r="AX99" s="234">
        <f t="shared" ref="AX99:AX103" si="60">IF(AR99=0,0,AV99/AR99)</f>
        <v>0</v>
      </c>
      <c r="AY99" s="99"/>
      <c r="AZ99" s="94">
        <f t="shared" si="56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7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50"/>
        <v>0.39130434782608697</v>
      </c>
      <c r="R100" s="92">
        <f t="shared" si="47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1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2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8"/>
        <v>13300</v>
      </c>
      <c r="AB100" s="92">
        <f t="shared" si="49"/>
        <v>150.489</v>
      </c>
      <c r="AC100" s="234">
        <f t="shared" si="43"/>
        <v>7.3050965580303011E-4</v>
      </c>
      <c r="AD100" s="92">
        <f t="shared" si="44"/>
        <v>1286.82</v>
      </c>
      <c r="AE100" s="89">
        <f>'Юнит 10'!AE100+'Юнит 11'!AE100+'Юнит 12'!AE100+'Юнит 13'!AE100</f>
        <v>5029.0499999999993</v>
      </c>
      <c r="AF100" s="234">
        <f t="shared" si="45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 t="shared" si="46"/>
        <v>475.52242355838121</v>
      </c>
      <c r="AO100" s="95">
        <f t="shared" si="51"/>
        <v>484.09433441822603</v>
      </c>
      <c r="AP100" s="96"/>
      <c r="AQ100" s="97">
        <f t="shared" si="53"/>
        <v>1477.7777777777778</v>
      </c>
      <c r="AR100" s="98">
        <f t="shared" si="58"/>
        <v>142.97999999999999</v>
      </c>
      <c r="AS100" s="98">
        <f t="shared" si="54"/>
        <v>558.7833333333333</v>
      </c>
      <c r="AT100" s="98">
        <f t="shared" si="55"/>
        <v>151.12888888888887</v>
      </c>
      <c r="AU100" s="98">
        <f t="shared" si="52"/>
        <v>500</v>
      </c>
      <c r="AV100" s="98">
        <f t="array" ref="AV100">_xlfn.IFS(U100=0,AO100,U100&lt;0,AO100/-U100,U100&gt;0,AO100/U100)</f>
        <v>53.788259379802895</v>
      </c>
      <c r="AW100" s="234">
        <f t="shared" si="59"/>
        <v>3.6398070257009474E-2</v>
      </c>
      <c r="AX100" s="234">
        <f t="shared" si="60"/>
        <v>0.37619428857044973</v>
      </c>
      <c r="AY100" s="99"/>
      <c r="AZ100" s="94">
        <f t="shared" si="56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7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7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1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2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8"/>
        <v>0</v>
      </c>
      <c r="AB101" s="92">
        <f t="shared" si="49"/>
        <v>0</v>
      </c>
      <c r="AC101" s="234">
        <f t="shared" si="43"/>
        <v>0</v>
      </c>
      <c r="AD101" s="92">
        <f t="shared" si="44"/>
        <v>0</v>
      </c>
      <c r="AE101" s="89">
        <f>'Юнит 10'!AE101+'Юнит 11'!AE101+'Юнит 12'!AE101+'Юнит 13'!AE101</f>
        <v>0</v>
      </c>
      <c r="AF101" s="234">
        <f t="shared" si="45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 t="shared" si="46"/>
        <v>0</v>
      </c>
      <c r="AO101" s="95">
        <f t="shared" si="51"/>
        <v>0</v>
      </c>
      <c r="AP101" s="96"/>
      <c r="AQ101" s="97">
        <f t="shared" si="53"/>
        <v>0</v>
      </c>
      <c r="AR101" s="98">
        <f t="shared" si="58"/>
        <v>123.09</v>
      </c>
      <c r="AS101" s="98">
        <f t="shared" si="54"/>
        <v>0</v>
      </c>
      <c r="AT101" s="98">
        <f t="shared" si="55"/>
        <v>0</v>
      </c>
      <c r="AU101" s="98">
        <f t="shared" si="52"/>
        <v>0</v>
      </c>
      <c r="AV101" s="98">
        <f t="array" ref="AV101">_xlfn.IFS(U101=0,AO101,U101&lt;0,AO101/-U101,U101&gt;0,AO101/U101)</f>
        <v>0</v>
      </c>
      <c r="AW101" s="234">
        <f t="shared" si="59"/>
        <v>0</v>
      </c>
      <c r="AX101" s="234">
        <f t="shared" si="60"/>
        <v>0</v>
      </c>
      <c r="AY101" s="99"/>
      <c r="AZ101" s="94">
        <f t="shared" si="5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7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50"/>
        <v>0.29530201342281881</v>
      </c>
      <c r="R102" s="92">
        <f t="shared" si="47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1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2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8"/>
        <v>57200.2</v>
      </c>
      <c r="AB102" s="92">
        <f t="shared" si="49"/>
        <v>716.69</v>
      </c>
      <c r="AC102" s="234">
        <f t="shared" si="43"/>
        <v>3.1417517604409384E-3</v>
      </c>
      <c r="AD102" s="92">
        <f t="shared" si="44"/>
        <v>5415.96</v>
      </c>
      <c r="AE102" s="89">
        <f>'Юнит 10'!AE102+'Юнит 11'!AE102+'Юнит 12'!AE102+'Юнит 13'!AE102</f>
        <v>21585.8</v>
      </c>
      <c r="AF102" s="234">
        <f t="shared" si="45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 t="shared" si="46"/>
        <v>2127.917079181113</v>
      </c>
      <c r="AO102" s="95">
        <f t="shared" si="51"/>
        <v>2480.8153058312373</v>
      </c>
      <c r="AP102" s="96"/>
      <c r="AQ102" s="97">
        <f t="shared" si="53"/>
        <v>1300.0045454545455</v>
      </c>
      <c r="AR102" s="98">
        <f t="shared" si="58"/>
        <v>123.09</v>
      </c>
      <c r="AS102" s="98">
        <f t="shared" si="54"/>
        <v>490.58636363636361</v>
      </c>
      <c r="AT102" s="98">
        <f t="shared" si="55"/>
        <v>179.85956521739129</v>
      </c>
      <c r="AU102" s="98">
        <f t="shared" si="52"/>
        <v>372.23913043478262</v>
      </c>
      <c r="AV102" s="98">
        <f t="array" ref="AV102">_xlfn.IFS(U102=0,AO102,U102&lt;0,AO102/-U102,U102&gt;0,AO102/U102)</f>
        <v>56.38216604161903</v>
      </c>
      <c r="AW102" s="234">
        <f t="shared" si="59"/>
        <v>4.337074530912894E-2</v>
      </c>
      <c r="AX102" s="234">
        <f t="shared" si="60"/>
        <v>0.45805643059240414</v>
      </c>
      <c r="AY102" s="99"/>
      <c r="AZ102" s="94">
        <f t="shared" si="56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7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7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1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2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8"/>
        <v>0</v>
      </c>
      <c r="AB103" s="92">
        <f t="shared" si="49"/>
        <v>0</v>
      </c>
      <c r="AC103" s="234">
        <f t="shared" si="43"/>
        <v>0</v>
      </c>
      <c r="AD103" s="92">
        <f t="shared" si="44"/>
        <v>0</v>
      </c>
      <c r="AE103" s="89">
        <f>'Юнит 10'!AE103+'Юнит 11'!AE103+'Юнит 12'!AE103+'Юнит 13'!AE103</f>
        <v>0</v>
      </c>
      <c r="AF103" s="234">
        <f t="shared" si="45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 t="shared" si="46"/>
        <v>0</v>
      </c>
      <c r="AO103" s="95">
        <f t="shared" si="51"/>
        <v>0</v>
      </c>
      <c r="AP103" s="96"/>
      <c r="AQ103" s="97">
        <f t="shared" si="53"/>
        <v>0</v>
      </c>
      <c r="AR103" s="98">
        <f t="shared" si="58"/>
        <v>107.88</v>
      </c>
      <c r="AS103" s="98">
        <f t="shared" si="54"/>
        <v>0</v>
      </c>
      <c r="AT103" s="98">
        <f t="shared" si="55"/>
        <v>0</v>
      </c>
      <c r="AU103" s="98">
        <f t="shared" si="52"/>
        <v>0</v>
      </c>
      <c r="AV103" s="98">
        <f t="array" ref="AV103">_xlfn.IFS(U103=0,AO103,U103&lt;0,AO103/-U103,U103&gt;0,AO103/U103)</f>
        <v>0</v>
      </c>
      <c r="AW103" s="234">
        <f t="shared" si="59"/>
        <v>0</v>
      </c>
      <c r="AX103" s="234">
        <f t="shared" si="60"/>
        <v>0</v>
      </c>
      <c r="AY103" s="99"/>
      <c r="AZ103" s="94">
        <f t="shared" si="5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1">AVERAGE(AQ7:AQ98)</f>
        <v>856.6107474160284</v>
      </c>
      <c r="AR104" s="111">
        <f t="shared" si="61"/>
        <v>141.22217391304349</v>
      </c>
      <c r="AS104" s="111">
        <f t="shared" si="61"/>
        <v>323.04147902601778</v>
      </c>
      <c r="AT104" s="111">
        <f t="shared" si="61"/>
        <v>196.02642985629498</v>
      </c>
      <c r="AU104" s="111">
        <f t="shared" si="61"/>
        <v>180.06933909375516</v>
      </c>
      <c r="AV104" s="111">
        <f t="shared" si="61"/>
        <v>-28.885093674304091</v>
      </c>
      <c r="AW104" s="112">
        <f t="shared" si="61"/>
        <v>6.4587101573854722E-3</v>
      </c>
      <c r="AX104" s="112">
        <f t="shared" si="61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2">SUM(E3:E103)</f>
        <v>91055</v>
      </c>
      <c r="F105" s="116">
        <f t="shared" si="62"/>
        <v>3894</v>
      </c>
      <c r="G105" s="116">
        <f t="shared" si="62"/>
        <v>1299</v>
      </c>
      <c r="H105" s="116">
        <f t="shared" si="62"/>
        <v>9557</v>
      </c>
      <c r="I105" s="116">
        <f t="shared" si="62"/>
        <v>1461</v>
      </c>
      <c r="J105" s="116">
        <f t="shared" si="62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3">SUM(S3:S103)</f>
        <v>13213</v>
      </c>
      <c r="T105" s="116">
        <f t="shared" si="63"/>
        <v>-304</v>
      </c>
      <c r="U105" s="116">
        <f t="shared" si="63"/>
        <v>12909</v>
      </c>
      <c r="V105" s="116">
        <f t="shared" si="63"/>
        <v>12210305.429999998</v>
      </c>
      <c r="W105" s="116">
        <f t="shared" si="63"/>
        <v>-273683.21999999997</v>
      </c>
      <c r="X105" s="116">
        <f t="shared" si="63"/>
        <v>11936622.209999999</v>
      </c>
      <c r="Y105" s="116">
        <f t="shared" si="63"/>
        <v>18627467.790000003</v>
      </c>
      <c r="Z105" s="116">
        <f t="shared" si="63"/>
        <v>-421000.7099999999</v>
      </c>
      <c r="AA105" s="238">
        <f t="shared" si="63"/>
        <v>18206467.080000002</v>
      </c>
      <c r="AB105" s="116">
        <f t="shared" si="63"/>
        <v>201352.66159999985</v>
      </c>
      <c r="AC105" s="239">
        <f t="shared" si="63"/>
        <v>1</v>
      </c>
      <c r="AD105" s="117">
        <f t="shared" si="63"/>
        <v>1602704.03</v>
      </c>
      <c r="AE105" s="116">
        <f t="shared" si="63"/>
        <v>6851388.7999999989</v>
      </c>
      <c r="AF105" s="239">
        <f>AE105/AA105</f>
        <v>0.3763162160947921</v>
      </c>
      <c r="AG105" s="116">
        <f t="shared" ref="AG105:AO105" si="64">SUM(AG3:AG103)</f>
        <v>1746311.8200000022</v>
      </c>
      <c r="AH105" s="117">
        <f t="shared" si="64"/>
        <v>515858</v>
      </c>
      <c r="AI105" s="117">
        <f t="shared" si="64"/>
        <v>1364049</v>
      </c>
      <c r="AJ105" s="117">
        <f t="shared" si="64"/>
        <v>46</v>
      </c>
      <c r="AK105" s="117">
        <f t="shared" si="64"/>
        <v>0</v>
      </c>
      <c r="AL105" s="117">
        <f t="shared" si="64"/>
        <v>36082.619999999988</v>
      </c>
      <c r="AM105" s="116">
        <f t="shared" si="64"/>
        <v>899</v>
      </c>
      <c r="AN105" s="117">
        <f t="shared" si="64"/>
        <v>666212.61999999976</v>
      </c>
      <c r="AO105" s="117">
        <f t="shared" si="64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591"/>
      <c r="AI106" s="59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5">AVERAGE(AS107:AS111)</f>
        <v>#DIV/0!</v>
      </c>
      <c r="AT112" s="245" t="e">
        <f t="shared" si="65"/>
        <v>#DIV/0!</v>
      </c>
      <c r="AU112" s="245" t="e">
        <f t="shared" si="65"/>
        <v>#DIV/0!</v>
      </c>
      <c r="AV112" s="245" t="e">
        <f t="shared" si="65"/>
        <v>#DIV/0!</v>
      </c>
      <c r="AW112" s="246" t="e">
        <f t="shared" si="65"/>
        <v>#DIV/0!</v>
      </c>
      <c r="AX112" s="246" t="e">
        <f t="shared" si="65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6">SUM(E107:E111)</f>
        <v>0</v>
      </c>
      <c r="F113" s="249">
        <f t="shared" si="66"/>
        <v>0</v>
      </c>
      <c r="G113" s="249">
        <f t="shared" si="66"/>
        <v>0</v>
      </c>
      <c r="H113" s="249">
        <f t="shared" si="66"/>
        <v>0</v>
      </c>
      <c r="I113" s="249">
        <f t="shared" si="66"/>
        <v>0</v>
      </c>
      <c r="J113" s="249">
        <f t="shared" si="66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7">SUM(S107:S111)</f>
        <v>0</v>
      </c>
      <c r="T113" s="249">
        <f t="shared" si="67"/>
        <v>0</v>
      </c>
      <c r="U113" s="249">
        <f t="shared" si="67"/>
        <v>0</v>
      </c>
      <c r="V113" s="249">
        <f t="shared" si="67"/>
        <v>0</v>
      </c>
      <c r="W113" s="249">
        <f t="shared" si="67"/>
        <v>0</v>
      </c>
      <c r="X113" s="249">
        <f t="shared" si="67"/>
        <v>0</v>
      </c>
      <c r="Y113" s="249">
        <f t="shared" si="67"/>
        <v>0</v>
      </c>
      <c r="Z113" s="249">
        <f t="shared" si="67"/>
        <v>0</v>
      </c>
      <c r="AA113" s="250">
        <f t="shared" si="67"/>
        <v>0</v>
      </c>
      <c r="AB113" s="249">
        <f t="shared" si="67"/>
        <v>0</v>
      </c>
      <c r="AC113" s="252">
        <f t="shared" si="67"/>
        <v>0</v>
      </c>
      <c r="AD113" s="253">
        <f t="shared" si="67"/>
        <v>0</v>
      </c>
      <c r="AE113" s="249">
        <f t="shared" si="67"/>
        <v>0</v>
      </c>
      <c r="AF113" s="252" t="e">
        <f>AE113/AA113</f>
        <v>#DIV/0!</v>
      </c>
      <c r="AG113" s="249">
        <f t="shared" ref="AG113:AO113" si="68">SUM(AG107:AG111)</f>
        <v>0</v>
      </c>
      <c r="AH113" s="253">
        <f t="shared" si="68"/>
        <v>0</v>
      </c>
      <c r="AI113" s="253">
        <f t="shared" si="68"/>
        <v>0</v>
      </c>
      <c r="AJ113" s="253">
        <f t="shared" si="68"/>
        <v>0</v>
      </c>
      <c r="AK113" s="253">
        <f t="shared" si="68"/>
        <v>0</v>
      </c>
      <c r="AL113" s="253">
        <f t="shared" si="68"/>
        <v>0</v>
      </c>
      <c r="AM113" s="249">
        <f t="shared" si="68"/>
        <v>0</v>
      </c>
      <c r="AN113" s="253">
        <f t="shared" si="68"/>
        <v>0</v>
      </c>
      <c r="AO113" s="253">
        <f t="shared" si="68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592"/>
      <c r="AI114" s="59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9">AVERAGE(AQ115:AQ122)</f>
        <v>#DIV/0!</v>
      </c>
      <c r="AR123" s="130" t="e">
        <f t="shared" si="69"/>
        <v>#DIV/0!</v>
      </c>
      <c r="AS123" s="130" t="e">
        <f t="shared" si="69"/>
        <v>#DIV/0!</v>
      </c>
      <c r="AT123" s="130" t="e">
        <f t="shared" si="69"/>
        <v>#DIV/0!</v>
      </c>
      <c r="AU123" s="130" t="e">
        <f t="shared" si="69"/>
        <v>#DIV/0!</v>
      </c>
      <c r="AV123" s="130" t="e">
        <f t="shared" si="69"/>
        <v>#DIV/0!</v>
      </c>
      <c r="AW123" s="131" t="e">
        <f t="shared" si="69"/>
        <v>#DIV/0!</v>
      </c>
      <c r="AX123" s="131" t="e">
        <f t="shared" si="69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0">SUM(E115:E122)</f>
        <v>0</v>
      </c>
      <c r="F124" s="134">
        <f t="shared" si="70"/>
        <v>0</v>
      </c>
      <c r="G124" s="134">
        <f t="shared" si="70"/>
        <v>0</v>
      </c>
      <c r="H124" s="134">
        <f t="shared" si="70"/>
        <v>0</v>
      </c>
      <c r="I124" s="134">
        <f t="shared" si="70"/>
        <v>0</v>
      </c>
      <c r="J124" s="134">
        <f t="shared" si="70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1">SUM(S115:S122)</f>
        <v>0</v>
      </c>
      <c r="T124" s="134">
        <f t="shared" si="71"/>
        <v>0</v>
      </c>
      <c r="U124" s="134">
        <f t="shared" si="71"/>
        <v>0</v>
      </c>
      <c r="V124" s="134">
        <f t="shared" si="71"/>
        <v>0</v>
      </c>
      <c r="W124" s="134">
        <f t="shared" si="71"/>
        <v>0</v>
      </c>
      <c r="X124" s="134">
        <f t="shared" si="71"/>
        <v>0</v>
      </c>
      <c r="Y124" s="134">
        <f t="shared" si="71"/>
        <v>0</v>
      </c>
      <c r="Z124" s="134">
        <f t="shared" si="71"/>
        <v>0</v>
      </c>
      <c r="AA124" s="264">
        <f t="shared" si="71"/>
        <v>0</v>
      </c>
      <c r="AB124" s="134">
        <f t="shared" si="71"/>
        <v>0</v>
      </c>
      <c r="AC124" s="265">
        <f t="shared" si="71"/>
        <v>0</v>
      </c>
      <c r="AD124" s="135">
        <f t="shared" si="71"/>
        <v>0</v>
      </c>
      <c r="AE124" s="134">
        <f t="shared" si="71"/>
        <v>0</v>
      </c>
      <c r="AF124" s="265" t="e">
        <f>AE124/AA124</f>
        <v>#DIV/0!</v>
      </c>
      <c r="AG124" s="134">
        <f t="shared" ref="AG124:AO124" si="72">SUM(AG115:AG122)</f>
        <v>0</v>
      </c>
      <c r="AH124" s="134">
        <f t="shared" si="72"/>
        <v>0</v>
      </c>
      <c r="AI124" s="134">
        <f t="shared" si="72"/>
        <v>0</v>
      </c>
      <c r="AJ124" s="134">
        <f t="shared" si="72"/>
        <v>0</v>
      </c>
      <c r="AK124" s="134">
        <f t="shared" si="72"/>
        <v>0</v>
      </c>
      <c r="AL124" s="136">
        <f t="shared" si="72"/>
        <v>0</v>
      </c>
      <c r="AM124" s="134">
        <f t="shared" si="72"/>
        <v>0</v>
      </c>
      <c r="AN124" s="134">
        <f t="shared" si="72"/>
        <v>0</v>
      </c>
      <c r="AO124" s="134">
        <f t="shared" si="7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3">E105+E113+E124</f>
        <v>91055</v>
      </c>
      <c r="F126" s="267">
        <f t="shared" si="73"/>
        <v>3894</v>
      </c>
      <c r="G126" s="267">
        <f t="shared" si="73"/>
        <v>1299</v>
      </c>
      <c r="H126" s="267">
        <f t="shared" si="73"/>
        <v>9557</v>
      </c>
      <c r="I126" s="267">
        <f t="shared" si="73"/>
        <v>1461</v>
      </c>
      <c r="J126" s="267">
        <f t="shared" si="73"/>
        <v>74844</v>
      </c>
      <c r="K126" s="267">
        <f t="shared" si="73"/>
        <v>0</v>
      </c>
      <c r="L126" s="267">
        <f t="shared" si="73"/>
        <v>11268240.420000004</v>
      </c>
      <c r="M126" s="267">
        <f t="shared" si="73"/>
        <v>0</v>
      </c>
      <c r="N126" s="267">
        <f t="shared" si="73"/>
        <v>25647</v>
      </c>
      <c r="O126" s="267">
        <f t="shared" si="73"/>
        <v>0</v>
      </c>
      <c r="P126" s="267">
        <f t="shared" si="73"/>
        <v>0</v>
      </c>
      <c r="Q126" s="215">
        <f t="shared" si="73"/>
        <v>0</v>
      </c>
      <c r="R126" s="267">
        <f t="shared" si="73"/>
        <v>0</v>
      </c>
      <c r="S126" s="267">
        <f t="shared" si="73"/>
        <v>13213</v>
      </c>
      <c r="T126" s="267">
        <f t="shared" si="73"/>
        <v>-304</v>
      </c>
      <c r="U126" s="267">
        <f t="shared" si="73"/>
        <v>12909</v>
      </c>
      <c r="V126" s="267">
        <f t="shared" si="73"/>
        <v>12210305.429999998</v>
      </c>
      <c r="W126" s="267">
        <f t="shared" si="73"/>
        <v>-273683.21999999997</v>
      </c>
      <c r="X126" s="267">
        <f t="shared" si="73"/>
        <v>11936622.209999999</v>
      </c>
      <c r="Y126" s="267">
        <f t="shared" si="73"/>
        <v>18627467.790000003</v>
      </c>
      <c r="Z126" s="267">
        <f t="shared" si="73"/>
        <v>-421000.7099999999</v>
      </c>
      <c r="AA126" s="267">
        <f t="shared" si="73"/>
        <v>18206467.080000002</v>
      </c>
      <c r="AB126" s="267">
        <f t="shared" si="73"/>
        <v>201352.66159999985</v>
      </c>
      <c r="AC126" s="267">
        <f t="shared" si="73"/>
        <v>1</v>
      </c>
      <c r="AD126" s="267">
        <f t="shared" si="73"/>
        <v>1602704.03</v>
      </c>
      <c r="AE126" s="267">
        <f t="shared" si="73"/>
        <v>6851388.7999999989</v>
      </c>
      <c r="AF126" s="268">
        <f>AE126/AA126</f>
        <v>0.3763162160947921</v>
      </c>
      <c r="AG126" s="267">
        <f t="shared" ref="AG126:AO126" si="74">AG105+AG113+AG124</f>
        <v>1746311.8200000022</v>
      </c>
      <c r="AH126" s="267">
        <f t="shared" si="74"/>
        <v>515858</v>
      </c>
      <c r="AI126" s="267">
        <f t="shared" si="74"/>
        <v>1364049</v>
      </c>
      <c r="AJ126" s="267">
        <f t="shared" si="74"/>
        <v>46</v>
      </c>
      <c r="AK126" s="267">
        <f t="shared" si="74"/>
        <v>0</v>
      </c>
      <c r="AL126" s="267">
        <f t="shared" si="74"/>
        <v>36082.619999999988</v>
      </c>
      <c r="AM126" s="267">
        <f t="shared" si="74"/>
        <v>899</v>
      </c>
      <c r="AN126" s="267">
        <f t="shared" si="74"/>
        <v>666212.61999999976</v>
      </c>
      <c r="AO126" s="267">
        <f t="shared" si="74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Сводная!AF45+Сводная!T45+Сводная!V45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sheetPr codeName="Лист31"/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50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49"/>
      <c r="AL1" s="351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sheetPr codeName="Лист32"/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50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49"/>
      <c r="AL1" s="351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sheetPr codeName="Лист33"/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50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49"/>
      <c r="AL1" s="351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sheetPr codeName="Лист34"/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350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349"/>
      <c r="AL1" s="351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94"/>
      <c r="AI125" s="594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4">
        <f>AH106+AH114+AH125</f>
        <v>0</v>
      </c>
      <c r="AI127" s="594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sheetPr codeName="Лист35"/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99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301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95"/>
      <c r="AL1" s="300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 t="shared" ref="AN3:AN34" si="8"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9">IF(U3=0,0,AA3/U3)</f>
        <v>1355.1211490683229</v>
      </c>
      <c r="AR3" s="98">
        <f t="shared" ref="AR3:AR19" si="10">K3</f>
        <v>142.97999999999999</v>
      </c>
      <c r="AS3" s="98">
        <f t="shared" ref="AS3:AS97" si="11">IF(U3=0,0,AE3/U3)</f>
        <v>504.59409937888194</v>
      </c>
      <c r="AT3" s="98">
        <f t="shared" ref="AT3:AT97" si="12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3">IF(AQ3=0,0,AV3/AQ3)</f>
        <v>0.12409475680606842</v>
      </c>
      <c r="AX3" s="234">
        <f t="shared" ref="AX3" si="14">IF(AR3=0,0,AV3/AR3)</f>
        <v>1.1761325320771685</v>
      </c>
      <c r="AY3" s="99"/>
      <c r="AZ3" s="94">
        <f t="shared" ref="AZ3:AZ97" si="15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6">N4/32</f>
        <v>91.3125</v>
      </c>
      <c r="R4" s="92">
        <f t="shared" ref="R4:R67" si="17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8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si="8"/>
        <v>66896.062043626545</v>
      </c>
      <c r="AO4" s="95">
        <f>AA4-AD4-AE4-AG4-AH4-AI4-AK4-AL4-AN4-AM4</f>
        <v>643503.30795637285</v>
      </c>
      <c r="AP4" s="96"/>
      <c r="AQ4" s="97">
        <f t="shared" si="9"/>
        <v>937.79372872614772</v>
      </c>
      <c r="AR4" s="98">
        <f t="shared" si="10"/>
        <v>123.09</v>
      </c>
      <c r="AS4" s="98">
        <f t="shared" si="11"/>
        <v>350.58998968540516</v>
      </c>
      <c r="AT4" s="98">
        <f t="shared" si="12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5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6"/>
        <v>23.75</v>
      </c>
      <c r="R5" s="92">
        <f t="shared" si="17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8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8"/>
        <v>19790.026837968588</v>
      </c>
      <c r="AO5" s="95">
        <f t="shared" ref="AO5:AO68" si="20">AA5-AD5-AE5-AG5-AH5-AI5-AK5-AL5-AN5-AM5</f>
        <v>159862.09316203141</v>
      </c>
      <c r="AP5" s="96"/>
      <c r="AQ5" s="97">
        <f t="shared" si="9"/>
        <v>1081.0946332046333</v>
      </c>
      <c r="AR5" s="98">
        <f t="shared" si="10"/>
        <v>123.09</v>
      </c>
      <c r="AS5" s="98">
        <f t="shared" si="11"/>
        <v>402.4352123552124</v>
      </c>
      <c r="AT5" s="98">
        <f t="shared" si="12"/>
        <v>86.852748091602962</v>
      </c>
      <c r="AU5" s="98">
        <f t="shared" si="19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5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6"/>
        <v>19.125</v>
      </c>
      <c r="R6" s="92">
        <f t="shared" si="17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8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8"/>
        <v>15861.76638676221</v>
      </c>
      <c r="AO6" s="95">
        <f t="shared" si="20"/>
        <v>119045.11361323786</v>
      </c>
      <c r="AP6" s="96"/>
      <c r="AQ6" s="97">
        <f t="shared" si="9"/>
        <v>986.28149659863948</v>
      </c>
      <c r="AR6" s="98">
        <f t="shared" si="10"/>
        <v>123.09</v>
      </c>
      <c r="AS6" s="98">
        <f t="shared" si="11"/>
        <v>368.79045351473917</v>
      </c>
      <c r="AT6" s="98">
        <f t="shared" si="12"/>
        <v>87.579601769911449</v>
      </c>
      <c r="AU6" s="98">
        <f t="shared" si="19"/>
        <v>96.278761061946909</v>
      </c>
      <c r="AV6" s="98">
        <f t="array" ref="AV6">_xlfn.IFS(U6=0,AO6,U6&lt;0,AO6/-U6,U6&gt;0,AO6/U6)</f>
        <v>269.94356828398605</v>
      </c>
      <c r="AW6" s="234">
        <f t="shared" ref="AW6" si="23">IF(AQ6=0,0,AV6/AQ6)</f>
        <v>0.27369829933435091</v>
      </c>
      <c r="AX6" s="234">
        <f t="shared" ref="AX6" si="24">IF(AR6=0,0,AV6/AR6)</f>
        <v>2.193058479843903</v>
      </c>
      <c r="AY6" s="99"/>
      <c r="AZ6" s="94">
        <f t="shared" si="15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6"/>
        <v>31.53125</v>
      </c>
      <c r="R7" s="92">
        <f t="shared" si="17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8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8"/>
        <v>25007.677983081438</v>
      </c>
      <c r="AO7" s="95">
        <f t="shared" si="20"/>
        <v>191057.33201691858</v>
      </c>
      <c r="AP7" s="96"/>
      <c r="AQ7" s="97">
        <f t="shared" si="9"/>
        <v>1117.8577564102563</v>
      </c>
      <c r="AR7" s="98">
        <f t="shared" si="10"/>
        <v>117.24</v>
      </c>
      <c r="AS7" s="98">
        <f t="shared" si="11"/>
        <v>416.71775641025641</v>
      </c>
      <c r="AT7" s="98">
        <f t="shared" si="12"/>
        <v>95.857171874999949</v>
      </c>
      <c r="AU7" s="98">
        <f t="shared" si="19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5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6"/>
        <v>14.5625</v>
      </c>
      <c r="R8" s="92">
        <f t="shared" si="17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8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8"/>
        <v>11038.522299597764</v>
      </c>
      <c r="AO8" s="95">
        <f t="shared" si="20"/>
        <v>55795.717700402165</v>
      </c>
      <c r="AP8" s="96"/>
      <c r="AQ8" s="97">
        <f t="shared" si="9"/>
        <v>1302.4124686192467</v>
      </c>
      <c r="AR8" s="98">
        <f t="shared" si="10"/>
        <v>169.89</v>
      </c>
      <c r="AS8" s="98">
        <f t="shared" si="11"/>
        <v>484.94384937238493</v>
      </c>
      <c r="AT8" s="98">
        <f t="shared" si="12"/>
        <v>145.46522633744851</v>
      </c>
      <c r="AU8" s="98">
        <f t="shared" si="19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5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6"/>
        <v>31.03125</v>
      </c>
      <c r="R9" s="92">
        <f t="shared" si="17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8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8"/>
        <v>23373.843448244224</v>
      </c>
      <c r="AO9" s="95">
        <f t="shared" si="20"/>
        <v>153190.33655175584</v>
      </c>
      <c r="AP9" s="96"/>
      <c r="AQ9" s="97">
        <f t="shared" si="9"/>
        <v>1361.1092355371902</v>
      </c>
      <c r="AR9" s="98">
        <f t="shared" si="10"/>
        <v>123.09</v>
      </c>
      <c r="AS9" s="98">
        <f t="shared" si="11"/>
        <v>506.56690082644639</v>
      </c>
      <c r="AT9" s="98">
        <f t="shared" si="12"/>
        <v>136.71780684104615</v>
      </c>
      <c r="AU9" s="98">
        <f t="shared" si="19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5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6"/>
        <v>29.4375</v>
      </c>
      <c r="R10" s="92">
        <f t="shared" si="17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8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8"/>
        <v>19854.814225977992</v>
      </c>
      <c r="AO10" s="95">
        <f t="shared" si="20"/>
        <v>105560.49577402213</v>
      </c>
      <c r="AP10" s="96"/>
      <c r="AQ10" s="97">
        <f t="shared" si="9"/>
        <v>975.12087344028532</v>
      </c>
      <c r="AR10" s="98">
        <f t="shared" si="10"/>
        <v>123.09</v>
      </c>
      <c r="AS10" s="98">
        <f t="shared" si="11"/>
        <v>365.20055258467028</v>
      </c>
      <c r="AT10" s="98">
        <f t="shared" si="12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5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6"/>
        <v>10.96875</v>
      </c>
      <c r="R11" s="92">
        <f t="shared" si="17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8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8"/>
        <v>8434.6955753990187</v>
      </c>
      <c r="AO11" s="95">
        <f t="shared" si="20"/>
        <v>66371.194424600995</v>
      </c>
      <c r="AP11" s="96"/>
      <c r="AQ11" s="97">
        <f t="shared" si="9"/>
        <v>1201.712110552764</v>
      </c>
      <c r="AR11" s="98">
        <f t="shared" si="10"/>
        <v>123.09</v>
      </c>
      <c r="AS11" s="98">
        <f t="shared" si="11"/>
        <v>446.33175879396993</v>
      </c>
      <c r="AT11" s="98">
        <f t="shared" si="12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7">IF(AQ11=0,0,AV11/AQ11)</f>
        <v>0.2775403419376023</v>
      </c>
      <c r="AX11" s="234">
        <f t="shared" ref="AX11:AX28" si="28">IF(AR11=0,0,AV11/AR11)</f>
        <v>2.7095912752731484</v>
      </c>
      <c r="AY11" s="99"/>
      <c r="AZ11" s="94">
        <f t="shared" si="15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6"/>
        <v>17.15625</v>
      </c>
      <c r="R12" s="92">
        <f t="shared" si="17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8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8"/>
        <v>10792.889795225279</v>
      </c>
      <c r="AO12" s="95">
        <f t="shared" si="20"/>
        <v>68578.960204774747</v>
      </c>
      <c r="AP12" s="96"/>
      <c r="AQ12" s="97">
        <f t="shared" si="9"/>
        <v>1191.9357198443579</v>
      </c>
      <c r="AR12" s="98">
        <f t="shared" si="10"/>
        <v>117.24</v>
      </c>
      <c r="AS12" s="98">
        <f t="shared" si="11"/>
        <v>445.5024513618676</v>
      </c>
      <c r="AT12" s="98">
        <f t="shared" si="12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266.84420313141925</v>
      </c>
      <c r="AW12" s="234">
        <f t="shared" si="27"/>
        <v>0.22387465925281907</v>
      </c>
      <c r="AX12" s="234">
        <f t="shared" si="28"/>
        <v>2.2760508626016653</v>
      </c>
      <c r="AY12" s="99"/>
      <c r="AZ12" s="94">
        <f t="shared" si="15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6"/>
        <v>20.71875</v>
      </c>
      <c r="R13" s="92">
        <f t="shared" si="17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8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8"/>
        <v>14129.935221529502</v>
      </c>
      <c r="AO13" s="95">
        <f t="shared" si="20"/>
        <v>75884.22477847054</v>
      </c>
      <c r="AP13" s="96"/>
      <c r="AQ13" s="97">
        <f t="shared" si="9"/>
        <v>1374.0964948453609</v>
      </c>
      <c r="AR13" s="98">
        <f t="shared" si="10"/>
        <v>123.09</v>
      </c>
      <c r="AS13" s="98">
        <f t="shared" si="11"/>
        <v>513.08841924398621</v>
      </c>
      <c r="AT13" s="98">
        <f t="shared" si="12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260.77053188477851</v>
      </c>
      <c r="AW13" s="234">
        <f t="shared" si="27"/>
        <v>0.18977599670984191</v>
      </c>
      <c r="AX13" s="234">
        <f t="shared" si="28"/>
        <v>2.1185354771693761</v>
      </c>
      <c r="AY13" s="99"/>
      <c r="AZ13" s="94">
        <f t="shared" si="15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6"/>
        <v>7</v>
      </c>
      <c r="R14" s="92">
        <f t="shared" si="17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8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8"/>
        <v>4832.8358344961662</v>
      </c>
      <c r="AO14" s="95">
        <f t="shared" si="20"/>
        <v>27098.134165503841</v>
      </c>
      <c r="AP14" s="96"/>
      <c r="AQ14" s="97">
        <f t="shared" si="9"/>
        <v>1031.3033333333333</v>
      </c>
      <c r="AR14" s="98">
        <f t="shared" si="10"/>
        <v>123.09</v>
      </c>
      <c r="AS14" s="98">
        <f t="shared" si="11"/>
        <v>386.5260465116279</v>
      </c>
      <c r="AT14" s="98">
        <f t="shared" si="12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210.06305554654139</v>
      </c>
      <c r="AW14" s="234">
        <f t="shared" si="27"/>
        <v>0.20368697429454127</v>
      </c>
      <c r="AX14" s="234">
        <f t="shared" si="28"/>
        <v>1.7065810020841774</v>
      </c>
      <c r="AY14" s="99"/>
      <c r="AZ14" s="94">
        <f t="shared" si="15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6"/>
        <v>4.78125</v>
      </c>
      <c r="R15" s="92">
        <f t="shared" si="17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8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8"/>
        <v>3828.1492905497207</v>
      </c>
      <c r="AO15" s="95">
        <f t="shared" si="20"/>
        <v>24015.910709450283</v>
      </c>
      <c r="AP15" s="96"/>
      <c r="AQ15" s="97">
        <f t="shared" si="9"/>
        <v>993.37660377358497</v>
      </c>
      <c r="AR15" s="98">
        <f t="shared" si="10"/>
        <v>123.09</v>
      </c>
      <c r="AS15" s="98">
        <f t="shared" si="11"/>
        <v>371.75075471698113</v>
      </c>
      <c r="AT15" s="98">
        <f t="shared" si="12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226.5651953721725</v>
      </c>
      <c r="AW15" s="234">
        <f t="shared" si="27"/>
        <v>0.22807583197702561</v>
      </c>
      <c r="AX15" s="234">
        <f t="shared" si="28"/>
        <v>1.8406466436930091</v>
      </c>
      <c r="AY15" s="99"/>
      <c r="AZ15" s="94">
        <f t="shared" si="15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6"/>
        <v>17.5</v>
      </c>
      <c r="R16" s="92">
        <f t="shared" si="17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8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8"/>
        <v>10697.204774252286</v>
      </c>
      <c r="AO16" s="95">
        <f t="shared" si="20"/>
        <v>76090.575225747743</v>
      </c>
      <c r="AP16" s="96"/>
      <c r="AQ16" s="97">
        <f t="shared" si="9"/>
        <v>971.93574750830555</v>
      </c>
      <c r="AR16" s="98">
        <f t="shared" si="10"/>
        <v>117.24</v>
      </c>
      <c r="AS16" s="98">
        <f t="shared" si="11"/>
        <v>360.91009966777398</v>
      </c>
      <c r="AT16" s="98">
        <f t="shared" si="12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252.79260872341442</v>
      </c>
      <c r="AW16" s="234">
        <f t="shared" si="27"/>
        <v>0.26009189328768278</v>
      </c>
      <c r="AX16" s="234">
        <f t="shared" si="28"/>
        <v>2.1561976179069808</v>
      </c>
      <c r="AY16" s="99"/>
      <c r="AZ16" s="94">
        <f t="shared" si="15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6"/>
        <v>5.75</v>
      </c>
      <c r="R17" s="92">
        <f t="shared" si="17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8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8"/>
        <v>3816.1589045362102</v>
      </c>
      <c r="AO17" s="95">
        <f t="shared" si="20"/>
        <v>21641.6010954638</v>
      </c>
      <c r="AP17" s="96"/>
      <c r="AQ17" s="97">
        <f t="shared" si="9"/>
        <v>1292.1584146341463</v>
      </c>
      <c r="AR17" s="98">
        <f t="shared" si="10"/>
        <v>123.09</v>
      </c>
      <c r="AS17" s="98">
        <f t="shared" si="11"/>
        <v>482.63463414634123</v>
      </c>
      <c r="AT17" s="98">
        <f t="shared" si="12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263.92196457882682</v>
      </c>
      <c r="AW17" s="234">
        <f t="shared" si="27"/>
        <v>0.20424892303437273</v>
      </c>
      <c r="AX17" s="234">
        <f t="shared" si="28"/>
        <v>2.1441381475247931</v>
      </c>
      <c r="AY17" s="99"/>
      <c r="AZ17" s="94">
        <f t="shared" si="15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6"/>
        <v>10.46875</v>
      </c>
      <c r="R18" s="92">
        <f t="shared" si="17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8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8"/>
        <v>6301.2850182943957</v>
      </c>
      <c r="AO18" s="95">
        <f t="shared" si="20"/>
        <v>37608.494981705604</v>
      </c>
      <c r="AP18" s="96"/>
      <c r="AQ18" s="97">
        <f t="shared" si="9"/>
        <v>1295.995579710145</v>
      </c>
      <c r="AR18" s="98">
        <f t="shared" si="10"/>
        <v>123.09</v>
      </c>
      <c r="AS18" s="98">
        <f t="shared" si="11"/>
        <v>485.14775362318852</v>
      </c>
      <c r="AT18" s="98">
        <f t="shared" si="12"/>
        <v>148.95694444444439</v>
      </c>
      <c r="AU18" s="98">
        <f t="shared" si="19"/>
        <v>204.9375</v>
      </c>
      <c r="AV18" s="98">
        <f t="array" ref="AV18">_xlfn.IFS(U18=0,AO18,U18&lt;0,AO18/-U18,U18&gt;0,AO18/U18)</f>
        <v>272.52532595438845</v>
      </c>
      <c r="AW18" s="234">
        <f t="shared" si="27"/>
        <v>0.21028260452504005</v>
      </c>
      <c r="AX18" s="234">
        <f t="shared" si="28"/>
        <v>2.2140330323697168</v>
      </c>
      <c r="AY18" s="99"/>
      <c r="AZ18" s="94">
        <f t="shared" si="15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8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8"/>
        <v>0</v>
      </c>
      <c r="AO19" s="95">
        <f t="shared" si="20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8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8"/>
        <v>0</v>
      </c>
      <c r="AO20" s="95">
        <f t="shared" si="20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6"/>
        <v>3.125E-2</v>
      </c>
      <c r="R21" s="92">
        <f t="shared" si="17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8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8"/>
        <v>0</v>
      </c>
      <c r="AO21" s="95">
        <f t="shared" si="20"/>
        <v>-79.58</v>
      </c>
      <c r="AP21" s="96"/>
      <c r="AQ21" s="97">
        <f t="shared" si="9"/>
        <v>0</v>
      </c>
      <c r="AR21" s="98">
        <f t="shared" ref="AR21:AR98" si="30">K21</f>
        <v>117.24</v>
      </c>
      <c r="AS21" s="98">
        <f t="shared" si="11"/>
        <v>0</v>
      </c>
      <c r="AT21" s="98">
        <f t="shared" si="12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5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6"/>
        <v>0.15625</v>
      </c>
      <c r="R22" s="92">
        <f t="shared" si="17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8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8"/>
        <v>59.404487952674565</v>
      </c>
      <c r="AO22" s="95">
        <f t="shared" si="20"/>
        <v>356.08551204732544</v>
      </c>
      <c r="AP22" s="96"/>
      <c r="AQ22" s="97">
        <f t="shared" si="9"/>
        <v>838</v>
      </c>
      <c r="AR22" s="98">
        <f t="shared" si="30"/>
        <v>117.24</v>
      </c>
      <c r="AS22" s="98">
        <f t="shared" si="11"/>
        <v>312.58999999999997</v>
      </c>
      <c r="AT22" s="98">
        <f t="shared" si="12"/>
        <v>200.42500000000001</v>
      </c>
      <c r="AU22" s="98">
        <f t="shared" si="19"/>
        <v>0</v>
      </c>
      <c r="AV22" s="98">
        <f t="array" ref="AV22">_xlfn.IFS(U22=0,AO22,U22&lt;0,AO22/-U22,U22&gt;0,AO22/U22)</f>
        <v>178.04275602366272</v>
      </c>
      <c r="AW22" s="234">
        <f t="shared" si="27"/>
        <v>0.21246152270126817</v>
      </c>
      <c r="AX22" s="234">
        <f t="shared" si="28"/>
        <v>1.5186178439411697</v>
      </c>
      <c r="AY22" s="99"/>
      <c r="AZ22" s="94">
        <f t="shared" si="15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8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8"/>
        <v>0</v>
      </c>
      <c r="AO23" s="95">
        <f t="shared" si="20"/>
        <v>0</v>
      </c>
      <c r="AP23" s="96"/>
      <c r="AQ23" s="97">
        <f t="shared" si="9"/>
        <v>0</v>
      </c>
      <c r="AR23" s="98">
        <f t="shared" si="30"/>
        <v>117.24</v>
      </c>
      <c r="AS23" s="98">
        <f t="shared" si="11"/>
        <v>0</v>
      </c>
      <c r="AT23" s="98">
        <f t="shared" si="12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8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8"/>
        <v>0</v>
      </c>
      <c r="AO24" s="95">
        <f t="shared" si="20"/>
        <v>0</v>
      </c>
      <c r="AP24" s="96"/>
      <c r="AQ24" s="97">
        <f t="shared" si="9"/>
        <v>0</v>
      </c>
      <c r="AR24" s="98">
        <f t="shared" si="30"/>
        <v>117.24</v>
      </c>
      <c r="AS24" s="98">
        <f t="shared" si="11"/>
        <v>0</v>
      </c>
      <c r="AT24" s="98">
        <f t="shared" si="12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6"/>
        <v>0.21875</v>
      </c>
      <c r="R25" s="92">
        <f t="shared" si="17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8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8"/>
        <v>236.21425408024754</v>
      </c>
      <c r="AO25" s="95">
        <f t="shared" si="20"/>
        <v>2310.3557459197523</v>
      </c>
      <c r="AP25" s="96"/>
      <c r="AQ25" s="97">
        <f t="shared" si="9"/>
        <v>910.13142857142861</v>
      </c>
      <c r="AR25" s="98">
        <f t="shared" si="30"/>
        <v>117.24</v>
      </c>
      <c r="AS25" s="98">
        <f t="shared" si="11"/>
        <v>338.08571428571435</v>
      </c>
      <c r="AT25" s="98">
        <f t="shared" si="12"/>
        <v>91.009999999999991</v>
      </c>
      <c r="AU25" s="98">
        <f t="shared" si="19"/>
        <v>0</v>
      </c>
      <c r="AV25" s="98">
        <f t="array" ref="AV25">_xlfn.IFS(U25=0,AO25,U25&lt;0,AO25/-U25,U25&gt;0,AO25/U25)</f>
        <v>330.05082084567891</v>
      </c>
      <c r="AW25" s="234">
        <f t="shared" si="27"/>
        <v>0.36264083459213931</v>
      </c>
      <c r="AX25" s="234">
        <f t="shared" si="28"/>
        <v>2.8151724739481314</v>
      </c>
      <c r="AY25" s="99"/>
      <c r="AZ25" s="94">
        <f t="shared" si="15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6"/>
        <v>13.53125</v>
      </c>
      <c r="R26" s="92">
        <f t="shared" si="17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8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8"/>
        <v>2927.6429462409596</v>
      </c>
      <c r="AO26" s="95">
        <f t="shared" si="20"/>
        <v>-27568.792946240937</v>
      </c>
      <c r="AP26" s="96"/>
      <c r="AQ26" s="97">
        <f t="shared" si="9"/>
        <v>699.86849557522123</v>
      </c>
      <c r="AR26" s="98">
        <f t="shared" si="30"/>
        <v>123.09</v>
      </c>
      <c r="AS26" s="98">
        <f t="shared" si="11"/>
        <v>262.14539823008846</v>
      </c>
      <c r="AT26" s="98">
        <f t="shared" si="12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-243.97161899328262</v>
      </c>
      <c r="AW26" s="234">
        <f t="shared" si="27"/>
        <v>-0.34859637279823918</v>
      </c>
      <c r="AX26" s="234">
        <f t="shared" si="28"/>
        <v>-1.982058810571798</v>
      </c>
      <c r="AY26" s="99"/>
      <c r="AZ26" s="94">
        <f t="shared" si="15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6"/>
        <v>1.90625</v>
      </c>
      <c r="R27" s="92">
        <f t="shared" si="17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8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8"/>
        <v>461.60936753327303</v>
      </c>
      <c r="AO27" s="95">
        <f t="shared" si="20"/>
        <v>-4681.6893675332749</v>
      </c>
      <c r="AP27" s="96"/>
      <c r="AQ27" s="97">
        <f t="shared" si="9"/>
        <v>478.07821428571424</v>
      </c>
      <c r="AR27" s="98">
        <f t="shared" si="30"/>
        <v>181.59</v>
      </c>
      <c r="AS27" s="98">
        <f t="shared" si="11"/>
        <v>178.0975</v>
      </c>
      <c r="AT27" s="98">
        <f t="shared" si="12"/>
        <v>116.965</v>
      </c>
      <c r="AU27" s="98">
        <f t="shared" si="19"/>
        <v>152.14285714285714</v>
      </c>
      <c r="AV27" s="98">
        <f t="array" ref="AV27">_xlfn.IFS(U27=0,AO27,U27&lt;0,AO27/-U27,U27&gt;0,AO27/U27)</f>
        <v>-167.20319169761697</v>
      </c>
      <c r="AW27" s="234">
        <f t="shared" si="27"/>
        <v>-0.34974024479954907</v>
      </c>
      <c r="AX27" s="234">
        <f t="shared" si="28"/>
        <v>-0.92077312460827676</v>
      </c>
      <c r="AY27" s="99"/>
      <c r="AZ27" s="94">
        <f t="shared" si="15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6"/>
        <v>26.53125</v>
      </c>
      <c r="R28" s="92">
        <f t="shared" si="17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8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8"/>
        <v>12555.036339602992</v>
      </c>
      <c r="AO28" s="95">
        <f t="shared" si="20"/>
        <v>53795.473660396987</v>
      </c>
      <c r="AP28" s="96"/>
      <c r="AQ28" s="97">
        <f t="shared" si="9"/>
        <v>1129.9599999999998</v>
      </c>
      <c r="AR28" s="98">
        <f t="shared" si="30"/>
        <v>133.62</v>
      </c>
      <c r="AS28" s="98">
        <f t="shared" si="11"/>
        <v>419.64779179810739</v>
      </c>
      <c r="AT28" s="98">
        <f t="shared" si="12"/>
        <v>185.05480122324144</v>
      </c>
      <c r="AU28" s="98">
        <f t="shared" si="19"/>
        <v>170.69724770642202</v>
      </c>
      <c r="AV28" s="98">
        <f>_xlfn.IFS(U28=0,AO28,U28&lt;0,AO28/-U28,U28&gt;0,AO28/U28)</f>
        <v>169.70180965424916</v>
      </c>
      <c r="AW28" s="234">
        <f t="shared" si="27"/>
        <v>0.1501839088589412</v>
      </c>
      <c r="AX28" s="234">
        <f t="shared" si="28"/>
        <v>1.2700330014537431</v>
      </c>
      <c r="AY28" s="99"/>
      <c r="AZ28" s="94">
        <f t="shared" si="15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6"/>
        <v>6.25E-2</v>
      </c>
      <c r="R29" s="92">
        <f t="shared" si="17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8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8"/>
        <v>49.017124747339217</v>
      </c>
      <c r="AO29" s="95">
        <f t="shared" si="20"/>
        <v>338.41287525266074</v>
      </c>
      <c r="AP29" s="96"/>
      <c r="AQ29" s="97">
        <f t="shared" si="9"/>
        <v>478</v>
      </c>
      <c r="AR29" s="98">
        <f t="shared" si="30"/>
        <v>111.39</v>
      </c>
      <c r="AS29" s="98">
        <f t="shared" si="11"/>
        <v>178.67666666666665</v>
      </c>
      <c r="AT29" s="98">
        <f t="shared" si="12"/>
        <v>58.79</v>
      </c>
      <c r="AU29" s="98">
        <f t="shared" si="19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5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6"/>
        <v>0.15625</v>
      </c>
      <c r="R30" s="92">
        <f t="shared" si="17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8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8"/>
        <v>62.941806233410389</v>
      </c>
      <c r="AO30" s="95">
        <f t="shared" si="20"/>
        <v>-10.401806233410426</v>
      </c>
      <c r="AP30" s="96"/>
      <c r="AQ30" s="97">
        <f t="shared" si="9"/>
        <v>558</v>
      </c>
      <c r="AR30" s="98">
        <f t="shared" si="30"/>
        <v>111.39</v>
      </c>
      <c r="AS30" s="98">
        <f t="shared" si="11"/>
        <v>209.76</v>
      </c>
      <c r="AT30" s="98">
        <f t="shared" si="12"/>
        <v>191.67</v>
      </c>
      <c r="AU30" s="98">
        <f t="shared" si="19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6"/>
        <v>0.125</v>
      </c>
      <c r="R31" s="92">
        <f t="shared" si="17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8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8"/>
        <v>33.29571016629113</v>
      </c>
      <c r="AO31" s="95">
        <f t="shared" si="20"/>
        <v>-199.30571016629131</v>
      </c>
      <c r="AP31" s="96"/>
      <c r="AQ31" s="97">
        <f t="shared" si="9"/>
        <v>499</v>
      </c>
      <c r="AR31" s="98">
        <f t="shared" si="30"/>
        <v>105.54</v>
      </c>
      <c r="AS31" s="98">
        <f t="shared" si="11"/>
        <v>187.70000000000005</v>
      </c>
      <c r="AT31" s="98">
        <f t="shared" si="12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5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6"/>
        <v>3.125E-2</v>
      </c>
      <c r="R32" s="92">
        <f t="shared" si="17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8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8"/>
        <v>19.595620317092081</v>
      </c>
      <c r="AO32" s="95">
        <f t="shared" si="20"/>
        <v>12.884379682907937</v>
      </c>
      <c r="AP32" s="96"/>
      <c r="AQ32" s="97">
        <f t="shared" si="9"/>
        <v>539</v>
      </c>
      <c r="AR32" s="98">
        <f t="shared" si="30"/>
        <v>140.63999999999999</v>
      </c>
      <c r="AS32" s="98">
        <f t="shared" si="11"/>
        <v>201.32999999999998</v>
      </c>
      <c r="AT32" s="98">
        <f t="shared" si="12"/>
        <v>164.55</v>
      </c>
      <c r="AU32" s="98">
        <f t="shared" si="19"/>
        <v>0</v>
      </c>
      <c r="AV32" s="98">
        <f t="array" ref="AV32">_xlfn.IFS(U32=0,AO32,U32&lt;0,AO32/-U32,U32&gt;0,AO32/U32)</f>
        <v>12.884379682907937</v>
      </c>
      <c r="AW32" s="234">
        <f t="shared" ref="AW32" si="34">IF(AQ32=0,0,AV32/AQ32)</f>
        <v>2.3904229467361666E-2</v>
      </c>
      <c r="AX32" s="234">
        <f t="shared" ref="AX32" si="35">IF(AR32=0,0,AV32/AR32)</f>
        <v>9.161248352465827E-2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6"/>
        <v>0.78125</v>
      </c>
      <c r="R33" s="92">
        <f t="shared" si="17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8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8"/>
        <v>377.97031900391295</v>
      </c>
      <c r="AO33" s="95">
        <f t="shared" si="20"/>
        <v>-3650.1203190039141</v>
      </c>
      <c r="AP33" s="96"/>
      <c r="AQ33" s="97">
        <f t="shared" si="9"/>
        <v>645.37470588235283</v>
      </c>
      <c r="AR33" s="98">
        <f t="shared" si="30"/>
        <v>123.09</v>
      </c>
      <c r="AS33" s="98">
        <f t="shared" si="11"/>
        <v>241.6747058823529</v>
      </c>
      <c r="AT33" s="98">
        <f t="shared" si="12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5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6"/>
        <v>0.875</v>
      </c>
      <c r="R34" s="92">
        <f t="shared" si="17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8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8"/>
        <v>316.65399474236449</v>
      </c>
      <c r="AO34" s="95">
        <f t="shared" si="20"/>
        <v>1069.5160052576362</v>
      </c>
      <c r="AP34" s="96"/>
      <c r="AQ34" s="97">
        <f t="shared" si="9"/>
        <v>438.97142857142853</v>
      </c>
      <c r="AR34" s="98">
        <f t="shared" si="30"/>
        <v>117.24</v>
      </c>
      <c r="AS34" s="98">
        <f t="shared" si="11"/>
        <v>163.13714285714281</v>
      </c>
      <c r="AT34" s="98">
        <f t="shared" si="12"/>
        <v>92.586190476190467</v>
      </c>
      <c r="AU34" s="98">
        <f t="shared" si="19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5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8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ref="AN35:AN66" si="40">304652.46*X35/$X$126</f>
        <v>0</v>
      </c>
      <c r="AO35" s="95">
        <f t="shared" si="20"/>
        <v>0</v>
      </c>
      <c r="AP35" s="96"/>
      <c r="AQ35" s="97">
        <f t="shared" si="9"/>
        <v>0</v>
      </c>
      <c r="AR35" s="98">
        <f t="shared" si="30"/>
        <v>128.94</v>
      </c>
      <c r="AS35" s="98">
        <f t="shared" si="11"/>
        <v>0</v>
      </c>
      <c r="AT35" s="98">
        <f t="shared" si="12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8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40"/>
        <v>0</v>
      </c>
      <c r="AO36" s="95">
        <f t="shared" si="20"/>
        <v>0</v>
      </c>
      <c r="AP36" s="96"/>
      <c r="AQ36" s="97">
        <f t="shared" si="9"/>
        <v>0</v>
      </c>
      <c r="AR36" s="98">
        <f t="shared" si="30"/>
        <v>169.89</v>
      </c>
      <c r="AS36" s="98">
        <f t="shared" si="11"/>
        <v>0</v>
      </c>
      <c r="AT36" s="98">
        <f t="shared" si="12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6"/>
        <v>0.6875</v>
      </c>
      <c r="R37" s="92">
        <f t="shared" si="17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8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40"/>
        <v>293.76586102872716</v>
      </c>
      <c r="AO37" s="95">
        <f t="shared" si="20"/>
        <v>1861.3041389712726</v>
      </c>
      <c r="AP37" s="96"/>
      <c r="AQ37" s="97">
        <f t="shared" si="9"/>
        <v>994.25749999999994</v>
      </c>
      <c r="AR37" s="98">
        <f t="shared" si="30"/>
        <v>169.89</v>
      </c>
      <c r="AS37" s="98">
        <f t="shared" si="11"/>
        <v>371.91500000000002</v>
      </c>
      <c r="AT37" s="98">
        <f t="shared" si="12"/>
        <v>183.06874999999999</v>
      </c>
      <c r="AU37" s="98">
        <f t="shared" si="19"/>
        <v>0</v>
      </c>
      <c r="AV37" s="98">
        <f t="array" ref="AV37">_xlfn.IFS(U37=0,AO37,U37&lt;0,AO37/-U37,U37&gt;0,AO37/U37)</f>
        <v>232.66301737140907</v>
      </c>
      <c r="AW37" s="234">
        <f t="shared" si="41"/>
        <v>0.23400680142861288</v>
      </c>
      <c r="AX37" s="234">
        <f t="shared" si="42"/>
        <v>1.3694921265019075</v>
      </c>
      <c r="AY37" s="99"/>
      <c r="AZ37" s="94">
        <f t="shared" si="15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6"/>
        <v>0.21875</v>
      </c>
      <c r="R38" s="92">
        <f t="shared" si="17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8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40"/>
        <v>0</v>
      </c>
      <c r="AO38" s="95">
        <f t="shared" si="20"/>
        <v>-536.63</v>
      </c>
      <c r="AP38" s="96"/>
      <c r="AQ38" s="97">
        <f t="shared" si="9"/>
        <v>0</v>
      </c>
      <c r="AR38" s="98">
        <f t="shared" si="30"/>
        <v>105.54</v>
      </c>
      <c r="AS38" s="98">
        <f t="shared" si="11"/>
        <v>0</v>
      </c>
      <c r="AT38" s="98">
        <f t="shared" si="12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1"/>
        <v>0</v>
      </c>
      <c r="AX38" s="234">
        <f t="shared" si="42"/>
        <v>-5.0846124692059878</v>
      </c>
      <c r="AY38" s="99"/>
      <c r="AZ38" s="94">
        <f t="shared" si="15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6"/>
        <v>1.0625</v>
      </c>
      <c r="R39" s="92">
        <f t="shared" si="17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8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40"/>
        <v>417.89990464431418</v>
      </c>
      <c r="AO39" s="95">
        <f t="shared" si="20"/>
        <v>-3909.209904644315</v>
      </c>
      <c r="AP39" s="96"/>
      <c r="AQ39" s="97">
        <f t="shared" si="9"/>
        <v>1074.0845454545454</v>
      </c>
      <c r="AR39" s="98">
        <f t="shared" si="30"/>
        <v>105.54</v>
      </c>
      <c r="AS39" s="98">
        <f t="shared" si="11"/>
        <v>401.19181818181823</v>
      </c>
      <c r="AT39" s="98">
        <f t="shared" si="12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-355.38271860402864</v>
      </c>
      <c r="AW39" s="234">
        <f t="shared" si="41"/>
        <v>-0.33087033987034331</v>
      </c>
      <c r="AX39" s="234">
        <f t="shared" si="42"/>
        <v>-3.3672798806521569</v>
      </c>
      <c r="AY39" s="99"/>
      <c r="AZ39" s="94">
        <f t="shared" si="15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6"/>
        <v>0.28125</v>
      </c>
      <c r="R40" s="92">
        <f t="shared" si="17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8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40"/>
        <v>0</v>
      </c>
      <c r="AO40" s="95">
        <f t="shared" si="20"/>
        <v>-843.03</v>
      </c>
      <c r="AP40" s="96"/>
      <c r="AQ40" s="97">
        <f t="shared" si="9"/>
        <v>0</v>
      </c>
      <c r="AR40" s="98">
        <f t="shared" si="30"/>
        <v>105.54</v>
      </c>
      <c r="AS40" s="98">
        <f t="shared" si="11"/>
        <v>0</v>
      </c>
      <c r="AT40" s="98">
        <f t="shared" si="12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1"/>
        <v>0</v>
      </c>
      <c r="AX40" s="234">
        <f t="shared" si="42"/>
        <v>-7.9877771461057412</v>
      </c>
      <c r="AY40" s="99"/>
      <c r="AZ40" s="94">
        <f t="shared" si="15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6"/>
        <v>9.375E-2</v>
      </c>
      <c r="R41" s="92">
        <f t="shared" si="17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8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40"/>
        <v>40.707234183070945</v>
      </c>
      <c r="AO41" s="95">
        <f t="shared" si="20"/>
        <v>317.00276581692913</v>
      </c>
      <c r="AP41" s="96"/>
      <c r="AQ41" s="97">
        <f t="shared" si="9"/>
        <v>1181.46</v>
      </c>
      <c r="AR41" s="98">
        <f t="shared" si="30"/>
        <v>123.09</v>
      </c>
      <c r="AS41" s="98">
        <f t="shared" si="11"/>
        <v>451.84000000000003</v>
      </c>
      <c r="AT41" s="98">
        <f t="shared" si="12"/>
        <v>248.82</v>
      </c>
      <c r="AU41" s="98">
        <f t="shared" si="19"/>
        <v>0</v>
      </c>
      <c r="AV41" s="98">
        <f t="array" ref="AV41">_xlfn.IFS(U41=0,AO41,U41&lt;0,AO41/-U41,U41&gt;0,AO41/U41)</f>
        <v>317.00276581692913</v>
      </c>
      <c r="AW41" s="234">
        <f t="shared" si="41"/>
        <v>0.26831442944909611</v>
      </c>
      <c r="AX41" s="234">
        <f t="shared" si="42"/>
        <v>2.5753738387921774</v>
      </c>
      <c r="AY41" s="99"/>
      <c r="AZ41" s="94">
        <f t="shared" si="15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6"/>
        <v>0.3125</v>
      </c>
      <c r="R42" s="92">
        <f t="shared" si="17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8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40"/>
        <v>81.639060003014009</v>
      </c>
      <c r="AO42" s="95">
        <f t="shared" si="20"/>
        <v>650.48093999698619</v>
      </c>
      <c r="AP42" s="96"/>
      <c r="AQ42" s="97">
        <f t="shared" si="9"/>
        <v>1176</v>
      </c>
      <c r="AR42" s="98">
        <f t="shared" si="30"/>
        <v>123.09</v>
      </c>
      <c r="AS42" s="98">
        <f t="shared" si="11"/>
        <v>438.16999999999996</v>
      </c>
      <c r="AT42" s="98">
        <f t="shared" si="12"/>
        <v>248.68</v>
      </c>
      <c r="AU42" s="98">
        <f t="shared" si="19"/>
        <v>0</v>
      </c>
      <c r="AV42" s="98">
        <f t="array" ref="AV42">_xlfn.IFS(U42=0,AO42,U42&lt;0,AO42/-U42,U42&gt;0,AO42/U42)</f>
        <v>325.2404699984931</v>
      </c>
      <c r="AW42" s="234">
        <f t="shared" si="41"/>
        <v>0.2765650255089227</v>
      </c>
      <c r="AX42" s="234">
        <f t="shared" si="42"/>
        <v>2.6422980745673335</v>
      </c>
      <c r="AY42" s="99"/>
      <c r="AZ42" s="94">
        <f t="shared" si="15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6"/>
        <v>1.46875</v>
      </c>
      <c r="R43" s="92">
        <f t="shared" si="17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8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40"/>
        <v>275.37966667619139</v>
      </c>
      <c r="AO43" s="95">
        <f t="shared" si="20"/>
        <v>-7160.6196666761916</v>
      </c>
      <c r="AP43" s="96"/>
      <c r="AQ43" s="97">
        <f t="shared" si="9"/>
        <v>1105.4585714285713</v>
      </c>
      <c r="AR43" s="98">
        <f t="shared" si="30"/>
        <v>123.09</v>
      </c>
      <c r="AS43" s="98">
        <f t="shared" si="11"/>
        <v>412.95</v>
      </c>
      <c r="AT43" s="98">
        <f t="shared" si="12"/>
        <v>267.31</v>
      </c>
      <c r="AU43" s="98">
        <f t="shared" si="19"/>
        <v>1285.7142857142858</v>
      </c>
      <c r="AV43" s="98">
        <f t="array" ref="AV43">_xlfn.IFS(U43=0,AO43,U43&lt;0,AO43/-U43,U43&gt;0,AO43/U43)</f>
        <v>-1022.9456666680273</v>
      </c>
      <c r="AW43" s="234">
        <f t="shared" si="41"/>
        <v>-0.92535866391273847</v>
      </c>
      <c r="AX43" s="234">
        <f t="shared" si="42"/>
        <v>-8.3105505456822435</v>
      </c>
      <c r="AY43" s="99"/>
      <c r="AZ43" s="94">
        <f t="shared" si="15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6"/>
        <v>2.90625</v>
      </c>
      <c r="R44" s="92">
        <f t="shared" si="17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8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40"/>
        <v>1494.8145575297397</v>
      </c>
      <c r="AO44" s="95">
        <f t="shared" si="20"/>
        <v>5307.7354424702671</v>
      </c>
      <c r="AP44" s="96"/>
      <c r="AQ44" s="97">
        <f t="shared" si="9"/>
        <v>1008.3430000000001</v>
      </c>
      <c r="AR44" s="98">
        <f t="shared" si="30"/>
        <v>111.39</v>
      </c>
      <c r="AS44" s="98">
        <f t="shared" si="11"/>
        <v>378.97249999999997</v>
      </c>
      <c r="AT44" s="98">
        <f t="shared" si="12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132.69338606175668</v>
      </c>
      <c r="AW44" s="234">
        <f t="shared" si="41"/>
        <v>0.13159548493097753</v>
      </c>
      <c r="AX44" s="234">
        <f t="shared" si="42"/>
        <v>1.1912504359615466</v>
      </c>
      <c r="AY44" s="99"/>
      <c r="AZ44" s="94">
        <f t="shared" si="15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6"/>
        <v>13.34375</v>
      </c>
      <c r="R45" s="92">
        <f t="shared" si="17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8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40"/>
        <v>6882.1935329804901</v>
      </c>
      <c r="AO45" s="95">
        <f t="shared" si="20"/>
        <v>9357.1664670195241</v>
      </c>
      <c r="AP45" s="96"/>
      <c r="AQ45" s="97">
        <f t="shared" si="9"/>
        <v>1168.8060975609758</v>
      </c>
      <c r="AR45" s="98">
        <f t="shared" si="30"/>
        <v>107.88</v>
      </c>
      <c r="AS45" s="98">
        <f t="shared" si="11"/>
        <v>437.19225609756097</v>
      </c>
      <c r="AT45" s="98">
        <f t="shared" si="12"/>
        <v>150.68744318181811</v>
      </c>
      <c r="AU45" s="98">
        <f t="shared" si="19"/>
        <v>338.25</v>
      </c>
      <c r="AV45" s="98">
        <f t="array" ref="AV45">_xlfn.IFS(U45=0,AO45,U45&lt;0,AO45/-U45,U45&gt;0,AO45/U45)</f>
        <v>57.055893091582462</v>
      </c>
      <c r="AW45" s="234">
        <f t="shared" si="41"/>
        <v>4.8815533398264034E-2</v>
      </c>
      <c r="AX45" s="234">
        <f t="shared" si="42"/>
        <v>0.5288829541303528</v>
      </c>
      <c r="AY45" s="99"/>
      <c r="AZ45" s="94">
        <f t="shared" si="15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8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40"/>
        <v>0</v>
      </c>
      <c r="AO46" s="95">
        <f t="shared" si="20"/>
        <v>0</v>
      </c>
      <c r="AP46" s="96"/>
      <c r="AQ46" s="97">
        <f t="shared" si="9"/>
        <v>0</v>
      </c>
      <c r="AR46" s="98">
        <f t="shared" si="30"/>
        <v>107.88</v>
      </c>
      <c r="AS46" s="98">
        <f t="shared" si="11"/>
        <v>0</v>
      </c>
      <c r="AT46" s="98">
        <f t="shared" si="12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6"/>
        <v>2.125</v>
      </c>
      <c r="R47" s="92">
        <f t="shared" si="17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8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40"/>
        <v>1566.1471073166922</v>
      </c>
      <c r="AO47" s="95">
        <f t="shared" si="20"/>
        <v>14532.292892683306</v>
      </c>
      <c r="AP47" s="96"/>
      <c r="AQ47" s="97">
        <f t="shared" si="9"/>
        <v>1028.8034883720932</v>
      </c>
      <c r="AR47" s="98">
        <f t="shared" si="30"/>
        <v>123.09</v>
      </c>
      <c r="AS47" s="98">
        <f t="shared" si="11"/>
        <v>385.41627906976748</v>
      </c>
      <c r="AT47" s="98">
        <f t="shared" si="12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337.96029982984436</v>
      </c>
      <c r="AW47" s="234">
        <f t="shared" si="41"/>
        <v>0.3284983999856077</v>
      </c>
      <c r="AX47" s="234">
        <f t="shared" si="42"/>
        <v>2.7456357123230508</v>
      </c>
      <c r="AY47" s="99"/>
      <c r="AZ47" s="94">
        <f t="shared" si="15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6"/>
        <v>6.6875</v>
      </c>
      <c r="R48" s="92">
        <f t="shared" si="17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8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40"/>
        <v>4179.6250956309223</v>
      </c>
      <c r="AO48" s="95">
        <f t="shared" si="20"/>
        <v>21544.114904369082</v>
      </c>
      <c r="AP48" s="96"/>
      <c r="AQ48" s="97">
        <f t="shared" si="9"/>
        <v>1207.5243298969071</v>
      </c>
      <c r="AR48" s="98">
        <f t="shared" si="30"/>
        <v>107.88</v>
      </c>
      <c r="AS48" s="98">
        <f t="shared" si="11"/>
        <v>450.26154639175252</v>
      </c>
      <c r="AT48" s="98">
        <f t="shared" si="12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222.10427736462972</v>
      </c>
      <c r="AW48" s="234">
        <f t="shared" si="41"/>
        <v>0.18393358366832407</v>
      </c>
      <c r="AX48" s="234">
        <f t="shared" si="42"/>
        <v>2.0588086518782882</v>
      </c>
      <c r="AY48" s="99"/>
      <c r="AZ48" s="94">
        <f t="shared" si="15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6"/>
        <v>8.53125</v>
      </c>
      <c r="R49" s="92">
        <f t="shared" si="17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8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40"/>
        <v>5272.6805879792537</v>
      </c>
      <c r="AO49" s="95">
        <f t="shared" si="20"/>
        <v>21581.81941202077</v>
      </c>
      <c r="AP49" s="96"/>
      <c r="AQ49" s="97">
        <f t="shared" si="9"/>
        <v>1350.9423636363638</v>
      </c>
      <c r="AR49" s="98">
        <f t="shared" si="30"/>
        <v>123.09</v>
      </c>
      <c r="AS49" s="98">
        <f t="shared" si="11"/>
        <v>502.73354545454532</v>
      </c>
      <c r="AT49" s="98">
        <f t="shared" si="12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196.19835829109792</v>
      </c>
      <c r="AW49" s="234">
        <f t="shared" si="41"/>
        <v>0.14523073935070488</v>
      </c>
      <c r="AX49" s="234">
        <f t="shared" si="42"/>
        <v>1.5939423047452914</v>
      </c>
      <c r="AY49" s="99"/>
      <c r="AZ49" s="94">
        <f t="shared" si="15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6"/>
        <v>3.21875</v>
      </c>
      <c r="R50" s="92">
        <f t="shared" si="17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8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40"/>
        <v>1796.2429237294511</v>
      </c>
      <c r="AO50" s="95">
        <f t="shared" si="20"/>
        <v>702.8170762705538</v>
      </c>
      <c r="AP50" s="96"/>
      <c r="AQ50" s="97">
        <f t="shared" si="9"/>
        <v>1201.0585365853658</v>
      </c>
      <c r="AR50" s="98">
        <f t="shared" si="30"/>
        <v>134.79</v>
      </c>
      <c r="AS50" s="98">
        <f t="shared" si="11"/>
        <v>446.95097560975603</v>
      </c>
      <c r="AT50" s="98">
        <f t="shared" si="12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17.141879909037897</v>
      </c>
      <c r="AW50" s="234">
        <f t="shared" si="41"/>
        <v>1.4272310122179901E-2</v>
      </c>
      <c r="AX50" s="234">
        <f t="shared" si="42"/>
        <v>0.12717471555039617</v>
      </c>
      <c r="AY50" s="99"/>
      <c r="AZ50" s="94">
        <f t="shared" si="15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6"/>
        <v>0.5625</v>
      </c>
      <c r="R51" s="92">
        <f t="shared" si="17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8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40"/>
        <v>378.32461231107868</v>
      </c>
      <c r="AO51" s="95">
        <f t="shared" si="20"/>
        <v>-2320.5946123110789</v>
      </c>
      <c r="AP51" s="96"/>
      <c r="AQ51" s="97">
        <f t="shared" si="9"/>
        <v>1099.643</v>
      </c>
      <c r="AR51" s="98">
        <f t="shared" si="30"/>
        <v>144.15</v>
      </c>
      <c r="AS51" s="98">
        <f t="shared" si="11"/>
        <v>411.78300000000007</v>
      </c>
      <c r="AT51" s="98">
        <f t="shared" si="12"/>
        <v>357.53083333333331</v>
      </c>
      <c r="AU51" s="98">
        <f t="shared" si="19"/>
        <v>250.75</v>
      </c>
      <c r="AV51" s="98">
        <f t="array" ref="AV51">_xlfn.IFS(U51=0,AO51,U51&lt;0,AO51/-U51,U51&gt;0,AO51/U51)</f>
        <v>-232.05946123110789</v>
      </c>
      <c r="AW51" s="234">
        <f t="shared" si="41"/>
        <v>-0.21103163593194144</v>
      </c>
      <c r="AX51" s="234">
        <f t="shared" si="42"/>
        <v>-1.6098471122518756</v>
      </c>
      <c r="AY51" s="99"/>
      <c r="AZ51" s="94">
        <f t="shared" si="15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6"/>
        <v>0.4375</v>
      </c>
      <c r="R52" s="92">
        <f t="shared" si="17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8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40"/>
        <v>0</v>
      </c>
      <c r="AO52" s="95">
        <f t="shared" si="20"/>
        <v>-839.02</v>
      </c>
      <c r="AP52" s="96"/>
      <c r="AQ52" s="97">
        <f t="shared" si="9"/>
        <v>0</v>
      </c>
      <c r="AR52" s="98">
        <f t="shared" si="30"/>
        <v>96.18</v>
      </c>
      <c r="AS52" s="98">
        <f t="shared" si="11"/>
        <v>0</v>
      </c>
      <c r="AT52" s="98">
        <f t="shared" si="12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1"/>
        <v>0</v>
      </c>
      <c r="AX52" s="234">
        <f t="shared" si="42"/>
        <v>-8.7234352256186316</v>
      </c>
      <c r="AY52" s="99"/>
      <c r="AZ52" s="94">
        <f t="shared" si="15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6"/>
        <v>0.21875</v>
      </c>
      <c r="R53" s="92">
        <f t="shared" si="17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8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40"/>
        <v>72.374654982039232</v>
      </c>
      <c r="AO53" s="95">
        <f t="shared" si="20"/>
        <v>489.31534501796045</v>
      </c>
      <c r="AP53" s="96"/>
      <c r="AQ53" s="97">
        <f t="shared" si="9"/>
        <v>1089.4099999999999</v>
      </c>
      <c r="AR53" s="98">
        <f t="shared" si="30"/>
        <v>96.18</v>
      </c>
      <c r="AS53" s="98">
        <f t="shared" si="11"/>
        <v>404.96499999999997</v>
      </c>
      <c r="AT53" s="98">
        <f t="shared" si="12"/>
        <v>307.42</v>
      </c>
      <c r="AU53" s="98">
        <f t="shared" si="19"/>
        <v>0</v>
      </c>
      <c r="AV53" s="98">
        <f t="array" ref="AV53">_xlfn.IFS(U53=0,AO53,U53&lt;0,AO53/-U53,U53&gt;0,AO53/U53)</f>
        <v>244.65767250898023</v>
      </c>
      <c r="AW53" s="234">
        <f t="shared" si="41"/>
        <v>0.22457814092855791</v>
      </c>
      <c r="AX53" s="234">
        <f t="shared" si="42"/>
        <v>2.543747894666045</v>
      </c>
      <c r="AY53" s="99"/>
      <c r="AZ53" s="94">
        <f t="shared" si="15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3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6"/>
        <v>0.40625</v>
      </c>
      <c r="R54" s="92">
        <f t="shared" si="17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8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40"/>
        <v>252.94633102722017</v>
      </c>
      <c r="AO54" s="95">
        <f t="shared" si="20"/>
        <v>2046.1936689727793</v>
      </c>
      <c r="AP54" s="96"/>
      <c r="AQ54" s="97">
        <f t="shared" si="9"/>
        <v>990.86571428571426</v>
      </c>
      <c r="AR54" s="98">
        <f t="shared" si="30"/>
        <v>123.09</v>
      </c>
      <c r="AS54" s="98">
        <f t="shared" si="11"/>
        <v>373.60142857142858</v>
      </c>
      <c r="AT54" s="98">
        <f t="shared" si="12"/>
        <v>165.72571428571428</v>
      </c>
      <c r="AU54" s="98">
        <f t="shared" si="19"/>
        <v>0</v>
      </c>
      <c r="AV54" s="98">
        <f t="array" ref="AV54">_xlfn.IFS(U54=0,AO54,U54&lt;0,AO54/-U54,U54&gt;0,AO54/U54)</f>
        <v>292.31338128182563</v>
      </c>
      <c r="AW54" s="234">
        <f t="shared" si="41"/>
        <v>0.2950080692745996</v>
      </c>
      <c r="AX54" s="234">
        <f t="shared" si="42"/>
        <v>2.3747939010628452</v>
      </c>
      <c r="AY54" s="99"/>
      <c r="AZ54" s="94">
        <f t="shared" si="15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8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40"/>
        <v>0</v>
      </c>
      <c r="AO55" s="95">
        <f t="shared" si="20"/>
        <v>-97.32</v>
      </c>
      <c r="AP55" s="96"/>
      <c r="AQ55" s="97">
        <f t="shared" si="9"/>
        <v>0</v>
      </c>
      <c r="AR55" s="98">
        <f t="shared" si="30"/>
        <v>158.19</v>
      </c>
      <c r="AS55" s="98">
        <f t="shared" si="11"/>
        <v>0</v>
      </c>
      <c r="AT55" s="98">
        <f t="shared" si="12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1"/>
        <v>0</v>
      </c>
      <c r="AX55" s="234">
        <f t="shared" si="42"/>
        <v>-0.61520955812630373</v>
      </c>
      <c r="AY55" s="99"/>
      <c r="AZ55" s="94">
        <f t="shared" si="15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6"/>
        <v>0.15625</v>
      </c>
      <c r="R56" s="92">
        <f t="shared" si="17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8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40"/>
        <v>72.823838255783471</v>
      </c>
      <c r="AO56" s="95">
        <f t="shared" si="20"/>
        <v>121.85616174421648</v>
      </c>
      <c r="AP56" s="96"/>
      <c r="AQ56" s="97">
        <f t="shared" si="9"/>
        <v>1049</v>
      </c>
      <c r="AR56" s="98">
        <f t="shared" si="30"/>
        <v>152.34</v>
      </c>
      <c r="AS56" s="98">
        <f t="shared" si="11"/>
        <v>393.32</v>
      </c>
      <c r="AT56" s="98">
        <f t="shared" si="12"/>
        <v>396</v>
      </c>
      <c r="AU56" s="98">
        <f t="shared" si="19"/>
        <v>0</v>
      </c>
      <c r="AV56" s="98">
        <f t="array" ref="AV56">_xlfn.IFS(U56=0,AO56,U56&lt;0,AO56/-U56,U56&gt;0,AO56/U56)</f>
        <v>60.928080872108239</v>
      </c>
      <c r="AW56" s="234">
        <f t="shared" si="41"/>
        <v>5.808205993527954E-2</v>
      </c>
      <c r="AX56" s="234">
        <f t="shared" si="42"/>
        <v>0.39994801675271258</v>
      </c>
      <c r="AY56" s="99"/>
      <c r="AZ56" s="94">
        <f t="shared" si="15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8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40"/>
        <v>0</v>
      </c>
      <c r="AO57" s="95">
        <f t="shared" si="20"/>
        <v>0</v>
      </c>
      <c r="AP57" s="96"/>
      <c r="AQ57" s="97">
        <f t="shared" si="9"/>
        <v>0</v>
      </c>
      <c r="AR57" s="98">
        <f t="shared" si="30"/>
        <v>93.84</v>
      </c>
      <c r="AS57" s="98">
        <f t="shared" si="11"/>
        <v>0</v>
      </c>
      <c r="AT57" s="98">
        <f t="shared" si="12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6"/>
        <v>1.21875</v>
      </c>
      <c r="R58" s="92">
        <f t="shared" si="17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8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40"/>
        <v>337.90710133957276</v>
      </c>
      <c r="AO58" s="95">
        <f t="shared" si="20"/>
        <v>-6986.0071013395727</v>
      </c>
      <c r="AP58" s="96"/>
      <c r="AQ58" s="97">
        <f t="shared" si="9"/>
        <v>1039.0777777777778</v>
      </c>
      <c r="AR58" s="98">
        <f t="shared" si="30"/>
        <v>169.89</v>
      </c>
      <c r="AS58" s="98">
        <f t="shared" si="11"/>
        <v>389.33555555555557</v>
      </c>
      <c r="AT58" s="98">
        <f t="shared" si="12"/>
        <v>261.87700000000007</v>
      </c>
      <c r="AU58" s="98">
        <f t="shared" si="19"/>
        <v>834.8</v>
      </c>
      <c r="AV58" s="98">
        <f t="array" ref="AV58">_xlfn.IFS(U58=0,AO58,U58&lt;0,AO58/-U58,U58&gt;0,AO58/U58)</f>
        <v>-776.2230112599525</v>
      </c>
      <c r="AW58" s="234">
        <f t="shared" si="41"/>
        <v>-0.74703071113696684</v>
      </c>
      <c r="AX58" s="234">
        <f t="shared" si="42"/>
        <v>-4.5689741083050945</v>
      </c>
      <c r="AY58" s="99"/>
      <c r="AZ58" s="94">
        <f t="shared" si="15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8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40"/>
        <v>0</v>
      </c>
      <c r="AO59" s="95">
        <f t="shared" si="20"/>
        <v>0</v>
      </c>
      <c r="AP59" s="96"/>
      <c r="AQ59" s="97">
        <f t="shared" si="9"/>
        <v>0</v>
      </c>
      <c r="AR59" s="98">
        <f t="shared" si="30"/>
        <v>158.19</v>
      </c>
      <c r="AS59" s="98">
        <f t="shared" si="11"/>
        <v>0</v>
      </c>
      <c r="AT59" s="98">
        <f t="shared" si="12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6"/>
        <v>0.3125</v>
      </c>
      <c r="R60" s="92">
        <f t="shared" si="17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8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40"/>
        <v>72.262359163603179</v>
      </c>
      <c r="AO60" s="95">
        <f t="shared" si="20"/>
        <v>-99.852359163603097</v>
      </c>
      <c r="AP60" s="96"/>
      <c r="AQ60" s="97">
        <f t="shared" si="9"/>
        <v>1033.2649999999999</v>
      </c>
      <c r="AR60" s="98">
        <f t="shared" si="30"/>
        <v>158.19</v>
      </c>
      <c r="AS60" s="98">
        <f t="shared" si="11"/>
        <v>378.67499999999978</v>
      </c>
      <c r="AT60" s="98">
        <f t="shared" si="12"/>
        <v>340.13</v>
      </c>
      <c r="AU60" s="98">
        <f t="shared" si="19"/>
        <v>0</v>
      </c>
      <c r="AV60" s="98">
        <f t="array" ref="AV60">_xlfn.IFS(U60=0,AO60,U60&lt;0,AO60/-U60,U60&gt;0,AO60/U60)</f>
        <v>-49.926179581801549</v>
      </c>
      <c r="AW60" s="234">
        <f t="shared" si="41"/>
        <v>-4.8318852938792616E-2</v>
      </c>
      <c r="AX60" s="234">
        <f t="shared" si="42"/>
        <v>-0.31560894861749511</v>
      </c>
      <c r="AY60" s="99"/>
      <c r="AZ60" s="94">
        <f t="shared" si="15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6"/>
        <v>6.25E-2</v>
      </c>
      <c r="R61" s="92">
        <f t="shared" si="17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8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40"/>
        <v>0</v>
      </c>
      <c r="AO61" s="95">
        <f t="shared" si="20"/>
        <v>-283.83000000000004</v>
      </c>
      <c r="AP61" s="96"/>
      <c r="AQ61" s="97">
        <f t="shared" si="9"/>
        <v>0</v>
      </c>
      <c r="AR61" s="98">
        <f t="shared" si="30"/>
        <v>128.94</v>
      </c>
      <c r="AS61" s="98">
        <f t="shared" si="11"/>
        <v>0</v>
      </c>
      <c r="AT61" s="98">
        <f t="shared" si="12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1"/>
        <v>0</v>
      </c>
      <c r="AX61" s="234">
        <f t="shared" si="42"/>
        <v>-2.2012563983248028</v>
      </c>
      <c r="AY61" s="99"/>
      <c r="AZ61" s="94">
        <f t="shared" si="15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8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40"/>
        <v>0</v>
      </c>
      <c r="AO62" s="95">
        <f t="shared" si="20"/>
        <v>0</v>
      </c>
      <c r="AP62" s="96"/>
      <c r="AQ62" s="97">
        <f t="shared" si="9"/>
        <v>0</v>
      </c>
      <c r="AR62" s="98">
        <f t="shared" si="30"/>
        <v>175.74</v>
      </c>
      <c r="AS62" s="98">
        <f t="shared" si="11"/>
        <v>0</v>
      </c>
      <c r="AT62" s="98">
        <f t="shared" si="12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8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40"/>
        <v>0</v>
      </c>
      <c r="AO63" s="95">
        <f t="shared" si="20"/>
        <v>0</v>
      </c>
      <c r="AP63" s="96"/>
      <c r="AQ63" s="97">
        <f t="shared" si="9"/>
        <v>0</v>
      </c>
      <c r="AR63" s="98">
        <f t="shared" si="30"/>
        <v>140.63999999999999</v>
      </c>
      <c r="AS63" s="98">
        <f t="shared" si="11"/>
        <v>0</v>
      </c>
      <c r="AT63" s="98">
        <f t="shared" si="12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8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40"/>
        <v>0</v>
      </c>
      <c r="AO64" s="95">
        <f t="shared" si="20"/>
        <v>0</v>
      </c>
      <c r="AP64" s="96"/>
      <c r="AQ64" s="97">
        <f t="shared" si="9"/>
        <v>0</v>
      </c>
      <c r="AR64" s="98">
        <f t="shared" si="30"/>
        <v>99.69</v>
      </c>
      <c r="AS64" s="98">
        <f t="shared" si="11"/>
        <v>0</v>
      </c>
      <c r="AT64" s="98">
        <f t="shared" si="12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6"/>
        <v>6.25E-2</v>
      </c>
      <c r="R65" s="92">
        <f t="shared" si="17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8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40"/>
        <v>0</v>
      </c>
      <c r="AO65" s="95">
        <f t="shared" si="20"/>
        <v>-96.4</v>
      </c>
      <c r="AP65" s="96"/>
      <c r="AQ65" s="97">
        <f t="shared" si="9"/>
        <v>0</v>
      </c>
      <c r="AR65" s="98">
        <f t="shared" si="30"/>
        <v>99.69</v>
      </c>
      <c r="AS65" s="98">
        <f t="shared" si="11"/>
        <v>0</v>
      </c>
      <c r="AT65" s="98">
        <f t="shared" si="12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1"/>
        <v>0</v>
      </c>
      <c r="AX65" s="234">
        <f t="shared" si="42"/>
        <v>-0.96699769284782833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8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40"/>
        <v>0</v>
      </c>
      <c r="AO66" s="95">
        <f t="shared" si="20"/>
        <v>0</v>
      </c>
      <c r="AP66" s="96"/>
      <c r="AQ66" s="97">
        <f t="shared" si="9"/>
        <v>0</v>
      </c>
      <c r="AR66" s="98">
        <f t="shared" si="30"/>
        <v>97.35</v>
      </c>
      <c r="AS66" s="98">
        <f t="shared" si="11"/>
        <v>0</v>
      </c>
      <c r="AT66" s="98">
        <f t="shared" si="12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1"/>
        <v>0</v>
      </c>
      <c r="AX66" s="234">
        <f t="shared" si="42"/>
        <v>0</v>
      </c>
      <c r="AY66" s="99"/>
      <c r="AZ66" s="94">
        <f t="shared" si="15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6"/>
        <v>0.28125</v>
      </c>
      <c r="R67" s="92">
        <f t="shared" si="17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4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5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6">Y67+Z67</f>
        <v>6262.53</v>
      </c>
      <c r="AB67" s="92">
        <f t="shared" si="18"/>
        <v>5947.83</v>
      </c>
      <c r="AC67" s="234">
        <f t="shared" ref="AC67:AC98" si="47">AA67/$AA$126</f>
        <v>7.3907019287803319E-4</v>
      </c>
      <c r="AD67" s="92">
        <f t="shared" ref="AD67:AD98" si="48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9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50">IFERROR($AL$126*H67/$H$126,0)</f>
        <v>0</v>
      </c>
      <c r="AM67" s="93">
        <f>'Юнит 6'!AM67+'Юнит 7'!AM67+'Юнит 8'!AM67+'Юнит 9'!AM67</f>
        <v>0</v>
      </c>
      <c r="AN67" s="325">
        <f t="shared" ref="AN67:AN103" si="51">304652.46*X67/$X$126</f>
        <v>217.46085240142591</v>
      </c>
      <c r="AO67" s="95">
        <f t="shared" si="20"/>
        <v>1842.6991475985744</v>
      </c>
      <c r="AP67" s="96"/>
      <c r="AQ67" s="97">
        <f t="shared" si="9"/>
        <v>1043.7549999999999</v>
      </c>
      <c r="AR67" s="98">
        <f t="shared" si="30"/>
        <v>161.69999999999999</v>
      </c>
      <c r="AS67" s="98">
        <f t="shared" si="11"/>
        <v>388.89666666666659</v>
      </c>
      <c r="AT67" s="98">
        <f t="shared" si="12"/>
        <v>128.39857142857144</v>
      </c>
      <c r="AU67" s="98">
        <f t="shared" si="19"/>
        <v>0</v>
      </c>
      <c r="AV67" s="98">
        <f t="array" ref="AV67">_xlfn.IFS(U67=0,AO67,U67&lt;0,AO67/-U67,U67&gt;0,AO67/U67)</f>
        <v>307.11652459976239</v>
      </c>
      <c r="AW67" s="234">
        <f t="shared" si="41"/>
        <v>0.29424196731968943</v>
      </c>
      <c r="AX67" s="234">
        <f t="shared" si="42"/>
        <v>1.8992982350016228</v>
      </c>
      <c r="AY67" s="99"/>
      <c r="AZ67" s="94">
        <f t="shared" si="15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2">N68/32</f>
        <v>0</v>
      </c>
      <c r="R68" s="92">
        <f t="shared" ref="R68:R98" si="53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4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5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6"/>
        <v>0</v>
      </c>
      <c r="AB68" s="92">
        <f t="shared" ref="AB68:AB98" si="54">N68*O68*P68/100</f>
        <v>0</v>
      </c>
      <c r="AC68" s="234">
        <f t="shared" si="47"/>
        <v>0</v>
      </c>
      <c r="AD68" s="92">
        <f t="shared" si="48"/>
        <v>0</v>
      </c>
      <c r="AE68" s="93">
        <f>'Юнит 6'!AE68+'Юнит 7'!AE68+'Юнит 8'!AE68+'Юнит 9'!AE68</f>
        <v>0</v>
      </c>
      <c r="AF68" s="234">
        <f t="shared" si="49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50"/>
        <v>0</v>
      </c>
      <c r="AM68" s="93">
        <f>'Юнит 6'!AM68+'Юнит 7'!AM68+'Юнит 8'!AM68+'Юнит 9'!AM68</f>
        <v>0</v>
      </c>
      <c r="AN68" s="325">
        <f t="shared" si="51"/>
        <v>0</v>
      </c>
      <c r="AO68" s="95">
        <f t="shared" si="20"/>
        <v>0</v>
      </c>
      <c r="AP68" s="96"/>
      <c r="AQ68" s="97">
        <f t="shared" si="9"/>
        <v>0</v>
      </c>
      <c r="AR68" s="98">
        <f t="shared" si="30"/>
        <v>161.69999999999999</v>
      </c>
      <c r="AS68" s="98">
        <f t="shared" si="11"/>
        <v>0</v>
      </c>
      <c r="AT68" s="98">
        <f t="shared" si="12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2"/>
        <v>9.375E-2</v>
      </c>
      <c r="R69" s="92">
        <f t="shared" si="53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4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5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6"/>
        <v>0</v>
      </c>
      <c r="AB69" s="92">
        <f t="shared" si="54"/>
        <v>0</v>
      </c>
      <c r="AC69" s="234">
        <f t="shared" si="47"/>
        <v>0</v>
      </c>
      <c r="AD69" s="92">
        <f t="shared" si="48"/>
        <v>0</v>
      </c>
      <c r="AE69" s="93">
        <f>'Юнит 6'!AE69+'Юнит 7'!AE69+'Юнит 8'!AE69+'Юнит 9'!AE69</f>
        <v>0</v>
      </c>
      <c r="AF69" s="234">
        <f t="shared" si="49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50"/>
        <v>0</v>
      </c>
      <c r="AM69" s="93">
        <f>'Юнит 6'!AM69+'Юнит 7'!AM69+'Юнит 8'!AM69+'Юнит 9'!AM69</f>
        <v>0</v>
      </c>
      <c r="AN69" s="325">
        <f t="shared" si="51"/>
        <v>0</v>
      </c>
      <c r="AO69" s="95">
        <f t="shared" ref="AO69:AO98" si="55">AA69-AD69-AE69-AG69-AH69-AI69-AK69-AL69-AN69-AM69</f>
        <v>-220.98000000000002</v>
      </c>
      <c r="AP69" s="96"/>
      <c r="AQ69" s="97">
        <f t="shared" si="9"/>
        <v>0</v>
      </c>
      <c r="AR69" s="98">
        <f t="shared" si="30"/>
        <v>140.63999999999999</v>
      </c>
      <c r="AS69" s="98">
        <f t="shared" si="11"/>
        <v>0</v>
      </c>
      <c r="AT69" s="98">
        <f t="shared" si="12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1"/>
        <v>0</v>
      </c>
      <c r="AX69" s="234">
        <f t="shared" si="42"/>
        <v>-1.5712457337883963</v>
      </c>
      <c r="AY69" s="99"/>
      <c r="AZ69" s="94">
        <f t="shared" si="15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2"/>
        <v>0.28125</v>
      </c>
      <c r="R70" s="92">
        <f t="shared" si="53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4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5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6"/>
        <v>2096</v>
      </c>
      <c r="AB70" s="92">
        <f t="shared" si="54"/>
        <v>2735.28</v>
      </c>
      <c r="AC70" s="234">
        <f t="shared" si="47"/>
        <v>2.4735867521151315E-4</v>
      </c>
      <c r="AD70" s="92">
        <f t="shared" si="48"/>
        <v>234.48</v>
      </c>
      <c r="AE70" s="93">
        <f>'Юнит 6'!AE70+'Юнит 7'!AE70+'Юнит 8'!AE70+'Юнит 9'!AE70</f>
        <v>786.18</v>
      </c>
      <c r="AF70" s="234">
        <f t="shared" si="49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50"/>
        <v>0</v>
      </c>
      <c r="AM70" s="93">
        <f>'Юнит 6'!AM70+'Юнит 7'!AM70+'Юнит 8'!AM70+'Юнит 9'!AM70</f>
        <v>0</v>
      </c>
      <c r="AN70" s="325">
        <f t="shared" si="51"/>
        <v>73.385317347963763</v>
      </c>
      <c r="AO70" s="95">
        <f t="shared" si="55"/>
        <v>409.15468265203629</v>
      </c>
      <c r="AP70" s="96"/>
      <c r="AQ70" s="97">
        <f t="shared" si="9"/>
        <v>1048</v>
      </c>
      <c r="AR70" s="98">
        <f t="shared" si="30"/>
        <v>117.24</v>
      </c>
      <c r="AS70" s="98">
        <f t="shared" si="11"/>
        <v>393.09</v>
      </c>
      <c r="AT70" s="98">
        <f t="shared" si="12"/>
        <v>296.40000000000003</v>
      </c>
      <c r="AU70" s="98">
        <f t="shared" si="19"/>
        <v>0</v>
      </c>
      <c r="AV70" s="98">
        <f t="array" ref="AV70">_xlfn.IFS(U70=0,AO70,U70&lt;0,AO70/-U70,U70&gt;0,AO70/U70)</f>
        <v>204.57734132601814</v>
      </c>
      <c r="AW70" s="234">
        <f t="shared" si="41"/>
        <v>0.1952073867614677</v>
      </c>
      <c r="AX70" s="234">
        <f t="shared" si="42"/>
        <v>1.7449449106620449</v>
      </c>
      <c r="AY70" s="99"/>
      <c r="AZ70" s="94">
        <f t="shared" si="15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2"/>
        <v>1</v>
      </c>
      <c r="R71" s="92">
        <f t="shared" si="53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4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5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6"/>
        <v>3488.84</v>
      </c>
      <c r="AB71" s="92">
        <f t="shared" si="54"/>
        <v>4187.5200000000004</v>
      </c>
      <c r="AC71" s="234">
        <f t="shared" si="47"/>
        <v>4.1173417959204943E-4</v>
      </c>
      <c r="AD71" s="92">
        <f t="shared" si="48"/>
        <v>615.45000000000005</v>
      </c>
      <c r="AE71" s="93">
        <f>'Юнит 6'!AE71+'Юнит 7'!AE71+'Юнит 8'!AE71+'Юнит 9'!AE71</f>
        <v>1308.5300000000002</v>
      </c>
      <c r="AF71" s="234">
        <f t="shared" si="49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50"/>
        <v>0</v>
      </c>
      <c r="AM71" s="93">
        <f>'Юнит 6'!AM71+'Юнит 7'!AM71+'Юнит 8'!AM71+'Юнит 9'!AM71</f>
        <v>0</v>
      </c>
      <c r="AN71" s="325">
        <f t="shared" si="51"/>
        <v>134.39844289973485</v>
      </c>
      <c r="AO71" s="95">
        <f t="shared" si="55"/>
        <v>-1473.928442899735</v>
      </c>
      <c r="AP71" s="96"/>
      <c r="AQ71" s="97">
        <f t="shared" si="9"/>
        <v>697.76800000000003</v>
      </c>
      <c r="AR71" s="98">
        <f t="shared" si="30"/>
        <v>123.09</v>
      </c>
      <c r="AS71" s="98">
        <f t="shared" si="11"/>
        <v>261.70600000000002</v>
      </c>
      <c r="AT71" s="98">
        <f t="shared" si="12"/>
        <v>414.91285714285721</v>
      </c>
      <c r="AU71" s="98">
        <f t="shared" ref="AU71:AU98" si="56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41"/>
        <v>-0.42246948639081616</v>
      </c>
      <c r="AX71" s="234">
        <f t="shared" si="42"/>
        <v>-2.3948792637902918</v>
      </c>
      <c r="AY71" s="99"/>
      <c r="AZ71" s="94">
        <f t="shared" si="15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2"/>
        <v>0.90625</v>
      </c>
      <c r="R72" s="92">
        <f t="shared" si="53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4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5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6"/>
        <v>5022</v>
      </c>
      <c r="AB72" s="92">
        <f t="shared" si="54"/>
        <v>5097.33</v>
      </c>
      <c r="AC72" s="234">
        <f t="shared" si="47"/>
        <v>5.9266949757262361E-4</v>
      </c>
      <c r="AD72" s="92">
        <f t="shared" si="48"/>
        <v>738.54</v>
      </c>
      <c r="AE72" s="93">
        <f>'Юнит 6'!AE72+'Юнит 7'!AE72+'Юнит 8'!AE72+'Юнит 9'!AE72</f>
        <v>1887.4499999999998</v>
      </c>
      <c r="AF72" s="234">
        <f t="shared" si="49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50"/>
        <v>0</v>
      </c>
      <c r="AM72" s="93">
        <f>'Юнит 6'!AM72+'Юнит 7'!AM72+'Юнит 8'!AM72+'Юнит 9'!AM72</f>
        <v>0</v>
      </c>
      <c r="AN72" s="325">
        <f t="shared" si="51"/>
        <v>181.97537377563162</v>
      </c>
      <c r="AO72" s="95">
        <f t="shared" si="55"/>
        <v>-240.82537377563153</v>
      </c>
      <c r="AP72" s="96"/>
      <c r="AQ72" s="97">
        <f t="shared" si="9"/>
        <v>837</v>
      </c>
      <c r="AR72" s="98">
        <f t="shared" si="30"/>
        <v>123.09</v>
      </c>
      <c r="AS72" s="98">
        <f t="shared" si="11"/>
        <v>314.57499999999999</v>
      </c>
      <c r="AT72" s="98">
        <f t="shared" si="12"/>
        <v>409.14333333333337</v>
      </c>
      <c r="AU72" s="98">
        <f t="shared" si="56"/>
        <v>0</v>
      </c>
      <c r="AV72" s="98">
        <f t="array" ref="AV72">_xlfn.IFS(U72=0,AO72,U72&lt;0,AO72/-U72,U72&gt;0,AO72/U72)</f>
        <v>-40.137562295938586</v>
      </c>
      <c r="AW72" s="234">
        <f t="shared" si="41"/>
        <v>-4.7954076817130931E-2</v>
      </c>
      <c r="AX72" s="234">
        <f t="shared" si="42"/>
        <v>-0.32608304733072213</v>
      </c>
      <c r="AY72" s="99"/>
      <c r="AZ72" s="94">
        <f t="shared" si="15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2"/>
        <v>0.96875</v>
      </c>
      <c r="R73" s="92">
        <f t="shared" si="53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4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5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6"/>
        <v>5625.07</v>
      </c>
      <c r="AB73" s="92">
        <f t="shared" si="54"/>
        <v>7004.76</v>
      </c>
      <c r="AC73" s="234">
        <f t="shared" si="47"/>
        <v>6.6384058357444003E-4</v>
      </c>
      <c r="AD73" s="92">
        <f t="shared" si="48"/>
        <v>861.63</v>
      </c>
      <c r="AE73" s="93">
        <f>'Юнит 6'!AE73+'Юнит 7'!AE73+'Юнит 8'!AE73+'Юнит 9'!AE73</f>
        <v>2097.4399999999996</v>
      </c>
      <c r="AF73" s="234">
        <f t="shared" si="49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50"/>
        <v>0</v>
      </c>
      <c r="AM73" s="93">
        <f>'Юнит 6'!AM73+'Юнит 7'!AM73+'Юнит 8'!AM73+'Юнит 9'!AM73</f>
        <v>0</v>
      </c>
      <c r="AN73" s="325">
        <f t="shared" si="51"/>
        <v>208.07067606380278</v>
      </c>
      <c r="AO73" s="95">
        <f t="shared" si="55"/>
        <v>268.99932393619736</v>
      </c>
      <c r="AP73" s="96"/>
      <c r="AQ73" s="97">
        <f t="shared" si="9"/>
        <v>803.58142857142855</v>
      </c>
      <c r="AR73" s="98">
        <f t="shared" si="30"/>
        <v>123.09</v>
      </c>
      <c r="AS73" s="98">
        <f t="shared" si="11"/>
        <v>299.63428571428568</v>
      </c>
      <c r="AT73" s="98">
        <f t="shared" si="12"/>
        <v>312.70428571428567</v>
      </c>
      <c r="AU73" s="98">
        <f t="shared" si="56"/>
        <v>0</v>
      </c>
      <c r="AV73" s="98">
        <f t="array" ref="AV73">_xlfn.IFS(U73=0,AO73,U73&lt;0,AO73/-U73,U73&gt;0,AO73/U73)</f>
        <v>38.428474848028195</v>
      </c>
      <c r="AW73" s="234">
        <f t="shared" si="41"/>
        <v>4.7821506921015625E-2</v>
      </c>
      <c r="AX73" s="234">
        <f t="shared" si="42"/>
        <v>0.31219818708285152</v>
      </c>
      <c r="AY73" s="99"/>
      <c r="AZ73" s="94">
        <f t="shared" si="15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2"/>
        <v>6.25E-2</v>
      </c>
      <c r="R74" s="92">
        <f t="shared" si="53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4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5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6"/>
        <v>781</v>
      </c>
      <c r="AB74" s="92">
        <f t="shared" si="54"/>
        <v>781</v>
      </c>
      <c r="AC74" s="234">
        <f t="shared" si="47"/>
        <v>9.216943002871746E-5</v>
      </c>
      <c r="AD74" s="92">
        <f t="shared" si="48"/>
        <v>134.79</v>
      </c>
      <c r="AE74" s="93">
        <f>'Юнит 6'!AE74+'Юнит 7'!AE74+'Юнит 8'!AE74+'Юнит 9'!AE74</f>
        <v>295.20999999999998</v>
      </c>
      <c r="AF74" s="234">
        <f t="shared" si="49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50"/>
        <v>0</v>
      </c>
      <c r="AM74" s="93">
        <f>'Юнит 6'!AM74+'Юнит 7'!AM74+'Юнит 8'!AM74+'Юнит 9'!AM74</f>
        <v>0</v>
      </c>
      <c r="AN74" s="325">
        <f t="shared" si="51"/>
        <v>28.186250427450503</v>
      </c>
      <c r="AO74" s="95">
        <f t="shared" si="55"/>
        <v>182.45374957254955</v>
      </c>
      <c r="AP74" s="96"/>
      <c r="AQ74" s="97">
        <f t="shared" si="9"/>
        <v>781</v>
      </c>
      <c r="AR74" s="98">
        <f t="shared" si="30"/>
        <v>134.79</v>
      </c>
      <c r="AS74" s="98">
        <f t="shared" si="11"/>
        <v>295.20999999999998</v>
      </c>
      <c r="AT74" s="98">
        <f t="shared" si="12"/>
        <v>140.36000000000001</v>
      </c>
      <c r="AU74" s="98">
        <f t="shared" si="56"/>
        <v>0</v>
      </c>
      <c r="AV74" s="98">
        <f t="array" ref="AV74">_xlfn.IFS(U74=0,AO74,U74&lt;0,AO74/-U74,U74&gt;0,AO74/U74)</f>
        <v>182.45374957254955</v>
      </c>
      <c r="AW74" s="234">
        <f t="shared" si="41"/>
        <v>0.23361555643092133</v>
      </c>
      <c r="AX74" s="234">
        <f t="shared" si="42"/>
        <v>1.3536148792384417</v>
      </c>
      <c r="AY74" s="99"/>
      <c r="AZ74" s="94">
        <f t="shared" si="15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2"/>
        <v>0.15625</v>
      </c>
      <c r="R75" s="92">
        <f t="shared" si="53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4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5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6"/>
        <v>740.11</v>
      </c>
      <c r="AB75" s="92">
        <f t="shared" si="54"/>
        <v>1258.95</v>
      </c>
      <c r="AC75" s="234">
        <f t="shared" si="47"/>
        <v>8.7343811598660789E-5</v>
      </c>
      <c r="AD75" s="92">
        <f t="shared" si="48"/>
        <v>134.79</v>
      </c>
      <c r="AE75" s="93">
        <f>'Юнит 6'!AE75+'Юнит 7'!AE75+'Юнит 8'!AE75+'Юнит 9'!AE75</f>
        <v>275.7</v>
      </c>
      <c r="AF75" s="234">
        <f t="shared" si="49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50"/>
        <v>0</v>
      </c>
      <c r="AM75" s="93">
        <f>'Юнит 6'!AM75+'Юнит 7'!AM75+'Юнит 8'!AM75+'Юнит 9'!AM75</f>
        <v>0</v>
      </c>
      <c r="AN75" s="325">
        <f t="shared" si="51"/>
        <v>25.603446603421176</v>
      </c>
      <c r="AO75" s="95">
        <f t="shared" si="55"/>
        <v>-68.11344660342111</v>
      </c>
      <c r="AP75" s="96"/>
      <c r="AQ75" s="97">
        <f t="shared" si="9"/>
        <v>740.11</v>
      </c>
      <c r="AR75" s="98">
        <f t="shared" si="30"/>
        <v>134.79</v>
      </c>
      <c r="AS75" s="98">
        <f t="shared" si="11"/>
        <v>275.7</v>
      </c>
      <c r="AT75" s="98">
        <f t="shared" si="12"/>
        <v>186.065</v>
      </c>
      <c r="AU75" s="98">
        <f t="shared" si="56"/>
        <v>0</v>
      </c>
      <c r="AV75" s="98">
        <f t="array" ref="AV75">_xlfn.IFS(U75=0,AO75,U75&lt;0,AO75/-U75,U75&gt;0,AO75/U75)</f>
        <v>-68.11344660342111</v>
      </c>
      <c r="AW75" s="234">
        <f t="shared" si="41"/>
        <v>-9.2031517751984315E-2</v>
      </c>
      <c r="AX75" s="234">
        <f t="shared" si="42"/>
        <v>-0.50533011798665417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2"/>
        <v>0.4375</v>
      </c>
      <c r="R76" s="92">
        <f t="shared" si="53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4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5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6"/>
        <v>1050</v>
      </c>
      <c r="AB76" s="92">
        <f t="shared" si="54"/>
        <v>1176</v>
      </c>
      <c r="AC76" s="234">
        <f t="shared" si="47"/>
        <v>1.2391536687599659E-4</v>
      </c>
      <c r="AD76" s="92">
        <f t="shared" si="48"/>
        <v>123.09</v>
      </c>
      <c r="AE76" s="93">
        <f>'Юнит 6'!AE76+'Юнит 7'!AE76+'Юнит 8'!AE76+'Юнит 9'!AE76</f>
        <v>392.54999999999995</v>
      </c>
      <c r="AF76" s="234">
        <f t="shared" si="49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50"/>
        <v>0</v>
      </c>
      <c r="AM76" s="93">
        <f>'Юнит 6'!AM76+'Юнит 7'!AM76+'Юнит 8'!AM76+'Юнит 9'!AM76</f>
        <v>0</v>
      </c>
      <c r="AN76" s="325">
        <f t="shared" si="51"/>
        <v>38.742057360439929</v>
      </c>
      <c r="AO76" s="95">
        <f t="shared" si="55"/>
        <v>-815.70205736043988</v>
      </c>
      <c r="AP76" s="96"/>
      <c r="AQ76" s="97">
        <f t="shared" si="9"/>
        <v>1050</v>
      </c>
      <c r="AR76" s="98">
        <f t="shared" si="30"/>
        <v>123.09</v>
      </c>
      <c r="AS76" s="98">
        <f t="shared" si="11"/>
        <v>392.54999999999995</v>
      </c>
      <c r="AT76" s="98">
        <f t="shared" si="12"/>
        <v>437.10666666666663</v>
      </c>
      <c r="AU76" s="98">
        <f t="shared" si="56"/>
        <v>0</v>
      </c>
      <c r="AV76" s="98">
        <f t="array" ref="AV76">_xlfn.IFS(U76=0,AO76,U76&lt;0,AO76/-U76,U76&gt;0,AO76/U76)</f>
        <v>-815.70205736043988</v>
      </c>
      <c r="AW76" s="234">
        <f t="shared" si="41"/>
        <v>-0.776859102248038</v>
      </c>
      <c r="AX76" s="234">
        <f t="shared" si="42"/>
        <v>-6.6268751105730752</v>
      </c>
      <c r="AY76" s="99"/>
      <c r="AZ76" s="94">
        <f t="shared" si="15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2"/>
        <v>6.25E-2</v>
      </c>
      <c r="R77" s="92">
        <f t="shared" si="53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4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5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6"/>
        <v>0</v>
      </c>
      <c r="AB77" s="92">
        <f t="shared" si="54"/>
        <v>0</v>
      </c>
      <c r="AC77" s="234">
        <f t="shared" si="47"/>
        <v>0</v>
      </c>
      <c r="AD77" s="92">
        <f t="shared" si="48"/>
        <v>0</v>
      </c>
      <c r="AE77" s="93">
        <f>'Юнит 6'!AE77+'Юнит 7'!AE77+'Юнит 8'!AE77+'Юнит 9'!AE77</f>
        <v>0</v>
      </c>
      <c r="AF77" s="234">
        <f t="shared" si="49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50"/>
        <v>0</v>
      </c>
      <c r="AM77" s="93">
        <f>'Юнит 6'!AM77+'Юнит 7'!AM77+'Юнит 8'!AM77+'Юнит 9'!AM77</f>
        <v>0</v>
      </c>
      <c r="AN77" s="325">
        <f t="shared" si="51"/>
        <v>0</v>
      </c>
      <c r="AO77" s="95">
        <f t="shared" si="55"/>
        <v>-115.07</v>
      </c>
      <c r="AP77" s="96"/>
      <c r="AQ77" s="97">
        <f t="shared" si="9"/>
        <v>0</v>
      </c>
      <c r="AR77" s="98">
        <f t="shared" si="30"/>
        <v>123.09</v>
      </c>
      <c r="AS77" s="98">
        <f t="shared" si="11"/>
        <v>0</v>
      </c>
      <c r="AT77" s="98">
        <f t="shared" si="12"/>
        <v>115.07</v>
      </c>
      <c r="AU77" s="98">
        <f t="shared" si="56"/>
        <v>0</v>
      </c>
      <c r="AV77" s="98">
        <f t="array" ref="AV77">_xlfn.IFS(U77=0,AO77,U77&lt;0,AO77/-U77,U77&gt;0,AO77/U77)</f>
        <v>-115.07</v>
      </c>
      <c r="AW77" s="234">
        <f t="shared" si="41"/>
        <v>0</v>
      </c>
      <c r="AX77" s="234">
        <f t="shared" si="42"/>
        <v>-0.93484442278007951</v>
      </c>
      <c r="AY77" s="99"/>
      <c r="AZ77" s="94">
        <f t="shared" si="15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2"/>
        <v>0.5</v>
      </c>
      <c r="R78" s="92">
        <f t="shared" si="53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4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5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6"/>
        <v>4450</v>
      </c>
      <c r="AB78" s="92">
        <f t="shared" si="54"/>
        <v>4605.12</v>
      </c>
      <c r="AC78" s="234">
        <f t="shared" si="47"/>
        <v>5.2516512628398551E-4</v>
      </c>
      <c r="AD78" s="92">
        <f t="shared" si="48"/>
        <v>492.36</v>
      </c>
      <c r="AE78" s="93">
        <f>'Юнит 6'!AE78+'Юнит 7'!AE78+'Юнит 8'!AE78+'Юнит 9'!AE78</f>
        <v>1652.11</v>
      </c>
      <c r="AF78" s="234">
        <f t="shared" si="49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50"/>
        <v>0</v>
      </c>
      <c r="AM78" s="93">
        <f>'Юнит 6'!AM78+'Юнит 7'!AM78+'Юнит 8'!AM78+'Юнит 9'!AM78</f>
        <v>0</v>
      </c>
      <c r="AN78" s="325">
        <f t="shared" si="51"/>
        <v>157.27029371969891</v>
      </c>
      <c r="AO78" s="95">
        <f t="shared" si="55"/>
        <v>991.42970628030093</v>
      </c>
      <c r="AP78" s="96"/>
      <c r="AQ78" s="97">
        <f t="shared" si="9"/>
        <v>1112.5</v>
      </c>
      <c r="AR78" s="98">
        <f t="shared" si="30"/>
        <v>123.09</v>
      </c>
      <c r="AS78" s="98">
        <f t="shared" si="11"/>
        <v>413.02749999999997</v>
      </c>
      <c r="AT78" s="98">
        <f t="shared" si="12"/>
        <v>289.20749999999998</v>
      </c>
      <c r="AU78" s="98">
        <f t="shared" si="56"/>
        <v>0</v>
      </c>
      <c r="AV78" s="98">
        <f t="array" ref="AV78">_xlfn.IFS(U78=0,AO78,U78&lt;0,AO78/-U78,U78&gt;0,AO78/U78)</f>
        <v>247.85742657007523</v>
      </c>
      <c r="AW78" s="234">
        <f t="shared" si="41"/>
        <v>0.22279319242253953</v>
      </c>
      <c r="AX78" s="234">
        <f t="shared" si="42"/>
        <v>2.0136276429447983</v>
      </c>
      <c r="AY78" s="99"/>
      <c r="AZ78" s="94">
        <f t="shared" si="15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2"/>
        <v>0.1875</v>
      </c>
      <c r="R79" s="92">
        <f t="shared" si="53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4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5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6"/>
        <v>1500</v>
      </c>
      <c r="AB79" s="92">
        <f t="shared" si="54"/>
        <v>2250</v>
      </c>
      <c r="AC79" s="234">
        <f t="shared" si="47"/>
        <v>1.7702195267999511E-4</v>
      </c>
      <c r="AD79" s="92">
        <f t="shared" si="48"/>
        <v>164.04</v>
      </c>
      <c r="AE79" s="93">
        <f>'Юнит 6'!AE79+'Юнит 7'!AE79+'Юнит 8'!AE79+'Юнит 9'!AE79</f>
        <v>548.98</v>
      </c>
      <c r="AF79" s="234">
        <f t="shared" si="49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50"/>
        <v>0</v>
      </c>
      <c r="AM79" s="93">
        <f>'Юнит 6'!AM79+'Юнит 7'!AM79+'Юнит 8'!AM79+'Юнит 9'!AM79</f>
        <v>0</v>
      </c>
      <c r="AN79" s="325">
        <f t="shared" si="51"/>
        <v>52.835182574165188</v>
      </c>
      <c r="AO79" s="95">
        <f t="shared" si="55"/>
        <v>159.17481742583482</v>
      </c>
      <c r="AP79" s="96"/>
      <c r="AQ79" s="97">
        <f t="shared" si="9"/>
        <v>1500</v>
      </c>
      <c r="AR79" s="98">
        <f t="shared" si="30"/>
        <v>164.04</v>
      </c>
      <c r="AS79" s="98">
        <f t="shared" si="11"/>
        <v>548.98</v>
      </c>
      <c r="AT79" s="98">
        <f t="shared" si="12"/>
        <v>287.48500000000001</v>
      </c>
      <c r="AU79" s="98">
        <f t="shared" si="56"/>
        <v>0</v>
      </c>
      <c r="AV79" s="98">
        <f t="array" ref="AV79">_xlfn.IFS(U79=0,AO79,U79&lt;0,AO79/-U79,U79&gt;0,AO79/U79)</f>
        <v>159.17481742583482</v>
      </c>
      <c r="AW79" s="234">
        <f t="shared" si="41"/>
        <v>0.10611654495055654</v>
      </c>
      <c r="AX79" s="234">
        <f t="shared" si="42"/>
        <v>0.97034148638036344</v>
      </c>
      <c r="AY79" s="99"/>
      <c r="AZ79" s="94">
        <f t="shared" si="15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2"/>
        <v>0.71875</v>
      </c>
      <c r="R80" s="92">
        <f t="shared" si="53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4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5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6"/>
        <v>6447.6</v>
      </c>
      <c r="AB80" s="92">
        <f t="shared" si="54"/>
        <v>8523.57</v>
      </c>
      <c r="AC80" s="234">
        <f t="shared" si="47"/>
        <v>7.60911161399691E-4</v>
      </c>
      <c r="AD80" s="92">
        <f t="shared" si="48"/>
        <v>984.24</v>
      </c>
      <c r="AE80" s="93">
        <f>'Юнит 6'!AE80+'Юнит 7'!AE80+'Юнит 8'!AE80+'Юнит 9'!AE80</f>
        <v>2430.67</v>
      </c>
      <c r="AF80" s="234">
        <f t="shared" si="49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50"/>
        <v>0</v>
      </c>
      <c r="AM80" s="93">
        <f>'Юнит 6'!AM80+'Юнит 7'!AM80+'Юнит 8'!AM80+'Юнит 9'!AM80</f>
        <v>0</v>
      </c>
      <c r="AN80" s="325">
        <f t="shared" si="51"/>
        <v>235.88915768587518</v>
      </c>
      <c r="AO80" s="95">
        <f t="shared" si="55"/>
        <v>-4698.0891576858739</v>
      </c>
      <c r="AP80" s="96"/>
      <c r="AQ80" s="97">
        <f t="shared" si="9"/>
        <v>1074.6000000000001</v>
      </c>
      <c r="AR80" s="98">
        <f t="shared" si="30"/>
        <v>164.04</v>
      </c>
      <c r="AS80" s="98">
        <f t="shared" si="11"/>
        <v>405.11166666666668</v>
      </c>
      <c r="AT80" s="98">
        <f t="shared" si="12"/>
        <v>287.48166666666663</v>
      </c>
      <c r="AU80" s="98">
        <f t="shared" si="56"/>
        <v>961.66666666666663</v>
      </c>
      <c r="AV80" s="98">
        <f t="array" ref="AV80">_xlfn.IFS(U80=0,AO80,U80&lt;0,AO80/-U80,U80&gt;0,AO80/U80)</f>
        <v>-783.01485961431229</v>
      </c>
      <c r="AW80" s="234">
        <f t="shared" si="41"/>
        <v>-0.72865704412275467</v>
      </c>
      <c r="AX80" s="234">
        <f t="shared" si="42"/>
        <v>-4.7733166277390415</v>
      </c>
      <c r="AY80" s="99"/>
      <c r="AZ80" s="94">
        <f t="shared" si="15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2"/>
        <v>1.6875</v>
      </c>
      <c r="R81" s="92">
        <f t="shared" si="53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4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5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6"/>
        <v>19088</v>
      </c>
      <c r="AB81" s="92">
        <f t="shared" si="54"/>
        <v>23075.279999999999</v>
      </c>
      <c r="AC81" s="234">
        <f t="shared" si="47"/>
        <v>2.2526633551704978E-3</v>
      </c>
      <c r="AD81" s="92">
        <f t="shared" si="48"/>
        <v>2063.04</v>
      </c>
      <c r="AE81" s="93">
        <f>'Юнит 6'!AE81+'Юнит 7'!AE81+'Юнит 8'!AE81+'Юнит 9'!AE81</f>
        <v>7076.9299999999994</v>
      </c>
      <c r="AF81" s="234">
        <f t="shared" si="49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50"/>
        <v>0</v>
      </c>
      <c r="AM81" s="93">
        <f>'Юнит 6'!AM81+'Юнит 7'!AM81+'Юнит 8'!AM81+'Юнит 9'!AM81</f>
        <v>0</v>
      </c>
      <c r="AN81" s="325">
        <f t="shared" si="51"/>
        <v>661.31007476994421</v>
      </c>
      <c r="AO81" s="95">
        <f t="shared" si="55"/>
        <v>-8784.7800747699457</v>
      </c>
      <c r="AP81" s="96"/>
      <c r="AQ81" s="97">
        <f t="shared" si="9"/>
        <v>1193</v>
      </c>
      <c r="AR81" s="98">
        <f t="shared" si="30"/>
        <v>128.94</v>
      </c>
      <c r="AS81" s="98">
        <f t="shared" si="11"/>
        <v>442.30812499999996</v>
      </c>
      <c r="AT81" s="98">
        <f t="shared" si="12"/>
        <v>229.14705882352939</v>
      </c>
      <c r="AU81" s="98">
        <f t="shared" si="56"/>
        <v>833.88235294117646</v>
      </c>
      <c r="AV81" s="98">
        <f t="array" ref="AV81">_xlfn.IFS(U81=0,AO81,U81&lt;0,AO81/-U81,U81&gt;0,AO81/U81)</f>
        <v>-549.04875467312161</v>
      </c>
      <c r="AW81" s="234">
        <f t="shared" si="41"/>
        <v>-0.46022527633958221</v>
      </c>
      <c r="AX81" s="234">
        <f t="shared" si="42"/>
        <v>-4.2581724420127314</v>
      </c>
      <c r="AY81" s="99"/>
      <c r="AZ81" s="94">
        <f t="shared" si="15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2"/>
        <v>6.25E-2</v>
      </c>
      <c r="R82" s="92">
        <f t="shared" si="53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4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5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6"/>
        <v>1174</v>
      </c>
      <c r="AB82" s="92">
        <f t="shared" si="54"/>
        <v>1174</v>
      </c>
      <c r="AC82" s="234">
        <f t="shared" si="47"/>
        <v>1.3854918163087618E-4</v>
      </c>
      <c r="AD82" s="92">
        <f t="shared" si="48"/>
        <v>128.94</v>
      </c>
      <c r="AE82" s="93">
        <f>'Юнит 6'!AE82+'Юнит 7'!AE82+'Юнит 8'!AE82+'Юнит 9'!AE82</f>
        <v>434.85</v>
      </c>
      <c r="AF82" s="234">
        <f t="shared" si="49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50"/>
        <v>0</v>
      </c>
      <c r="AM82" s="93">
        <f>'Юнит 6'!AM82+'Юнит 7'!AM82+'Юнит 8'!AM82+'Юнит 9'!AM82</f>
        <v>0</v>
      </c>
      <c r="AN82" s="325">
        <f t="shared" si="51"/>
        <v>44.974475283641141</v>
      </c>
      <c r="AO82" s="95">
        <f t="shared" si="55"/>
        <v>399.23552471635878</v>
      </c>
      <c r="AP82" s="96"/>
      <c r="AQ82" s="97">
        <f t="shared" si="9"/>
        <v>1174</v>
      </c>
      <c r="AR82" s="98">
        <f t="shared" si="30"/>
        <v>128.94</v>
      </c>
      <c r="AS82" s="98">
        <f t="shared" si="11"/>
        <v>434.85</v>
      </c>
      <c r="AT82" s="98">
        <f t="shared" si="12"/>
        <v>166</v>
      </c>
      <c r="AU82" s="98">
        <f t="shared" si="56"/>
        <v>0</v>
      </c>
      <c r="AV82" s="98">
        <f t="array" ref="AV82">_xlfn.IFS(U82=0,AO82,U82&lt;0,AO82/-U82,U82&gt;0,AO82/U82)</f>
        <v>399.23552471635878</v>
      </c>
      <c r="AW82" s="234">
        <f t="shared" si="41"/>
        <v>0.34006433110422385</v>
      </c>
      <c r="AX82" s="234">
        <f t="shared" si="42"/>
        <v>3.0962891633035428</v>
      </c>
      <c r="AY82" s="99"/>
      <c r="AZ82" s="94">
        <f t="shared" si="15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2"/>
        <v>0.28125</v>
      </c>
      <c r="R83" s="92">
        <f t="shared" si="53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4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5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6"/>
        <v>2750</v>
      </c>
      <c r="AB83" s="92">
        <f t="shared" si="54"/>
        <v>4950</v>
      </c>
      <c r="AC83" s="234">
        <f t="shared" si="47"/>
        <v>3.2454024657999102E-4</v>
      </c>
      <c r="AD83" s="92">
        <f t="shared" si="48"/>
        <v>246.18</v>
      </c>
      <c r="AE83" s="93">
        <f>'Юнит 6'!AE83+'Юнит 7'!AE83+'Юнит 8'!AE83+'Юнит 9'!AE83</f>
        <v>1034.04</v>
      </c>
      <c r="AF83" s="234">
        <f t="shared" si="49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50"/>
        <v>0</v>
      </c>
      <c r="AM83" s="93">
        <f>'Юнит 6'!AM83+'Юнит 7'!AM83+'Юнит 8'!AM83+'Юнит 9'!AM83</f>
        <v>0</v>
      </c>
      <c r="AN83" s="325">
        <f t="shared" si="51"/>
        <v>90.79116920555272</v>
      </c>
      <c r="AO83" s="95">
        <f t="shared" si="55"/>
        <v>949.13883079444759</v>
      </c>
      <c r="AP83" s="96"/>
      <c r="AQ83" s="97">
        <f t="shared" si="9"/>
        <v>1375</v>
      </c>
      <c r="AR83" s="98">
        <f t="shared" si="30"/>
        <v>123.09</v>
      </c>
      <c r="AS83" s="98">
        <f t="shared" si="11"/>
        <v>517.02</v>
      </c>
      <c r="AT83" s="98">
        <f t="shared" si="12"/>
        <v>214.92500000000001</v>
      </c>
      <c r="AU83" s="98">
        <f t="shared" si="56"/>
        <v>0</v>
      </c>
      <c r="AV83" s="98">
        <f t="array" ref="AV83">_xlfn.IFS(U83=0,AO83,U83&lt;0,AO83/-U83,U83&gt;0,AO83/U83)</f>
        <v>474.56941539722379</v>
      </c>
      <c r="AW83" s="234">
        <f t="shared" si="41"/>
        <v>0.34514139301616276</v>
      </c>
      <c r="AX83" s="234">
        <f t="shared" si="42"/>
        <v>3.8554668567489134</v>
      </c>
      <c r="AY83" s="99"/>
      <c r="AZ83" s="94">
        <f t="shared" si="15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2"/>
        <v>3.125E-2</v>
      </c>
      <c r="R84" s="92">
        <f t="shared" si="53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4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5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6"/>
        <v>0</v>
      </c>
      <c r="AB84" s="92">
        <f t="shared" si="54"/>
        <v>0</v>
      </c>
      <c r="AC84" s="234">
        <f t="shared" si="47"/>
        <v>0</v>
      </c>
      <c r="AD84" s="92">
        <f t="shared" si="48"/>
        <v>0</v>
      </c>
      <c r="AE84" s="93">
        <f>'Юнит 6'!AE84+'Юнит 7'!AE84+'Юнит 8'!AE84+'Юнит 9'!AE84</f>
        <v>0</v>
      </c>
      <c r="AF84" s="234">
        <f t="shared" si="49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50"/>
        <v>0</v>
      </c>
      <c r="AM84" s="93">
        <f>'Юнит 6'!AM84+'Юнит 7'!AM84+'Юнит 8'!AM84+'Юнит 9'!AM84</f>
        <v>0</v>
      </c>
      <c r="AN84" s="325">
        <f t="shared" si="51"/>
        <v>0</v>
      </c>
      <c r="AO84" s="95">
        <f t="shared" si="55"/>
        <v>-108</v>
      </c>
      <c r="AP84" s="96"/>
      <c r="AQ84" s="97">
        <f t="shared" si="9"/>
        <v>0</v>
      </c>
      <c r="AR84" s="98">
        <f t="shared" si="30"/>
        <v>146.49</v>
      </c>
      <c r="AS84" s="98">
        <f t="shared" si="11"/>
        <v>0</v>
      </c>
      <c r="AT84" s="98">
        <f t="shared" si="12"/>
        <v>108</v>
      </c>
      <c r="AU84" s="98">
        <f t="shared" si="56"/>
        <v>0</v>
      </c>
      <c r="AV84" s="98">
        <f t="array" ref="AV84">_xlfn.IFS(U84=0,AO84,U84&lt;0,AO84/-U84,U84&gt;0,AO84/U84)</f>
        <v>-108</v>
      </c>
      <c r="AW84" s="234">
        <f t="shared" si="41"/>
        <v>0</v>
      </c>
      <c r="AX84" s="234">
        <f t="shared" si="42"/>
        <v>-0.73725168953512177</v>
      </c>
      <c r="AY84" s="99"/>
      <c r="AZ84" s="94">
        <f t="shared" si="15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2"/>
        <v>0.625</v>
      </c>
      <c r="R85" s="92">
        <f t="shared" si="53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4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5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6"/>
        <v>0</v>
      </c>
      <c r="AB85" s="92">
        <f t="shared" si="54"/>
        <v>2419.1999999999998</v>
      </c>
      <c r="AC85" s="234">
        <f t="shared" si="47"/>
        <v>0</v>
      </c>
      <c r="AD85" s="92">
        <f t="shared" si="48"/>
        <v>0</v>
      </c>
      <c r="AE85" s="93">
        <f>'Юнит 6'!AE85+'Юнит 7'!AE85+'Юнит 8'!AE85+'Юнит 9'!AE85</f>
        <v>-25.170000000000073</v>
      </c>
      <c r="AF85" s="234">
        <f t="shared" si="49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50"/>
        <v>0</v>
      </c>
      <c r="AM85" s="93">
        <f>'Юнит 6'!AM85+'Юнит 7'!AM85+'Юнит 8'!AM85+'Юнит 9'!AM85</f>
        <v>20</v>
      </c>
      <c r="AN85" s="325">
        <f t="shared" si="51"/>
        <v>-18.304218405077417</v>
      </c>
      <c r="AO85" s="95">
        <f t="shared" si="55"/>
        <v>-2679.125781594923</v>
      </c>
      <c r="AP85" s="96"/>
      <c r="AQ85" s="97">
        <f t="shared" si="9"/>
        <v>0</v>
      </c>
      <c r="AR85" s="98">
        <f t="shared" si="30"/>
        <v>103.2</v>
      </c>
      <c r="AS85" s="98">
        <f t="shared" si="11"/>
        <v>0</v>
      </c>
      <c r="AT85" s="98">
        <f t="shared" si="12"/>
        <v>900.86666666666679</v>
      </c>
      <c r="AU85" s="98">
        <f t="shared" si="56"/>
        <v>0</v>
      </c>
      <c r="AV85" s="98">
        <f t="array" ref="AV85">_xlfn.IFS(U85=0,AO85,U85&lt;0,AO85/-U85,U85&gt;0,AO85/U85)</f>
        <v>-2679.125781594923</v>
      </c>
      <c r="AW85" s="234">
        <f t="shared" si="41"/>
        <v>0</v>
      </c>
      <c r="AX85" s="234">
        <f t="shared" si="42"/>
        <v>-25.960521139485685</v>
      </c>
      <c r="AY85" s="99"/>
      <c r="AZ85" s="94">
        <f t="shared" si="15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2"/>
        <v>9.375E-2</v>
      </c>
      <c r="R86" s="92">
        <f t="shared" si="53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4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5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6"/>
        <v>2757.0299999999997</v>
      </c>
      <c r="AB86" s="92">
        <f t="shared" si="54"/>
        <v>2799.93</v>
      </c>
      <c r="AC86" s="234">
        <f t="shared" si="47"/>
        <v>3.2536988946488461E-4</v>
      </c>
      <c r="AD86" s="92">
        <f t="shared" si="48"/>
        <v>300</v>
      </c>
      <c r="AE86" s="93">
        <f>'Юнит 6'!AE86+'Юнит 7'!AE86+'Юнит 8'!AE86+'Юнит 9'!AE86</f>
        <v>1012.9100000000001</v>
      </c>
      <c r="AF86" s="234">
        <f t="shared" si="49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50"/>
        <v>0</v>
      </c>
      <c r="AM86" s="93">
        <f>'Юнит 6'!AM86+'Юнит 7'!AM86+'Юнит 8'!AM86+'Юнит 9'!AM86</f>
        <v>0</v>
      </c>
      <c r="AN86" s="325">
        <f t="shared" si="51"/>
        <v>103.40311257410636</v>
      </c>
      <c r="AO86" s="95">
        <f t="shared" si="55"/>
        <v>1108.5468874258931</v>
      </c>
      <c r="AP86" s="96"/>
      <c r="AQ86" s="97">
        <f t="shared" si="9"/>
        <v>1378.5149999999999</v>
      </c>
      <c r="AR86" s="98">
        <f t="shared" si="30"/>
        <v>150</v>
      </c>
      <c r="AS86" s="98">
        <f t="shared" si="11"/>
        <v>506.45500000000004</v>
      </c>
      <c r="AT86" s="98">
        <f t="shared" si="12"/>
        <v>116.08499999999999</v>
      </c>
      <c r="AU86" s="98">
        <f t="shared" si="56"/>
        <v>0</v>
      </c>
      <c r="AV86" s="98">
        <f t="array" ref="AV86">_xlfn.IFS(U86=0,AO86,U86&lt;0,AO86/-U86,U86&gt;0,AO86/U86)</f>
        <v>554.27344371294657</v>
      </c>
      <c r="AW86" s="234">
        <f t="shared" si="41"/>
        <v>0.40208009612731571</v>
      </c>
      <c r="AX86" s="234">
        <f t="shared" si="42"/>
        <v>3.6951562914196439</v>
      </c>
      <c r="AY86" s="99"/>
      <c r="AZ86" s="94">
        <f t="shared" si="15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2"/>
        <v>0.53125</v>
      </c>
      <c r="R87" s="92">
        <f t="shared" si="53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4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5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6"/>
        <v>4059.25</v>
      </c>
      <c r="AB87" s="92">
        <f t="shared" si="54"/>
        <v>9349.49</v>
      </c>
      <c r="AC87" s="234">
        <f t="shared" si="47"/>
        <v>4.7905090761084679E-4</v>
      </c>
      <c r="AD87" s="92">
        <f t="shared" si="48"/>
        <v>450</v>
      </c>
      <c r="AE87" s="93">
        <f>'Юнит 6'!AE87+'Юнит 7'!AE87+'Юнит 8'!AE87+'Юнит 9'!AE87</f>
        <v>1513.6599999999999</v>
      </c>
      <c r="AF87" s="234">
        <f t="shared" si="49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50"/>
        <v>0</v>
      </c>
      <c r="AM87" s="93">
        <f>'Юнит 6'!AM87+'Юнит 7'!AM87+'Юнит 8'!AM87+'Юнит 9'!AM87</f>
        <v>0</v>
      </c>
      <c r="AN87" s="325">
        <f t="shared" si="51"/>
        <v>150.76668139497463</v>
      </c>
      <c r="AO87" s="95">
        <f t="shared" si="55"/>
        <v>-4601.4166813949741</v>
      </c>
      <c r="AP87" s="96"/>
      <c r="AQ87" s="97">
        <f t="shared" si="9"/>
        <v>1353.0833333333333</v>
      </c>
      <c r="AR87" s="98">
        <f t="shared" si="30"/>
        <v>150</v>
      </c>
      <c r="AS87" s="98">
        <f t="shared" si="11"/>
        <v>504.55333333333328</v>
      </c>
      <c r="AT87" s="98">
        <f t="shared" si="12"/>
        <v>182.08</v>
      </c>
      <c r="AU87" s="98">
        <f t="shared" si="56"/>
        <v>2000</v>
      </c>
      <c r="AV87" s="98">
        <f t="array" ref="AV87">_xlfn.IFS(U87=0,AO87,U87&lt;0,AO87/-U87,U87&gt;0,AO87/U87)</f>
        <v>-1533.8055604649915</v>
      </c>
      <c r="AW87" s="234">
        <f t="shared" si="41"/>
        <v>-1.1335632644934346</v>
      </c>
      <c r="AX87" s="234">
        <f t="shared" si="42"/>
        <v>-10.225370403099943</v>
      </c>
      <c r="AY87" s="99"/>
      <c r="AZ87" s="94">
        <f t="shared" si="15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2"/>
        <v>1.625</v>
      </c>
      <c r="R88" s="92">
        <f t="shared" si="53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4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5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6"/>
        <v>18754.839999999997</v>
      </c>
      <c r="AB88" s="92">
        <f t="shared" si="54"/>
        <v>21570.12</v>
      </c>
      <c r="AC88" s="234">
        <f t="shared" si="47"/>
        <v>2.2133455993339191E-3</v>
      </c>
      <c r="AD88" s="92">
        <f t="shared" si="48"/>
        <v>2250</v>
      </c>
      <c r="AE88" s="93">
        <f>'Юнит 6'!AE88+'Юнит 7'!AE88+'Юнит 8'!AE88+'Юнит 9'!AE88</f>
        <v>7001.3099999999995</v>
      </c>
      <c r="AF88" s="234">
        <f t="shared" si="49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50"/>
        <v>0</v>
      </c>
      <c r="AM88" s="93">
        <f>'Юнит 6'!AM88+'Юнит 7'!AM88+'Юнит 8'!AM88+'Юнит 9'!AM88</f>
        <v>0</v>
      </c>
      <c r="AN88" s="325">
        <f t="shared" si="51"/>
        <v>671.59019546867319</v>
      </c>
      <c r="AO88" s="95">
        <f t="shared" si="55"/>
        <v>1964.579804531324</v>
      </c>
      <c r="AP88" s="96"/>
      <c r="AQ88" s="97">
        <f t="shared" si="9"/>
        <v>1250.3226666666665</v>
      </c>
      <c r="AR88" s="98">
        <f t="shared" si="30"/>
        <v>150</v>
      </c>
      <c r="AS88" s="98">
        <f t="shared" si="11"/>
        <v>466.75399999999996</v>
      </c>
      <c r="AT88" s="98">
        <f t="shared" si="12"/>
        <v>279.49176470588236</v>
      </c>
      <c r="AU88" s="98">
        <f t="shared" si="56"/>
        <v>124.47058823529412</v>
      </c>
      <c r="AV88" s="98">
        <f t="array" ref="AV88">_xlfn.IFS(U88=0,AO88,U88&lt;0,AO88/-U88,U88&gt;0,AO88/U88)</f>
        <v>130.97198696875495</v>
      </c>
      <c r="AW88" s="234">
        <f t="shared" si="41"/>
        <v>0.10475054996637266</v>
      </c>
      <c r="AX88" s="234">
        <f t="shared" si="42"/>
        <v>0.87314657979169963</v>
      </c>
      <c r="AY88" s="99"/>
      <c r="AZ88" s="94">
        <f t="shared" si="15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2"/>
        <v>0.40625</v>
      </c>
      <c r="R89" s="92">
        <f t="shared" si="53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4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5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6"/>
        <v>11986.400000000001</v>
      </c>
      <c r="AB89" s="92">
        <f t="shared" si="54"/>
        <v>13099.84</v>
      </c>
      <c r="AC89" s="234">
        <f t="shared" si="47"/>
        <v>1.4145706224023291E-3</v>
      </c>
      <c r="AD89" s="92">
        <f t="shared" si="48"/>
        <v>1359.12</v>
      </c>
      <c r="AE89" s="93">
        <f>'Юнит 6'!AE89+'Юнит 7'!AE89+'Юнит 8'!AE89+'Юнит 9'!AE89</f>
        <v>4462.5300000000007</v>
      </c>
      <c r="AF89" s="234">
        <f t="shared" si="49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50"/>
        <v>0</v>
      </c>
      <c r="AM89" s="93">
        <f>'Юнит 6'!AM89+'Юнит 7'!AM89+'Юнит 8'!AM89+'Юнит 9'!AM89</f>
        <v>0</v>
      </c>
      <c r="AN89" s="325">
        <f t="shared" si="51"/>
        <v>439.78523669931747</v>
      </c>
      <c r="AO89" s="95">
        <f t="shared" si="55"/>
        <v>4775.074763300684</v>
      </c>
      <c r="AP89" s="96"/>
      <c r="AQ89" s="97">
        <f t="shared" si="9"/>
        <v>1498.3000000000002</v>
      </c>
      <c r="AR89" s="98">
        <f t="shared" si="30"/>
        <v>169.89</v>
      </c>
      <c r="AS89" s="98">
        <f t="shared" si="11"/>
        <v>557.81625000000008</v>
      </c>
      <c r="AT89" s="98">
        <f t="shared" si="12"/>
        <v>118.73625</v>
      </c>
      <c r="AU89" s="98">
        <f t="shared" si="56"/>
        <v>0</v>
      </c>
      <c r="AV89" s="98">
        <f t="array" ref="AV89">_xlfn.IFS(U89=0,AO89,U89&lt;0,AO89/-U89,U89&gt;0,AO89/U89)</f>
        <v>596.8843454125855</v>
      </c>
      <c r="AW89" s="234">
        <f t="shared" si="41"/>
        <v>0.3983743879146936</v>
      </c>
      <c r="AX89" s="234">
        <f t="shared" si="42"/>
        <v>3.5133577339018514</v>
      </c>
      <c r="AY89" s="99"/>
      <c r="AZ89" s="94">
        <f t="shared" si="15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2"/>
        <v>0</v>
      </c>
      <c r="R90" s="92">
        <f t="shared" si="53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4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5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6"/>
        <v>0</v>
      </c>
      <c r="AB90" s="92">
        <f t="shared" si="54"/>
        <v>0</v>
      </c>
      <c r="AC90" s="234">
        <f t="shared" si="47"/>
        <v>0</v>
      </c>
      <c r="AD90" s="92">
        <f t="shared" si="48"/>
        <v>0</v>
      </c>
      <c r="AE90" s="93">
        <f>'Юнит 6'!AE90+'Юнит 7'!AE90+'Юнит 8'!AE90+'Юнит 9'!AE90</f>
        <v>0</v>
      </c>
      <c r="AF90" s="234">
        <f t="shared" si="49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50"/>
        <v>0</v>
      </c>
      <c r="AM90" s="93">
        <f>'Юнит 6'!AM90+'Юнит 7'!AM90+'Юнит 8'!AM90+'Юнит 9'!AM90</f>
        <v>0</v>
      </c>
      <c r="AN90" s="325">
        <f t="shared" si="51"/>
        <v>0</v>
      </c>
      <c r="AO90" s="95">
        <f t="shared" si="55"/>
        <v>0</v>
      </c>
      <c r="AP90" s="96"/>
      <c r="AQ90" s="97">
        <f t="shared" si="9"/>
        <v>0</v>
      </c>
      <c r="AR90" s="98">
        <f t="shared" si="30"/>
        <v>107.88</v>
      </c>
      <c r="AS90" s="98">
        <f t="shared" si="11"/>
        <v>0</v>
      </c>
      <c r="AT90" s="98">
        <f t="shared" si="12"/>
        <v>0</v>
      </c>
      <c r="AU90" s="98">
        <f t="shared" si="56"/>
        <v>0</v>
      </c>
      <c r="AV90" s="98">
        <f t="array" ref="AV90">_xlfn.IFS(U90=0,AO90,U90&lt;0,AO90/-U90,U90&gt;0,AO90/U90)</f>
        <v>0</v>
      </c>
      <c r="AW90" s="234">
        <f t="shared" si="41"/>
        <v>0</v>
      </c>
      <c r="AX90" s="234">
        <f t="shared" si="42"/>
        <v>0</v>
      </c>
      <c r="AY90" s="99"/>
      <c r="AZ90" s="94">
        <f t="shared" si="15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2"/>
        <v>0.75</v>
      </c>
      <c r="R91" s="92">
        <f t="shared" si="53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4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5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6"/>
        <v>2149.63</v>
      </c>
      <c r="AB91" s="92">
        <f t="shared" si="54"/>
        <v>2580</v>
      </c>
      <c r="AC91" s="234">
        <f t="shared" si="47"/>
        <v>2.5368780009299863E-4</v>
      </c>
      <c r="AD91" s="92">
        <f t="shared" si="48"/>
        <v>187.68</v>
      </c>
      <c r="AE91" s="93">
        <f>'Юнит 6'!AE91+'Юнит 7'!AE91+'Юнит 8'!AE91+'Юнит 9'!AE91</f>
        <v>780.99000000000024</v>
      </c>
      <c r="AF91" s="234">
        <f t="shared" si="49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50"/>
        <v>0</v>
      </c>
      <c r="AM91" s="93">
        <f>'Юнит 6'!AM91+'Юнит 7'!AM91+'Юнит 8'!AM91+'Юнит 9'!AM91</f>
        <v>0</v>
      </c>
      <c r="AN91" s="325">
        <f t="shared" si="51"/>
        <v>86.046670876629278</v>
      </c>
      <c r="AO91" s="95">
        <f t="shared" si="55"/>
        <v>-1210.8766708766295</v>
      </c>
      <c r="AP91" s="96"/>
      <c r="AQ91" s="97">
        <f t="shared" si="9"/>
        <v>1074.8150000000001</v>
      </c>
      <c r="AR91" s="98">
        <f t="shared" si="30"/>
        <v>93.84</v>
      </c>
      <c r="AS91" s="98">
        <f t="shared" si="11"/>
        <v>390.49500000000012</v>
      </c>
      <c r="AT91" s="98">
        <f t="shared" si="12"/>
        <v>1152.895</v>
      </c>
      <c r="AU91" s="98">
        <f t="shared" si="56"/>
        <v>0</v>
      </c>
      <c r="AV91" s="98">
        <f t="array" ref="AV91">_xlfn.IFS(U91=0,AO91,U91&lt;0,AO91/-U91,U91&gt;0,AO91/U91)</f>
        <v>-605.43833543831477</v>
      </c>
      <c r="AW91" s="234">
        <f t="shared" si="41"/>
        <v>-0.56329539077731028</v>
      </c>
      <c r="AX91" s="234">
        <f t="shared" si="42"/>
        <v>-6.4518151687799952</v>
      </c>
      <c r="AY91" s="99"/>
      <c r="AZ91" s="94">
        <f t="shared" si="15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2"/>
        <v>0.125</v>
      </c>
      <c r="R92" s="92">
        <f t="shared" si="53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4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5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6"/>
        <v>0</v>
      </c>
      <c r="AB92" s="92">
        <f t="shared" si="54"/>
        <v>0</v>
      </c>
      <c r="AC92" s="234">
        <f t="shared" si="47"/>
        <v>0</v>
      </c>
      <c r="AD92" s="92">
        <f t="shared" si="48"/>
        <v>0</v>
      </c>
      <c r="AE92" s="93">
        <f>'Юнит 6'!AE92+'Юнит 7'!AE92+'Юнит 8'!AE92+'Юнит 9'!AE92</f>
        <v>0</v>
      </c>
      <c r="AF92" s="234">
        <f t="shared" si="49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50"/>
        <v>0</v>
      </c>
      <c r="AM92" s="93">
        <f>'Юнит 6'!AM92+'Юнит 7'!AM92+'Юнит 8'!AM92+'Юнит 9'!AM92</f>
        <v>0</v>
      </c>
      <c r="AN92" s="325">
        <f t="shared" si="51"/>
        <v>0</v>
      </c>
      <c r="AO92" s="95">
        <f t="shared" si="55"/>
        <v>-324.84000000000003</v>
      </c>
      <c r="AP92" s="96"/>
      <c r="AQ92" s="97">
        <f t="shared" si="9"/>
        <v>0</v>
      </c>
      <c r="AR92" s="98">
        <f t="shared" si="30"/>
        <v>139.47</v>
      </c>
      <c r="AS92" s="98">
        <f t="shared" si="11"/>
        <v>0</v>
      </c>
      <c r="AT92" s="98">
        <f t="shared" si="12"/>
        <v>324.84000000000003</v>
      </c>
      <c r="AU92" s="98">
        <f t="shared" si="56"/>
        <v>0</v>
      </c>
      <c r="AV92" s="98">
        <f t="array" ref="AV92">_xlfn.IFS(U92=0,AO92,U92&lt;0,AO92/-U92,U92&gt;0,AO92/U92)</f>
        <v>-324.84000000000003</v>
      </c>
      <c r="AW92" s="234">
        <f t="shared" si="41"/>
        <v>0</v>
      </c>
      <c r="AX92" s="234">
        <f t="shared" si="42"/>
        <v>-2.3291030329103037</v>
      </c>
      <c r="AY92" s="99"/>
      <c r="AZ92" s="94">
        <f t="shared" si="15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2"/>
        <v>9.375E-2</v>
      </c>
      <c r="R93" s="92">
        <f t="shared" si="53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4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5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6"/>
        <v>0</v>
      </c>
      <c r="AB93" s="92">
        <f t="shared" si="54"/>
        <v>0</v>
      </c>
      <c r="AC93" s="234">
        <f t="shared" si="47"/>
        <v>0</v>
      </c>
      <c r="AD93" s="92">
        <f t="shared" si="48"/>
        <v>0</v>
      </c>
      <c r="AE93" s="93">
        <f>'Юнит 6'!AE93+'Юнит 7'!AE93+'Юнит 8'!AE93+'Юнит 9'!AE93</f>
        <v>0</v>
      </c>
      <c r="AF93" s="234">
        <f t="shared" si="49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50"/>
        <v>0</v>
      </c>
      <c r="AM93" s="93">
        <f>'Юнит 6'!AM93+'Юнит 7'!AM93+'Юнит 8'!AM93+'Юнит 9'!AM93</f>
        <v>0</v>
      </c>
      <c r="AN93" s="325">
        <f t="shared" si="51"/>
        <v>0</v>
      </c>
      <c r="AO93" s="95">
        <f t="shared" si="55"/>
        <v>-91.41</v>
      </c>
      <c r="AP93" s="96"/>
      <c r="AQ93" s="97">
        <f t="shared" si="9"/>
        <v>0</v>
      </c>
      <c r="AR93" s="98">
        <f t="shared" si="30"/>
        <v>139.47</v>
      </c>
      <c r="AS93" s="98">
        <f t="shared" si="11"/>
        <v>0</v>
      </c>
      <c r="AT93" s="98">
        <f t="shared" si="12"/>
        <v>91.41</v>
      </c>
      <c r="AU93" s="98">
        <f t="shared" si="56"/>
        <v>0</v>
      </c>
      <c r="AV93" s="98">
        <f t="array" ref="AV93">_xlfn.IFS(U93=0,AO93,U93&lt;0,AO93/-U93,U93&gt;0,AO93/U93)</f>
        <v>-91.41</v>
      </c>
      <c r="AW93" s="234">
        <f t="shared" si="41"/>
        <v>0</v>
      </c>
      <c r="AX93" s="234">
        <f t="shared" si="42"/>
        <v>-0.65540976554097652</v>
      </c>
      <c r="AY93" s="99"/>
      <c r="AZ93" s="94">
        <f t="shared" si="15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2"/>
        <v>9.375E-2</v>
      </c>
      <c r="R94" s="92">
        <f t="shared" si="53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4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5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6"/>
        <v>1258.0899999999999</v>
      </c>
      <c r="AB94" s="92">
        <f t="shared" si="54"/>
        <v>1945.5</v>
      </c>
      <c r="AC94" s="234">
        <f t="shared" si="47"/>
        <v>1.484730322981167E-4</v>
      </c>
      <c r="AD94" s="92">
        <f t="shared" si="48"/>
        <v>400.08</v>
      </c>
      <c r="AE94" s="93">
        <f>'Юнит 6'!AE94+'Юнит 7'!AE94+'Юнит 8'!AE94+'Юнит 9'!AE94</f>
        <v>464.82999999999993</v>
      </c>
      <c r="AF94" s="234">
        <f t="shared" si="49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50"/>
        <v>0</v>
      </c>
      <c r="AM94" s="93">
        <f>'Юнит 6'!AM94+'Юнит 7'!AM94+'Юнит 8'!AM94+'Юнит 9'!AM94</f>
        <v>0</v>
      </c>
      <c r="AN94" s="325">
        <f t="shared" si="51"/>
        <v>45.704398103475519</v>
      </c>
      <c r="AO94" s="95">
        <f t="shared" si="55"/>
        <v>176.56560189652456</v>
      </c>
      <c r="AP94" s="96"/>
      <c r="AQ94" s="97">
        <f t="shared" si="9"/>
        <v>1258.0899999999999</v>
      </c>
      <c r="AR94" s="98">
        <f t="shared" si="30"/>
        <v>400.08</v>
      </c>
      <c r="AS94" s="98">
        <f t="shared" si="11"/>
        <v>464.82999999999993</v>
      </c>
      <c r="AT94" s="98">
        <f t="shared" si="12"/>
        <v>170.91</v>
      </c>
      <c r="AU94" s="98">
        <f t="shared" si="56"/>
        <v>0</v>
      </c>
      <c r="AV94" s="98">
        <f t="array" ref="AV94">_xlfn.IFS(U94=0,AO94,U94&lt;0,AO94/-U94,U94&gt;0,AO94/U94)</f>
        <v>176.56560189652456</v>
      </c>
      <c r="AW94" s="234">
        <f t="shared" si="41"/>
        <v>0.14034417402294316</v>
      </c>
      <c r="AX94" s="234">
        <f t="shared" si="42"/>
        <v>0.44132573959339272</v>
      </c>
      <c r="AY94" s="99"/>
      <c r="AZ94" s="94">
        <f t="shared" si="15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2"/>
        <v>0</v>
      </c>
      <c r="R95" s="92">
        <f t="shared" si="53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4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5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6"/>
        <v>1647</v>
      </c>
      <c r="AB95" s="92">
        <f t="shared" si="54"/>
        <v>0</v>
      </c>
      <c r="AC95" s="234">
        <f t="shared" si="47"/>
        <v>1.9437010404263464E-4</v>
      </c>
      <c r="AD95" s="92">
        <f t="shared" si="48"/>
        <v>400.08</v>
      </c>
      <c r="AE95" s="93">
        <f>'Юнит 6'!AE95+'Юнит 7'!AE95+'Юнит 8'!AE95+'Юнит 9'!AE95</f>
        <v>607.45000000000005</v>
      </c>
      <c r="AF95" s="234">
        <f t="shared" si="49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50"/>
        <v>0</v>
      </c>
      <c r="AM95" s="93">
        <f>'Юнит 6'!AM95+'Юнит 7'!AM95+'Юнит 8'!AM95+'Юнит 9'!AM95</f>
        <v>0</v>
      </c>
      <c r="AN95" s="325">
        <f t="shared" si="51"/>
        <v>57.551606948479609</v>
      </c>
      <c r="AO95" s="95">
        <f t="shared" si="55"/>
        <v>547.11839305152046</v>
      </c>
      <c r="AP95" s="96"/>
      <c r="AQ95" s="97">
        <f t="shared" si="9"/>
        <v>1647</v>
      </c>
      <c r="AR95" s="98">
        <f t="shared" si="30"/>
        <v>400.08</v>
      </c>
      <c r="AS95" s="98">
        <f t="shared" si="11"/>
        <v>607.45000000000005</v>
      </c>
      <c r="AT95" s="98">
        <f t="shared" si="12"/>
        <v>34.799999999999997</v>
      </c>
      <c r="AU95" s="98">
        <f t="shared" si="56"/>
        <v>0</v>
      </c>
      <c r="AV95" s="98">
        <f t="array" ref="AV95">_xlfn.IFS(U95=0,AO95,U95&lt;0,AO95/-U95,U95&gt;0,AO95/U95)</f>
        <v>547.11839305152046</v>
      </c>
      <c r="AW95" s="234">
        <f t="shared" si="41"/>
        <v>0.33219088831300575</v>
      </c>
      <c r="AX95" s="234">
        <f t="shared" si="42"/>
        <v>1.3675224781331745</v>
      </c>
      <c r="AY95" s="99"/>
      <c r="AZ95" s="94">
        <f t="shared" si="15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2"/>
        <v>0</v>
      </c>
      <c r="R96" s="92">
        <f t="shared" si="53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4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5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6"/>
        <v>0</v>
      </c>
      <c r="AB96" s="92">
        <f t="shared" si="54"/>
        <v>0</v>
      </c>
      <c r="AC96" s="234">
        <f t="shared" si="47"/>
        <v>0</v>
      </c>
      <c r="AD96" s="92">
        <f t="shared" si="48"/>
        <v>0</v>
      </c>
      <c r="AE96" s="93">
        <f>'Юнит 6'!AE96+'Юнит 7'!AE96+'Юнит 8'!AE96+'Юнит 9'!AE96</f>
        <v>0</v>
      </c>
      <c r="AF96" s="234">
        <f t="shared" si="49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50"/>
        <v>0</v>
      </c>
      <c r="AM96" s="93">
        <f>'Юнит 6'!AM96+'Юнит 7'!AM96+'Юнит 8'!AM96+'Юнит 9'!AM96</f>
        <v>0</v>
      </c>
      <c r="AN96" s="325">
        <f t="shared" si="51"/>
        <v>0</v>
      </c>
      <c r="AO96" s="95">
        <f t="shared" si="55"/>
        <v>0</v>
      </c>
      <c r="AP96" s="96"/>
      <c r="AQ96" s="97">
        <f t="shared" si="9"/>
        <v>0</v>
      </c>
      <c r="AR96" s="98">
        <f t="shared" si="30"/>
        <v>300.08</v>
      </c>
      <c r="AS96" s="98">
        <f t="shared" si="11"/>
        <v>0</v>
      </c>
      <c r="AT96" s="98">
        <f t="shared" si="12"/>
        <v>0</v>
      </c>
      <c r="AU96" s="98">
        <f t="shared" si="56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5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2"/>
        <v>3.125E-2</v>
      </c>
      <c r="R97" s="92">
        <f t="shared" si="53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4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5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6"/>
        <v>0</v>
      </c>
      <c r="AB97" s="92">
        <f t="shared" si="54"/>
        <v>0</v>
      </c>
      <c r="AC97" s="234">
        <f t="shared" si="47"/>
        <v>0</v>
      </c>
      <c r="AD97" s="92">
        <f t="shared" si="48"/>
        <v>0</v>
      </c>
      <c r="AE97" s="93">
        <f>'Юнит 6'!AE97+'Юнит 7'!AE97+'Юнит 8'!AE97+'Юнит 9'!AE97</f>
        <v>0</v>
      </c>
      <c r="AF97" s="234">
        <f t="shared" si="49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50"/>
        <v>0</v>
      </c>
      <c r="AM97" s="93">
        <f>'Юнит 6'!AM97+'Юнит 7'!AM97+'Юнит 8'!AM97+'Юнит 9'!AM97</f>
        <v>0</v>
      </c>
      <c r="AN97" s="325">
        <f t="shared" si="51"/>
        <v>0</v>
      </c>
      <c r="AO97" s="95">
        <f t="shared" si="55"/>
        <v>0</v>
      </c>
      <c r="AP97" s="96"/>
      <c r="AQ97" s="97">
        <f t="shared" si="9"/>
        <v>0</v>
      </c>
      <c r="AR97" s="98">
        <f t="shared" si="30"/>
        <v>400.08</v>
      </c>
      <c r="AS97" s="98">
        <f t="shared" si="11"/>
        <v>0</v>
      </c>
      <c r="AT97" s="98">
        <f t="shared" si="12"/>
        <v>0</v>
      </c>
      <c r="AU97" s="98">
        <f t="shared" si="56"/>
        <v>0</v>
      </c>
      <c r="AV97" s="98">
        <f t="array" ref="AV97">_xlfn.IFS(U97=0,AO97,U97&lt;0,AO97/-U97,U97&gt;0,AO97/U97)</f>
        <v>0</v>
      </c>
      <c r="AW97" s="234">
        <f t="shared" si="41"/>
        <v>0</v>
      </c>
      <c r="AX97" s="234">
        <f t="shared" si="42"/>
        <v>0</v>
      </c>
      <c r="AY97" s="99"/>
      <c r="AZ97" s="94">
        <f t="shared" si="15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2"/>
        <v>0.15625</v>
      </c>
      <c r="R98" s="92">
        <f t="shared" si="53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4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5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6"/>
        <v>1756</v>
      </c>
      <c r="AB98" s="92">
        <f t="shared" si="54"/>
        <v>4390</v>
      </c>
      <c r="AC98" s="234">
        <f t="shared" si="47"/>
        <v>2.0723369927071428E-4</v>
      </c>
      <c r="AD98" s="92">
        <f t="shared" si="48"/>
        <v>600.16</v>
      </c>
      <c r="AE98" s="93">
        <f>'Юнит 6'!AE98+'Юнит 7'!AE98+'Юнит 8'!AE98+'Юнит 9'!AE98</f>
        <v>666.44</v>
      </c>
      <c r="AF98" s="234">
        <f t="shared" si="49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50"/>
        <v>0</v>
      </c>
      <c r="AM98" s="93">
        <f>'Юнит 6'!AM98+'Юнит 7'!AM98+'Юнит 8'!AM98+'Юнит 9'!AM98</f>
        <v>0</v>
      </c>
      <c r="AN98" s="325">
        <f t="shared" si="51"/>
        <v>66.59142033258226</v>
      </c>
      <c r="AO98" s="95">
        <f t="shared" si="55"/>
        <v>235.27857966741786</v>
      </c>
      <c r="AP98" s="96"/>
      <c r="AQ98" s="97">
        <f t="shared" ref="AQ98" si="57">IF(U98=0,0,AA98/U98)</f>
        <v>878</v>
      </c>
      <c r="AR98" s="98">
        <f t="shared" si="30"/>
        <v>300.08</v>
      </c>
      <c r="AS98" s="98">
        <f t="shared" ref="AS98" si="58">IF(U98=0,0,AE98/U98)</f>
        <v>333.22</v>
      </c>
      <c r="AT98" s="98">
        <f t="shared" ref="AT98" si="59">IF(S98=0,AG98/1,AG98/S98)</f>
        <v>93.765000000000001</v>
      </c>
      <c r="AU98" s="98">
        <f t="shared" si="56"/>
        <v>0</v>
      </c>
      <c r="AV98" s="98">
        <f t="array" ref="AV98">_xlfn.IFS(U98=0,AO98,U98&lt;0,AO98/-U98,U98&gt;0,AO98/U98)</f>
        <v>117.63928983370893</v>
      </c>
      <c r="AW98" s="234">
        <f t="shared" si="41"/>
        <v>0.13398552372859787</v>
      </c>
      <c r="AX98" s="234">
        <f t="shared" si="42"/>
        <v>0.39202642573216789</v>
      </c>
      <c r="AY98" s="99"/>
      <c r="AZ98" s="94">
        <f t="shared" ref="AZ98" si="6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1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2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3">N99/32</f>
        <v>3.125E-2</v>
      </c>
      <c r="R99" s="92">
        <f t="shared" ref="R99:R103" si="64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5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6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7">Y99+Z99</f>
        <v>0</v>
      </c>
      <c r="AB99" s="92">
        <f t="shared" ref="AB99:AB103" si="68">N99*O99*P99/100</f>
        <v>0</v>
      </c>
      <c r="AC99" s="234">
        <f t="shared" ref="AC99:AC103" si="69">AA99/$AA$126</f>
        <v>0</v>
      </c>
      <c r="AD99" s="92">
        <f t="shared" ref="AD99:AD103" si="70">U99*K99</f>
        <v>0</v>
      </c>
      <c r="AE99" s="93">
        <f>'Юнит 6'!AE99+'Юнит 7'!AE99+'Юнит 8'!AE99+'Юнит 9'!AE99</f>
        <v>0</v>
      </c>
      <c r="AF99" s="234">
        <f t="shared" ref="AF99:AF103" si="71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2">IFERROR($AL$126*H99/$H$126,0)</f>
        <v>0</v>
      </c>
      <c r="AM99" s="93">
        <f>'Юнит 6'!AM99+'Юнит 7'!AM99+'Юнит 8'!AM99+'Юнит 9'!AM99</f>
        <v>476</v>
      </c>
      <c r="AN99" s="325">
        <f t="shared" si="51"/>
        <v>0</v>
      </c>
      <c r="AO99" s="95">
        <f t="shared" ref="AO99:AO103" si="73">AA99-AD99-AE99-AG99-AH99-AI99-AK99-AL99-AN99-AM99</f>
        <v>-476</v>
      </c>
      <c r="AP99" s="96"/>
      <c r="AQ99" s="97">
        <f t="shared" ref="AQ99:AQ103" si="74">IF(U99=0,0,AA99/U99)</f>
        <v>0</v>
      </c>
      <c r="AR99" s="98">
        <f t="shared" ref="AR99:AR103" si="75">K99</f>
        <v>142.97999999999999</v>
      </c>
      <c r="AS99" s="98">
        <f t="shared" ref="AS99:AS103" si="76">IF(U99=0,0,AE99/U99)</f>
        <v>0</v>
      </c>
      <c r="AT99" s="98">
        <f t="shared" ref="AT99:AT103" si="77">IF(S99=0,AG99/1,AG99/S99)</f>
        <v>0</v>
      </c>
      <c r="AU99" s="98">
        <f t="shared" ref="AU99:AU103" si="78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9">IF(AQ99=0,0,AV99/AQ99)</f>
        <v>0</v>
      </c>
      <c r="AX99" s="234">
        <f t="shared" ref="AX99:AX103" si="80">IF(AR99=0,0,AV99/AR99)</f>
        <v>-3.3291369422296828</v>
      </c>
      <c r="AY99" s="99"/>
      <c r="AZ99" s="94">
        <f t="shared" ref="AZ99:AZ103" si="81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1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2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3"/>
        <v>0</v>
      </c>
      <c r="R100" s="92">
        <f t="shared" si="64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5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6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7"/>
        <v>0</v>
      </c>
      <c r="AB100" s="92">
        <f t="shared" si="68"/>
        <v>0</v>
      </c>
      <c r="AC100" s="234">
        <f t="shared" si="69"/>
        <v>0</v>
      </c>
      <c r="AD100" s="92">
        <f t="shared" si="70"/>
        <v>0</v>
      </c>
      <c r="AE100" s="93">
        <f>'Юнит 6'!AE100+'Юнит 7'!AE100+'Юнит 8'!AE100+'Юнит 9'!AE100</f>
        <v>0</v>
      </c>
      <c r="AF100" s="234">
        <f t="shared" si="71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2"/>
        <v>0</v>
      </c>
      <c r="AM100" s="93">
        <f>'Юнит 6'!AM100+'Юнит 7'!AM100+'Юнит 8'!AM100+'Юнит 9'!AM100</f>
        <v>0</v>
      </c>
      <c r="AN100" s="325">
        <f t="shared" si="51"/>
        <v>0</v>
      </c>
      <c r="AO100" s="95">
        <f t="shared" si="73"/>
        <v>0</v>
      </c>
      <c r="AP100" s="96"/>
      <c r="AQ100" s="97">
        <f t="shared" si="74"/>
        <v>0</v>
      </c>
      <c r="AR100" s="98">
        <f t="shared" si="75"/>
        <v>142.97999999999999</v>
      </c>
      <c r="AS100" s="98">
        <f t="shared" si="76"/>
        <v>0</v>
      </c>
      <c r="AT100" s="98">
        <f t="shared" si="77"/>
        <v>0</v>
      </c>
      <c r="AU100" s="98">
        <f t="shared" si="78"/>
        <v>0</v>
      </c>
      <c r="AV100" s="98">
        <f t="array" ref="AV100">_xlfn.IFS(U100=0,AO100,U100&lt;0,AO100/-U100,U100&gt;0,AO100/U100)</f>
        <v>0</v>
      </c>
      <c r="AW100" s="234">
        <f t="shared" si="79"/>
        <v>0</v>
      </c>
      <c r="AX100" s="234">
        <f t="shared" si="80"/>
        <v>0</v>
      </c>
      <c r="AY100" s="99"/>
      <c r="AZ100" s="94">
        <f t="shared" si="81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1"/>
        <v>0</v>
      </c>
      <c r="F101" s="93"/>
      <c r="G101" s="93"/>
      <c r="H101" s="93"/>
      <c r="I101" s="93"/>
      <c r="J101" s="93"/>
      <c r="K101" s="92">
        <v>123.09</v>
      </c>
      <c r="L101" s="92">
        <f t="shared" si="62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3"/>
        <v>6.25E-2</v>
      </c>
      <c r="R101" s="92">
        <f t="shared" si="64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5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6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7"/>
        <v>1799.94</v>
      </c>
      <c r="AB101" s="92">
        <f t="shared" si="68"/>
        <v>1800</v>
      </c>
      <c r="AC101" s="234">
        <f t="shared" si="69"/>
        <v>2.1241926233788694E-4</v>
      </c>
      <c r="AD101" s="92">
        <f t="shared" si="70"/>
        <v>246.18</v>
      </c>
      <c r="AE101" s="93">
        <f>'Юнит 6'!AE101+'Юнит 7'!AE101+'Юнит 8'!AE101+'Юнит 9'!AE101</f>
        <v>748.51</v>
      </c>
      <c r="AF101" s="234">
        <f t="shared" si="71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2"/>
        <v>0</v>
      </c>
      <c r="AM101" s="93">
        <f>'Юнит 6'!AM101+'Юнит 7'!AM101+'Юнит 8'!AM101+'Юнит 9'!AM101</f>
        <v>0</v>
      </c>
      <c r="AN101" s="325">
        <f t="shared" si="51"/>
        <v>70.462257194073175</v>
      </c>
      <c r="AO101" s="95">
        <f t="shared" si="73"/>
        <v>618.20774280592673</v>
      </c>
      <c r="AP101" s="96"/>
      <c r="AQ101" s="97">
        <f t="shared" si="74"/>
        <v>899.97</v>
      </c>
      <c r="AR101" s="98">
        <f t="shared" si="75"/>
        <v>123.09</v>
      </c>
      <c r="AS101" s="98">
        <f t="shared" si="76"/>
        <v>374.255</v>
      </c>
      <c r="AT101" s="98">
        <f t="shared" si="77"/>
        <v>58.29</v>
      </c>
      <c r="AU101" s="98">
        <f t="shared" si="78"/>
        <v>0</v>
      </c>
      <c r="AV101" s="98">
        <f t="array" ref="AV101">_xlfn.IFS(U101=0,AO101,U101&lt;0,AO101/-U101,U101&gt;0,AO101/U101)</f>
        <v>309.10387140296336</v>
      </c>
      <c r="AW101" s="234">
        <f t="shared" si="79"/>
        <v>0.3434601946764485</v>
      </c>
      <c r="AX101" s="234">
        <f t="shared" si="80"/>
        <v>2.5112021399217106</v>
      </c>
      <c r="AY101" s="99"/>
      <c r="AZ101" s="94">
        <f t="shared" si="8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1"/>
        <v>0</v>
      </c>
      <c r="F102" s="93"/>
      <c r="G102" s="93"/>
      <c r="H102" s="93"/>
      <c r="I102" s="93"/>
      <c r="J102" s="93"/>
      <c r="K102" s="92">
        <v>123.09</v>
      </c>
      <c r="L102" s="92">
        <f t="shared" si="62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3"/>
        <v>3.125E-2</v>
      </c>
      <c r="R102" s="92">
        <f t="shared" si="64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5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6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7"/>
        <v>0</v>
      </c>
      <c r="AB102" s="92">
        <f t="shared" si="68"/>
        <v>0</v>
      </c>
      <c r="AC102" s="234">
        <f t="shared" si="69"/>
        <v>0</v>
      </c>
      <c r="AD102" s="92">
        <f t="shared" si="70"/>
        <v>0</v>
      </c>
      <c r="AE102" s="93">
        <f>'Юнит 6'!AE102+'Юнит 7'!AE102+'Юнит 8'!AE102+'Юнит 9'!AE102</f>
        <v>0</v>
      </c>
      <c r="AF102" s="234">
        <f t="shared" si="71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2"/>
        <v>0</v>
      </c>
      <c r="AM102" s="93">
        <f>'Юнит 6'!AM102+'Юнит 7'!AM102+'Юнит 8'!AM102+'Юнит 9'!AM102</f>
        <v>0</v>
      </c>
      <c r="AN102" s="325">
        <f t="shared" si="51"/>
        <v>0</v>
      </c>
      <c r="AO102" s="95">
        <f t="shared" si="73"/>
        <v>0</v>
      </c>
      <c r="AP102" s="96"/>
      <c r="AQ102" s="97">
        <f t="shared" si="74"/>
        <v>0</v>
      </c>
      <c r="AR102" s="98">
        <f t="shared" si="75"/>
        <v>123.09</v>
      </c>
      <c r="AS102" s="98">
        <f t="shared" si="76"/>
        <v>0</v>
      </c>
      <c r="AT102" s="98">
        <f t="shared" si="77"/>
        <v>0</v>
      </c>
      <c r="AU102" s="98">
        <f t="shared" si="78"/>
        <v>0</v>
      </c>
      <c r="AV102" s="98">
        <f t="array" ref="AV102">_xlfn.IFS(U102=0,AO102,U102&lt;0,AO102/-U102,U102&gt;0,AO102/U102)</f>
        <v>0</v>
      </c>
      <c r="AW102" s="234">
        <f t="shared" si="79"/>
        <v>0</v>
      </c>
      <c r="AX102" s="234">
        <f t="shared" si="80"/>
        <v>0</v>
      </c>
      <c r="AY102" s="99"/>
      <c r="AZ102" s="94">
        <f t="shared" si="81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1"/>
        <v>0</v>
      </c>
      <c r="F103" s="93"/>
      <c r="G103" s="93"/>
      <c r="H103" s="93"/>
      <c r="I103" s="93"/>
      <c r="J103" s="93"/>
      <c r="K103" s="93">
        <v>107.88</v>
      </c>
      <c r="L103" s="92">
        <f t="shared" si="62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3"/>
        <v>3.125E-2</v>
      </c>
      <c r="R103" s="92">
        <f t="shared" si="64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5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6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7"/>
        <v>0</v>
      </c>
      <c r="AB103" s="92">
        <f t="shared" si="68"/>
        <v>0</v>
      </c>
      <c r="AC103" s="234">
        <f t="shared" si="69"/>
        <v>0</v>
      </c>
      <c r="AD103" s="92">
        <f t="shared" si="70"/>
        <v>0</v>
      </c>
      <c r="AE103" s="93">
        <f>'Юнит 6'!AE103+'Юнит 7'!AE103+'Юнит 8'!AE103+'Юнит 9'!AE103</f>
        <v>0</v>
      </c>
      <c r="AF103" s="234">
        <f t="shared" si="71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2"/>
        <v>0</v>
      </c>
      <c r="AM103" s="93">
        <f>'Юнит 6'!AM103+'Юнит 7'!AM103+'Юнит 8'!AM103+'Юнит 9'!AM103</f>
        <v>336</v>
      </c>
      <c r="AN103" s="325">
        <f t="shared" si="51"/>
        <v>0</v>
      </c>
      <c r="AO103" s="95">
        <f t="shared" si="73"/>
        <v>-336</v>
      </c>
      <c r="AP103" s="96"/>
      <c r="AQ103" s="97">
        <f t="shared" si="74"/>
        <v>0</v>
      </c>
      <c r="AR103" s="98">
        <f t="shared" si="75"/>
        <v>107.88</v>
      </c>
      <c r="AS103" s="98">
        <f t="shared" si="76"/>
        <v>0</v>
      </c>
      <c r="AT103" s="98">
        <f t="shared" si="77"/>
        <v>0</v>
      </c>
      <c r="AU103" s="98">
        <f t="shared" si="78"/>
        <v>0</v>
      </c>
      <c r="AV103" s="98">
        <f t="array" ref="AV103">_xlfn.IFS(U103=0,AO103,U103&lt;0,AO103/-U103,U103&gt;0,AO103/U103)</f>
        <v>-336</v>
      </c>
      <c r="AW103" s="234">
        <f t="shared" si="79"/>
        <v>0</v>
      </c>
      <c r="AX103" s="234">
        <f t="shared" si="80"/>
        <v>-3.1145717463848723</v>
      </c>
      <c r="AY103" s="99"/>
      <c r="AZ103" s="94">
        <f t="shared" si="81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2">AVERAGE(AQ7:AQ98)</f>
        <v>705.32433657244417</v>
      </c>
      <c r="AR104" s="111">
        <f t="shared" si="82"/>
        <v>141.22217391304349</v>
      </c>
      <c r="AS104" s="111">
        <f t="shared" si="82"/>
        <v>263.0616590140512</v>
      </c>
      <c r="AT104" s="111">
        <f t="shared" si="82"/>
        <v>189.44570517328921</v>
      </c>
      <c r="AU104" s="111">
        <f t="shared" si="82"/>
        <v>126.87432104904731</v>
      </c>
      <c r="AV104" s="111">
        <f t="shared" si="82"/>
        <v>-39.263814672573133</v>
      </c>
      <c r="AW104" s="112">
        <f t="shared" si="82"/>
        <v>1.6939602786738197E-2</v>
      </c>
      <c r="AX104" s="112">
        <f t="shared" si="82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SUM(E3:E103)</f>
        <v>0</v>
      </c>
      <c r="F105" s="116">
        <f t="shared" si="83"/>
        <v>0</v>
      </c>
      <c r="G105" s="116">
        <f t="shared" si="83"/>
        <v>0</v>
      </c>
      <c r="H105" s="116">
        <f t="shared" si="83"/>
        <v>0</v>
      </c>
      <c r="I105" s="116">
        <f t="shared" si="83"/>
        <v>0</v>
      </c>
      <c r="J105" s="116">
        <f t="shared" si="83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4">SUM(S3:S103)</f>
        <v>7967</v>
      </c>
      <c r="T105" s="116">
        <f t="shared" si="84"/>
        <v>-171</v>
      </c>
      <c r="U105" s="116">
        <f t="shared" si="84"/>
        <v>7796</v>
      </c>
      <c r="V105" s="116">
        <f t="shared" si="84"/>
        <v>5543477.6099999994</v>
      </c>
      <c r="W105" s="116">
        <f t="shared" si="84"/>
        <v>-118993.17</v>
      </c>
      <c r="X105" s="116">
        <f t="shared" si="84"/>
        <v>5424484.4399999995</v>
      </c>
      <c r="Y105" s="116">
        <f t="shared" si="84"/>
        <v>8658079.7899999991</v>
      </c>
      <c r="Z105" s="116">
        <f t="shared" si="84"/>
        <v>-186633.46</v>
      </c>
      <c r="AA105" s="238">
        <f t="shared" si="84"/>
        <v>8471446.3300000001</v>
      </c>
      <c r="AB105" s="116">
        <f t="shared" si="84"/>
        <v>9835516.5999999996</v>
      </c>
      <c r="AC105" s="239">
        <f t="shared" si="84"/>
        <v>0.99975464757358568</v>
      </c>
      <c r="AD105" s="117">
        <f t="shared" si="84"/>
        <v>974318.92000000051</v>
      </c>
      <c r="AE105" s="116">
        <f t="shared" si="84"/>
        <v>3161035.1400000006</v>
      </c>
      <c r="AF105" s="239">
        <f>AE105/AA105</f>
        <v>0.37313995944302941</v>
      </c>
      <c r="AG105" s="116">
        <f t="shared" ref="AG105:AO105" si="85">SUM(AG3:AG103)</f>
        <v>933157.65999999992</v>
      </c>
      <c r="AH105" s="116">
        <f t="shared" si="85"/>
        <v>541649</v>
      </c>
      <c r="AI105" s="116">
        <f t="shared" si="85"/>
        <v>609161</v>
      </c>
      <c r="AJ105" s="116">
        <f t="shared" si="85"/>
        <v>3624</v>
      </c>
      <c r="AK105" s="116">
        <f t="shared" si="85"/>
        <v>0</v>
      </c>
      <c r="AL105" s="117">
        <f t="shared" si="85"/>
        <v>0</v>
      </c>
      <c r="AM105" s="116">
        <f t="shared" si="85"/>
        <v>2684.1099999999997</v>
      </c>
      <c r="AN105" s="117">
        <f t="shared" si="85"/>
        <v>304573.45989173057</v>
      </c>
      <c r="AO105" s="117">
        <f t="shared" si="85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7">N107/32</f>
        <v>0</v>
      </c>
      <c r="R107" s="92">
        <f t="shared" ref="R107:R111" si="88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9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90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1">Y107+Z107</f>
        <v>0</v>
      </c>
      <c r="AB107" s="92">
        <f t="shared" ref="AB107:AB111" si="92">N107*O107*P107/100</f>
        <v>0</v>
      </c>
      <c r="AC107" s="234">
        <f t="shared" ref="AC107:AC111" si="93">AA107/$AA$126</f>
        <v>0</v>
      </c>
      <c r="AD107" s="92">
        <f t="shared" ref="AD107:AD111" si="94">U107*K107</f>
        <v>0</v>
      </c>
      <c r="AE107" s="93">
        <f>'Юнит 6'!AE107+'Юнит 7'!AE107+'Юнит 8'!AE107+'Юнит 9'!AE107</f>
        <v>0</v>
      </c>
      <c r="AF107" s="234">
        <f t="shared" ref="AF107:AF111" si="95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6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7"/>
        <v>3.125E-2</v>
      </c>
      <c r="R108" s="92">
        <f t="shared" si="88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9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90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1"/>
        <v>2079</v>
      </c>
      <c r="AB108" s="92">
        <f t="shared" si="92"/>
        <v>2079</v>
      </c>
      <c r="AC108" s="234">
        <f t="shared" si="93"/>
        <v>2.4535242641447324E-4</v>
      </c>
      <c r="AD108" s="92">
        <f t="shared" si="94"/>
        <v>579.17999999999995</v>
      </c>
      <c r="AE108" s="93">
        <f>'Юнит 6'!AE108+'Юнит 7'!AE108+'Юнит 8'!AE108+'Юнит 9'!AE108</f>
        <v>763.08999999999992</v>
      </c>
      <c r="AF108" s="234">
        <f t="shared" si="95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6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7"/>
        <v>-32855.820108269763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-32855.820108269763</v>
      </c>
      <c r="AW108" s="234">
        <f t="shared" si="103"/>
        <v>-15.803665275743032</v>
      </c>
      <c r="AX108" s="234">
        <f t="shared" si="104"/>
        <v>-56.728167596031916</v>
      </c>
      <c r="AY108" s="99"/>
      <c r="AZ108" s="94">
        <f t="shared" si="105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7"/>
        <v>0</v>
      </c>
      <c r="R109" s="92">
        <f t="shared" si="88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9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90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1"/>
        <v>0</v>
      </c>
      <c r="AB109" s="92">
        <f t="shared" si="92"/>
        <v>0</v>
      </c>
      <c r="AC109" s="234">
        <f t="shared" si="93"/>
        <v>0</v>
      </c>
      <c r="AD109" s="92">
        <f t="shared" si="94"/>
        <v>0</v>
      </c>
      <c r="AE109" s="93">
        <f>'Юнит 6'!AE109+'Юнит 7'!AE109+'Юнит 8'!AE109+'Юнит 9'!AE109</f>
        <v>0</v>
      </c>
      <c r="AF109" s="234">
        <f t="shared" si="95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6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7"/>
        <v>0</v>
      </c>
      <c r="R110" s="92">
        <f t="shared" si="88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9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90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1"/>
        <v>0</v>
      </c>
      <c r="AB110" s="92">
        <f t="shared" si="92"/>
        <v>0</v>
      </c>
      <c r="AC110" s="234">
        <f t="shared" si="93"/>
        <v>0</v>
      </c>
      <c r="AD110" s="92">
        <f t="shared" si="94"/>
        <v>0</v>
      </c>
      <c r="AE110" s="93">
        <f>'Юнит 6'!AE110+'Юнит 7'!AE110+'Юнит 8'!AE110+'Юнит 9'!AE110</f>
        <v>0</v>
      </c>
      <c r="AF110" s="234">
        <f t="shared" si="95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6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7"/>
        <v>0</v>
      </c>
      <c r="R111" s="92">
        <f t="shared" si="88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9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90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1"/>
        <v>0</v>
      </c>
      <c r="AB111" s="92">
        <f t="shared" si="92"/>
        <v>0</v>
      </c>
      <c r="AC111" s="234">
        <f t="shared" si="93"/>
        <v>0</v>
      </c>
      <c r="AD111" s="92">
        <f t="shared" si="94"/>
        <v>0</v>
      </c>
      <c r="AE111" s="93">
        <f>'Юнит 6'!AE111+'Юнит 7'!AE111+'Юнит 8'!AE111+'Юнит 9'!AE111</f>
        <v>0</v>
      </c>
      <c r="AF111" s="234">
        <f t="shared" si="95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6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-6571.1640216539527</v>
      </c>
      <c r="AW112" s="246">
        <f t="shared" si="107"/>
        <v>-3.1607330551486066</v>
      </c>
      <c r="AX112" s="246">
        <f t="shared" si="107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79.000108269766642</v>
      </c>
      <c r="AO113" s="253">
        <f t="shared" si="110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304652.46*X115/$X$126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Сводная!AG9+SUM(Сводная!T9:T16)+SUM(Сводная!V9:V16)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sheetPr codeName="Лист36"/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23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21"/>
      <c r="AL1" s="22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94"/>
      <c r="AI125" s="594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4">
        <f>AH106+AH114+AH125</f>
        <v>0</v>
      </c>
      <c r="AI127" s="594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sheetPr codeName="Лист37"/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23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18"/>
      <c r="AL1" s="22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4"/>
      <c r="AI125" s="594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4">
        <f>AH106+AH114+AH125</f>
        <v>0</v>
      </c>
      <c r="AI127" s="594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sheetPr codeName="Лист38"/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99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95"/>
      <c r="AL1" s="300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4"/>
      <c r="AI125" s="594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4">
        <f>AH106+AH114+AH125</f>
        <v>0</v>
      </c>
      <c r="AI127" s="594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sheetPr codeName="Лист39"/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99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95"/>
      <c r="AL1" s="300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91"/>
      <c r="AI106" s="591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92"/>
      <c r="AI114" s="593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4"/>
      <c r="AI125" s="594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4">
        <f>AH106+AH114+AH125</f>
        <v>0</v>
      </c>
      <c r="AI127" s="594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sheetPr codeName="Лист40"/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23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18"/>
      <c r="AL1" s="22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 t="shared" ref="AN3:AN34" si="8"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9">IF(U3=0,0,AA3/U3)</f>
        <v>1316.4835443037975</v>
      </c>
      <c r="AR3" s="98">
        <f t="shared" ref="AR3:AR19" si="10">K3</f>
        <v>142.97999999999999</v>
      </c>
      <c r="AS3" s="98">
        <f t="shared" ref="AS3:AS97" si="11">IF(U3=0,0,AE3/U3)</f>
        <v>485.09373417721497</v>
      </c>
      <c r="AT3" s="98">
        <f t="shared" ref="AT3:AT97" si="12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3">IF(AQ3=0,0,AV3/AQ3)</f>
        <v>0.10954166384197106</v>
      </c>
      <c r="AX3" s="234">
        <f t="shared" ref="AX3" si="14">IF(AR3=0,0,AV3/AR3)</f>
        <v>1.0086011880235921</v>
      </c>
      <c r="AY3" s="99"/>
      <c r="AZ3" s="94">
        <f t="shared" ref="AZ3:AZ97" si="15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6">N4/32</f>
        <v>31.65625</v>
      </c>
      <c r="R4" s="92">
        <f t="shared" ref="R4:R67" si="17">U4/32</f>
        <v>18.8125</v>
      </c>
      <c r="S4" s="93">
        <v>607</v>
      </c>
      <c r="T4" s="93">
        <v>-5</v>
      </c>
      <c r="U4" s="92">
        <f t="shared" ref="U4:U67" si="18">S4+T4</f>
        <v>602</v>
      </c>
      <c r="V4" s="93">
        <v>295794.19000000035</v>
      </c>
      <c r="W4" s="93">
        <v>-2554.87</v>
      </c>
      <c r="X4" s="92">
        <f t="shared" ref="X4:X67" si="19">V4+W4</f>
        <v>293239.32000000036</v>
      </c>
      <c r="Y4" s="93">
        <v>395383.81000000011</v>
      </c>
      <c r="Z4" s="93">
        <v>-3316.59</v>
      </c>
      <c r="AA4" s="92">
        <f t="shared" ref="AA4:AA67" si="20">Y4+Z4</f>
        <v>392067.22000000009</v>
      </c>
      <c r="AB4" s="92">
        <f t="shared" ref="AB4:AB67" si="21">N4*O4*P4/100</f>
        <v>519121.98</v>
      </c>
      <c r="AC4" s="234">
        <f t="shared" ref="AC4:AC67" si="22">AA4/$AA$121</f>
        <v>0.17463435141690725</v>
      </c>
      <c r="AD4" s="92">
        <f t="shared" ref="AD4:AD67" si="23">U4*K4</f>
        <v>74100.180000000008</v>
      </c>
      <c r="AE4" s="93">
        <v>146969.56000000096</v>
      </c>
      <c r="AF4" s="234">
        <f t="shared" ref="AF4:AF67" si="24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5">IFERROR($AL$121*H4/$H$121,0)</f>
        <v>1120.1866913344475</v>
      </c>
      <c r="AM4" s="93">
        <v>0</v>
      </c>
      <c r="AN4" s="325">
        <f t="shared" si="8"/>
        <v>16449.406746851237</v>
      </c>
      <c r="AO4" s="95">
        <f t="shared" ref="AO4:AO67" si="26">AA4-AD4-AE4-AG4-AH4-AI4-AK4-AL4-AN4-AM4</f>
        <v>95816.616561813324</v>
      </c>
      <c r="AP4" s="96"/>
      <c r="AQ4" s="97">
        <f t="shared" si="9"/>
        <v>651.27445182724273</v>
      </c>
      <c r="AR4" s="98">
        <f t="shared" si="10"/>
        <v>123.09</v>
      </c>
      <c r="AS4" s="98">
        <f t="shared" si="11"/>
        <v>244.13548172757635</v>
      </c>
      <c r="AT4" s="98">
        <f t="shared" si="12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5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6"/>
        <v>10.65625</v>
      </c>
      <c r="R5" s="92">
        <f t="shared" si="17"/>
        <v>6.28125</v>
      </c>
      <c r="S5" s="93">
        <v>205</v>
      </c>
      <c r="T5" s="93">
        <v>-4</v>
      </c>
      <c r="U5" s="92">
        <f t="shared" si="18"/>
        <v>201</v>
      </c>
      <c r="V5" s="93">
        <v>164275.78000000003</v>
      </c>
      <c r="W5" s="93">
        <v>-3499</v>
      </c>
      <c r="X5" s="92">
        <f t="shared" si="19"/>
        <v>160776.78000000003</v>
      </c>
      <c r="Y5" s="93">
        <v>217576.03000000006</v>
      </c>
      <c r="Z5" s="93">
        <v>-4380.6000000000004</v>
      </c>
      <c r="AA5" s="92">
        <f t="shared" si="20"/>
        <v>213195.43000000005</v>
      </c>
      <c r="AB5" s="92">
        <f t="shared" si="21"/>
        <v>258638.27</v>
      </c>
      <c r="AC5" s="234">
        <f t="shared" si="22"/>
        <v>9.4961383517598461E-2</v>
      </c>
      <c r="AD5" s="92">
        <f t="shared" si="23"/>
        <v>24741.09</v>
      </c>
      <c r="AE5" s="93">
        <v>79363.80000000009</v>
      </c>
      <c r="AF5" s="234">
        <f t="shared" si="24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5"/>
        <v>2336.6645022678445</v>
      </c>
      <c r="AM5" s="93">
        <v>0</v>
      </c>
      <c r="AN5" s="325">
        <f t="shared" si="8"/>
        <v>9051.9554046360845</v>
      </c>
      <c r="AO5" s="95">
        <f t="shared" si="26"/>
        <v>47644.350093096058</v>
      </c>
      <c r="AP5" s="96"/>
      <c r="AQ5" s="97">
        <f t="shared" si="9"/>
        <v>1060.6737810945276</v>
      </c>
      <c r="AR5" s="98">
        <f t="shared" si="10"/>
        <v>123.09</v>
      </c>
      <c r="AS5" s="98">
        <f t="shared" si="11"/>
        <v>394.84477611940343</v>
      </c>
      <c r="AT5" s="98">
        <f t="shared" si="12"/>
        <v>84.939365853658444</v>
      </c>
      <c r="AU5" s="98">
        <f t="shared" si="27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5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6"/>
        <v>9.84375</v>
      </c>
      <c r="R6" s="92">
        <f t="shared" si="17"/>
        <v>5.53125</v>
      </c>
      <c r="S6" s="93">
        <v>183</v>
      </c>
      <c r="T6" s="93">
        <v>-6</v>
      </c>
      <c r="U6" s="92">
        <f t="shared" si="18"/>
        <v>177</v>
      </c>
      <c r="V6" s="93">
        <v>139934.35</v>
      </c>
      <c r="W6" s="93">
        <v>-4767</v>
      </c>
      <c r="X6" s="92">
        <f t="shared" si="19"/>
        <v>135167.35</v>
      </c>
      <c r="Y6" s="93">
        <v>182610.13000000003</v>
      </c>
      <c r="Z6" s="93">
        <v>-6305.51</v>
      </c>
      <c r="AA6" s="92">
        <f t="shared" si="20"/>
        <v>176304.62000000002</v>
      </c>
      <c r="AB6" s="92">
        <f t="shared" si="21"/>
        <v>227738.7</v>
      </c>
      <c r="AC6" s="234">
        <f t="shared" si="22"/>
        <v>7.8529500542035349E-2</v>
      </c>
      <c r="AD6" s="92">
        <f t="shared" si="23"/>
        <v>21786.93</v>
      </c>
      <c r="AE6" s="93">
        <v>65784.11000000003</v>
      </c>
      <c r="AF6" s="234">
        <f t="shared" si="24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5"/>
        <v>1678.6751850083554</v>
      </c>
      <c r="AM6" s="93">
        <v>0</v>
      </c>
      <c r="AN6" s="325">
        <f t="shared" si="8"/>
        <v>7597.2465955684447</v>
      </c>
      <c r="AO6" s="95">
        <f t="shared" si="26"/>
        <v>29373.808219423212</v>
      </c>
      <c r="AP6" s="96"/>
      <c r="AQ6" s="97">
        <f t="shared" si="9"/>
        <v>996.07129943502844</v>
      </c>
      <c r="AR6" s="98">
        <f t="shared" si="10"/>
        <v>123.09</v>
      </c>
      <c r="AS6" s="98">
        <f t="shared" si="11"/>
        <v>371.66163841807929</v>
      </c>
      <c r="AT6" s="98">
        <f t="shared" si="12"/>
        <v>91.556557377049089</v>
      </c>
      <c r="AU6" s="98">
        <f t="shared" si="27"/>
        <v>182.12568306010928</v>
      </c>
      <c r="AV6" s="98">
        <f t="array" ref="AV6">_xlfn.IFS(U6=0,AO6,U6&lt;0,AO6/-U6,U6&gt;0,AO6/U6)</f>
        <v>165.95371875380346</v>
      </c>
      <c r="AW6" s="234">
        <f t="shared" ref="AW6" si="30">IF(AQ6=0,0,AV6/AQ6)</f>
        <v>0.1666082727691606</v>
      </c>
      <c r="AX6" s="234">
        <f t="shared" ref="AX6" si="31">IF(AR6=0,0,AV6/AR6)</f>
        <v>1.3482307153611459</v>
      </c>
      <c r="AY6" s="99"/>
      <c r="AZ6" s="94">
        <f t="shared" si="15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6"/>
        <v>10.21875</v>
      </c>
      <c r="R7" s="92">
        <f t="shared" si="17"/>
        <v>4.96875</v>
      </c>
      <c r="S7" s="93">
        <v>165</v>
      </c>
      <c r="T7" s="93">
        <v>-6</v>
      </c>
      <c r="U7" s="92">
        <f t="shared" si="18"/>
        <v>159</v>
      </c>
      <c r="V7" s="93">
        <v>119332.73999999999</v>
      </c>
      <c r="W7" s="93">
        <v>-5120</v>
      </c>
      <c r="X7" s="92">
        <f t="shared" si="19"/>
        <v>114212.73999999999</v>
      </c>
      <c r="Y7" s="93">
        <v>160648.13999999996</v>
      </c>
      <c r="Z7" s="93">
        <v>-6530.72</v>
      </c>
      <c r="AA7" s="92">
        <f t="shared" si="20"/>
        <v>154117.41999999995</v>
      </c>
      <c r="AB7" s="92">
        <f t="shared" si="21"/>
        <v>208086.45</v>
      </c>
      <c r="AC7" s="234">
        <f t="shared" si="22"/>
        <v>6.8646890917703027E-2</v>
      </c>
      <c r="AD7" s="92">
        <f t="shared" si="23"/>
        <v>18641.16</v>
      </c>
      <c r="AE7" s="93">
        <v>56930.909999999967</v>
      </c>
      <c r="AF7" s="234">
        <f t="shared" si="24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5"/>
        <v>1415.4794581045594</v>
      </c>
      <c r="AM7" s="93">
        <v>0</v>
      </c>
      <c r="AN7" s="325">
        <f t="shared" si="8"/>
        <v>6683.5478113914178</v>
      </c>
      <c r="AO7" s="95">
        <f t="shared" si="26"/>
        <v>29221.212730504052</v>
      </c>
      <c r="AP7" s="96"/>
      <c r="AQ7" s="97">
        <f t="shared" si="9"/>
        <v>969.29194968553429</v>
      </c>
      <c r="AR7" s="98">
        <f t="shared" si="10"/>
        <v>117.24</v>
      </c>
      <c r="AS7" s="98">
        <f t="shared" si="11"/>
        <v>358.05603773584886</v>
      </c>
      <c r="AT7" s="98">
        <f t="shared" si="12"/>
        <v>100.41278787878757</v>
      </c>
      <c r="AU7" s="98">
        <f t="shared" si="27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5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6"/>
        <v>8.9375</v>
      </c>
      <c r="R8" s="92">
        <f t="shared" si="17"/>
        <v>3.71875</v>
      </c>
      <c r="S8" s="93">
        <v>123</v>
      </c>
      <c r="T8" s="93">
        <v>-4</v>
      </c>
      <c r="U8" s="92">
        <f t="shared" si="18"/>
        <v>119</v>
      </c>
      <c r="V8" s="93">
        <v>117745.48999999999</v>
      </c>
      <c r="W8" s="93">
        <v>-4240</v>
      </c>
      <c r="X8" s="92">
        <f t="shared" si="19"/>
        <v>113505.48999999999</v>
      </c>
      <c r="Y8" s="93">
        <v>159228.43</v>
      </c>
      <c r="Z8" s="93">
        <v>-5400</v>
      </c>
      <c r="AA8" s="92">
        <f t="shared" si="20"/>
        <v>153828.43</v>
      </c>
      <c r="AB8" s="92">
        <f t="shared" si="21"/>
        <v>190687.64</v>
      </c>
      <c r="AC8" s="234">
        <f t="shared" si="22"/>
        <v>6.8518169161224732E-2</v>
      </c>
      <c r="AD8" s="92">
        <f t="shared" si="23"/>
        <v>20216.91</v>
      </c>
      <c r="AE8" s="93">
        <v>56810.78</v>
      </c>
      <c r="AF8" s="234">
        <f t="shared" si="24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5"/>
        <v>1595.222881355932</v>
      </c>
      <c r="AM8" s="93">
        <v>0</v>
      </c>
      <c r="AN8" s="325">
        <f t="shared" si="8"/>
        <v>6624.4827038631875</v>
      </c>
      <c r="AO8" s="95">
        <f t="shared" si="26"/>
        <v>-5814.5155852191174</v>
      </c>
      <c r="AP8" s="96"/>
      <c r="AQ8" s="97">
        <f t="shared" si="9"/>
        <v>1292.675882352941</v>
      </c>
      <c r="AR8" s="98">
        <f t="shared" si="10"/>
        <v>169.89</v>
      </c>
      <c r="AS8" s="98">
        <f t="shared" si="11"/>
        <v>477.401512605042</v>
      </c>
      <c r="AT8" s="98">
        <f t="shared" si="12"/>
        <v>143.63861788617879</v>
      </c>
      <c r="AU8" s="98">
        <f t="shared" si="27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5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6"/>
        <v>10</v>
      </c>
      <c r="R9" s="92">
        <f t="shared" si="17"/>
        <v>3.8125</v>
      </c>
      <c r="S9" s="93">
        <v>124</v>
      </c>
      <c r="T9" s="93">
        <v>-2</v>
      </c>
      <c r="U9" s="92">
        <f t="shared" si="18"/>
        <v>122</v>
      </c>
      <c r="V9" s="93">
        <v>117699.29000000001</v>
      </c>
      <c r="W9" s="93">
        <v>-2139</v>
      </c>
      <c r="X9" s="92">
        <f t="shared" si="19"/>
        <v>115560.29000000001</v>
      </c>
      <c r="Y9" s="93">
        <v>156839.69</v>
      </c>
      <c r="Z9" s="93">
        <v>-2600</v>
      </c>
      <c r="AA9" s="92">
        <f t="shared" si="20"/>
        <v>154239.69</v>
      </c>
      <c r="AB9" s="92">
        <f t="shared" si="21"/>
        <v>204979.20000000001</v>
      </c>
      <c r="AC9" s="234">
        <f t="shared" si="22"/>
        <v>6.8701352349464034E-2</v>
      </c>
      <c r="AD9" s="92">
        <f t="shared" si="23"/>
        <v>15016.98</v>
      </c>
      <c r="AE9" s="93">
        <v>56899.760000000017</v>
      </c>
      <c r="AF9" s="234">
        <f t="shared" si="24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5"/>
        <v>1319.1883385056099</v>
      </c>
      <c r="AM9" s="93">
        <v>0</v>
      </c>
      <c r="AN9" s="325">
        <f t="shared" si="8"/>
        <v>6525.1024184830831</v>
      </c>
      <c r="AO9" s="95">
        <f t="shared" si="26"/>
        <v>5728.2792430113141</v>
      </c>
      <c r="AP9" s="96"/>
      <c r="AQ9" s="97">
        <f t="shared" si="9"/>
        <v>1264.2597540983606</v>
      </c>
      <c r="AR9" s="98">
        <f t="shared" si="10"/>
        <v>123.09</v>
      </c>
      <c r="AS9" s="98">
        <f t="shared" si="11"/>
        <v>466.39147540983618</v>
      </c>
      <c r="AT9" s="98">
        <f t="shared" si="12"/>
        <v>153.47080645161267</v>
      </c>
      <c r="AU9" s="98">
        <f t="shared" si="27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5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6"/>
        <v>6.46875</v>
      </c>
      <c r="R10" s="92">
        <f t="shared" si="17"/>
        <v>2.75</v>
      </c>
      <c r="S10" s="93">
        <v>88</v>
      </c>
      <c r="T10" s="93">
        <v>0</v>
      </c>
      <c r="U10" s="92">
        <f t="shared" si="18"/>
        <v>88</v>
      </c>
      <c r="V10" s="93">
        <v>54824.52</v>
      </c>
      <c r="W10" s="93">
        <v>0</v>
      </c>
      <c r="X10" s="92">
        <f t="shared" si="19"/>
        <v>54824.52</v>
      </c>
      <c r="Y10" s="93">
        <v>74862.429999999993</v>
      </c>
      <c r="Z10" s="93">
        <v>0</v>
      </c>
      <c r="AA10" s="92">
        <f t="shared" si="20"/>
        <v>74862.429999999993</v>
      </c>
      <c r="AB10" s="92">
        <f t="shared" si="21"/>
        <v>110848.5</v>
      </c>
      <c r="AC10" s="234">
        <f t="shared" si="22"/>
        <v>3.3345179708070508E-2</v>
      </c>
      <c r="AD10" s="92">
        <f t="shared" si="23"/>
        <v>10831.92</v>
      </c>
      <c r="AE10" s="93">
        <v>27936.629999999983</v>
      </c>
      <c r="AF10" s="234">
        <f t="shared" si="24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5"/>
        <v>1543.8676175698256</v>
      </c>
      <c r="AM10" s="93">
        <v>0</v>
      </c>
      <c r="AN10" s="325">
        <f t="shared" si="8"/>
        <v>3114.5497867696654</v>
      </c>
      <c r="AO10" s="95">
        <f t="shared" si="26"/>
        <v>-1342.2274043394668</v>
      </c>
      <c r="AP10" s="96"/>
      <c r="AQ10" s="97">
        <f t="shared" si="9"/>
        <v>850.70943181818177</v>
      </c>
      <c r="AR10" s="98">
        <f t="shared" si="10"/>
        <v>123.09</v>
      </c>
      <c r="AS10" s="98">
        <f t="shared" si="11"/>
        <v>317.46170454545432</v>
      </c>
      <c r="AT10" s="98">
        <f t="shared" si="12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5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6"/>
        <v>4.625</v>
      </c>
      <c r="R11" s="92">
        <f t="shared" si="17"/>
        <v>2.5</v>
      </c>
      <c r="S11" s="93">
        <v>81</v>
      </c>
      <c r="T11" s="93">
        <v>-1</v>
      </c>
      <c r="U11" s="92">
        <f t="shared" si="18"/>
        <v>80</v>
      </c>
      <c r="V11" s="93">
        <v>69516.260000000009</v>
      </c>
      <c r="W11" s="93">
        <v>-957</v>
      </c>
      <c r="X11" s="92">
        <f t="shared" si="19"/>
        <v>68559.260000000009</v>
      </c>
      <c r="Y11" s="93">
        <v>92972.43</v>
      </c>
      <c r="Z11" s="93">
        <v>-1197</v>
      </c>
      <c r="AA11" s="92">
        <f t="shared" si="20"/>
        <v>91775.43</v>
      </c>
      <c r="AB11" s="92">
        <f t="shared" si="21"/>
        <v>115434.08</v>
      </c>
      <c r="AC11" s="234">
        <f t="shared" si="22"/>
        <v>4.087855825860108E-2</v>
      </c>
      <c r="AD11" s="92">
        <f t="shared" si="23"/>
        <v>9847.2000000000007</v>
      </c>
      <c r="AE11" s="93">
        <v>33981.659999999989</v>
      </c>
      <c r="AF11" s="234">
        <f t="shared" si="24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5"/>
        <v>1617.6908092623537</v>
      </c>
      <c r="AM11" s="93">
        <v>0</v>
      </c>
      <c r="AN11" s="325">
        <f t="shared" si="8"/>
        <v>3867.991755436708</v>
      </c>
      <c r="AO11" s="95">
        <f t="shared" si="26"/>
        <v>15212.717435300949</v>
      </c>
      <c r="AP11" s="96"/>
      <c r="AQ11" s="97">
        <f t="shared" si="9"/>
        <v>1147.192875</v>
      </c>
      <c r="AR11" s="98">
        <f t="shared" si="10"/>
        <v>123.09</v>
      </c>
      <c r="AS11" s="98">
        <f t="shared" si="11"/>
        <v>424.77074999999985</v>
      </c>
      <c r="AT11" s="98">
        <f t="shared" si="12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4">IF(AQ11=0,0,AV11/AQ11)</f>
        <v>0.16576024144262741</v>
      </c>
      <c r="AX11" s="234">
        <f t="shared" ref="AX11:AX28" si="35">IF(AR11=0,0,AV11/AR11)</f>
        <v>1.5448774712914279</v>
      </c>
      <c r="AY11" s="99"/>
      <c r="AZ11" s="94">
        <f t="shared" si="15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6"/>
        <v>3.9375</v>
      </c>
      <c r="R12" s="92">
        <f t="shared" si="17"/>
        <v>1.46875</v>
      </c>
      <c r="S12" s="93">
        <v>51</v>
      </c>
      <c r="T12" s="93">
        <v>-4</v>
      </c>
      <c r="U12" s="92">
        <f t="shared" si="18"/>
        <v>47</v>
      </c>
      <c r="V12" s="93">
        <v>40291.090000000004</v>
      </c>
      <c r="W12" s="93">
        <v>-2990</v>
      </c>
      <c r="X12" s="92">
        <f t="shared" si="19"/>
        <v>37301.090000000004</v>
      </c>
      <c r="Y12" s="93">
        <v>54935.169999999991</v>
      </c>
      <c r="Z12" s="93">
        <v>-4233.84</v>
      </c>
      <c r="AA12" s="92">
        <f t="shared" si="20"/>
        <v>50701.329999999987</v>
      </c>
      <c r="AB12" s="92">
        <f t="shared" si="21"/>
        <v>69529.320000000007</v>
      </c>
      <c r="AC12" s="234">
        <f t="shared" si="22"/>
        <v>2.2583356702262889E-2</v>
      </c>
      <c r="AD12" s="92">
        <f t="shared" si="23"/>
        <v>5510.28</v>
      </c>
      <c r="AE12" s="93">
        <v>18835.239999999994</v>
      </c>
      <c r="AF12" s="234">
        <f t="shared" si="24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5"/>
        <v>1794.2245285270947</v>
      </c>
      <c r="AM12" s="93">
        <v>0</v>
      </c>
      <c r="AN12" s="325">
        <f t="shared" si="8"/>
        <v>2285.5031824328344</v>
      </c>
      <c r="AO12" s="95">
        <f t="shared" si="26"/>
        <v>-5479.1077109599337</v>
      </c>
      <c r="AP12" s="96"/>
      <c r="AQ12" s="97">
        <f t="shared" si="9"/>
        <v>1078.7517021276592</v>
      </c>
      <c r="AR12" s="98">
        <f t="shared" si="10"/>
        <v>117.24</v>
      </c>
      <c r="AS12" s="98">
        <f t="shared" si="11"/>
        <v>400.74978723404246</v>
      </c>
      <c r="AT12" s="98">
        <f t="shared" si="12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-116.57675980765816</v>
      </c>
      <c r="AW12" s="234">
        <f t="shared" si="34"/>
        <v>-0.10806635074385496</v>
      </c>
      <c r="AX12" s="234">
        <f t="shared" si="35"/>
        <v>-0.99434288474631671</v>
      </c>
      <c r="AY12" s="99"/>
      <c r="AZ12" s="94">
        <f t="shared" si="15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6"/>
        <v>4.375</v>
      </c>
      <c r="R13" s="92">
        <f t="shared" si="17"/>
        <v>2.21875</v>
      </c>
      <c r="S13" s="93">
        <v>73</v>
      </c>
      <c r="T13" s="93">
        <v>-2</v>
      </c>
      <c r="U13" s="92">
        <f t="shared" si="18"/>
        <v>71</v>
      </c>
      <c r="V13" s="93">
        <v>69275.539999999994</v>
      </c>
      <c r="W13" s="93">
        <v>-2006</v>
      </c>
      <c r="X13" s="92">
        <f t="shared" si="19"/>
        <v>67269.539999999994</v>
      </c>
      <c r="Y13" s="93">
        <v>91790.159999999989</v>
      </c>
      <c r="Z13" s="93">
        <v>-2464</v>
      </c>
      <c r="AA13" s="92">
        <f t="shared" si="20"/>
        <v>89326.159999999989</v>
      </c>
      <c r="AB13" s="92">
        <f t="shared" si="21"/>
        <v>103002.2</v>
      </c>
      <c r="AC13" s="234">
        <f t="shared" si="22"/>
        <v>3.9787605850249042E-2</v>
      </c>
      <c r="AD13" s="92">
        <f t="shared" si="23"/>
        <v>8739.39</v>
      </c>
      <c r="AE13" s="93">
        <v>33015.949999999983</v>
      </c>
      <c r="AF13" s="234">
        <f t="shared" si="24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5"/>
        <v>2051.0008474576271</v>
      </c>
      <c r="AM13" s="93">
        <v>0</v>
      </c>
      <c r="AN13" s="325">
        <f t="shared" si="8"/>
        <v>3818.8050168229038</v>
      </c>
      <c r="AO13" s="95">
        <f t="shared" si="26"/>
        <v>5883.4141357194694</v>
      </c>
      <c r="AP13" s="96"/>
      <c r="AQ13" s="97">
        <f t="shared" si="9"/>
        <v>1258.1149295774646</v>
      </c>
      <c r="AR13" s="98">
        <f t="shared" si="10"/>
        <v>123.09</v>
      </c>
      <c r="AS13" s="98">
        <f t="shared" si="11"/>
        <v>465.01338028168988</v>
      </c>
      <c r="AT13" s="98">
        <f t="shared" si="12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82.864987827034781</v>
      </c>
      <c r="AW13" s="234">
        <f t="shared" si="34"/>
        <v>6.5864402272743733E-2</v>
      </c>
      <c r="AX13" s="234">
        <f t="shared" si="35"/>
        <v>0.67320649790425524</v>
      </c>
      <c r="AY13" s="99"/>
      <c r="AZ13" s="94">
        <f t="shared" si="15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6"/>
        <v>1.8125</v>
      </c>
      <c r="R14" s="92">
        <f t="shared" si="17"/>
        <v>0.78125</v>
      </c>
      <c r="S14" s="93">
        <v>25</v>
      </c>
      <c r="T14" s="93">
        <v>0</v>
      </c>
      <c r="U14" s="92">
        <f t="shared" si="18"/>
        <v>25</v>
      </c>
      <c r="V14" s="93">
        <v>17287.419999999998</v>
      </c>
      <c r="W14" s="93">
        <v>0</v>
      </c>
      <c r="X14" s="92">
        <f t="shared" si="19"/>
        <v>17287.419999999998</v>
      </c>
      <c r="Y14" s="93">
        <v>23975.08</v>
      </c>
      <c r="Z14" s="93">
        <v>0</v>
      </c>
      <c r="AA14" s="92">
        <f t="shared" si="20"/>
        <v>23975.08</v>
      </c>
      <c r="AB14" s="92">
        <f t="shared" si="21"/>
        <v>35895.040000000001</v>
      </c>
      <c r="AC14" s="234">
        <f t="shared" si="22"/>
        <v>1.0678966086398307E-2</v>
      </c>
      <c r="AD14" s="92">
        <f t="shared" si="23"/>
        <v>3077.25</v>
      </c>
      <c r="AE14" s="93">
        <v>8980.0300000000007</v>
      </c>
      <c r="AF14" s="234">
        <f t="shared" si="24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5"/>
        <v>1659.4169610885651</v>
      </c>
      <c r="AM14" s="93">
        <v>0</v>
      </c>
      <c r="AN14" s="325">
        <f t="shared" si="8"/>
        <v>997.45066118994112</v>
      </c>
      <c r="AO14" s="95">
        <f t="shared" si="26"/>
        <v>-8877.3276222785062</v>
      </c>
      <c r="AP14" s="96"/>
      <c r="AQ14" s="97">
        <f t="shared" si="9"/>
        <v>959.00320000000011</v>
      </c>
      <c r="AR14" s="98">
        <f t="shared" si="10"/>
        <v>123.09</v>
      </c>
      <c r="AS14" s="98">
        <f t="shared" si="11"/>
        <v>359.20120000000003</v>
      </c>
      <c r="AT14" s="98">
        <f t="shared" si="12"/>
        <v>137.29040000000003</v>
      </c>
      <c r="AU14" s="98">
        <f t="shared" si="27"/>
        <v>588.24</v>
      </c>
      <c r="AV14" s="98">
        <f t="array" ref="AV14">_xlfn.IFS(U14=0,AO14,U14&lt;0,AO14/-U14,U14&gt;0,AO14/U14)</f>
        <v>-355.09310489114023</v>
      </c>
      <c r="AW14" s="234">
        <f t="shared" si="34"/>
        <v>-0.37027311784897088</v>
      </c>
      <c r="AX14" s="234">
        <f t="shared" si="35"/>
        <v>-2.8848249645880268</v>
      </c>
      <c r="AY14" s="99"/>
      <c r="AZ14" s="94">
        <f t="shared" si="15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6"/>
        <v>1.84375</v>
      </c>
      <c r="R15" s="92">
        <f t="shared" si="17"/>
        <v>0.90625</v>
      </c>
      <c r="S15" s="93">
        <v>29</v>
      </c>
      <c r="T15" s="93">
        <v>0</v>
      </c>
      <c r="U15" s="92">
        <f t="shared" si="18"/>
        <v>29</v>
      </c>
      <c r="V15" s="93">
        <v>19497.380000000005</v>
      </c>
      <c r="W15" s="93">
        <v>0</v>
      </c>
      <c r="X15" s="92">
        <f t="shared" si="19"/>
        <v>19497.380000000005</v>
      </c>
      <c r="Y15" s="93">
        <v>26728.139999999996</v>
      </c>
      <c r="Z15" s="93">
        <v>0</v>
      </c>
      <c r="AA15" s="92">
        <f t="shared" si="20"/>
        <v>26728.139999999996</v>
      </c>
      <c r="AB15" s="92">
        <f t="shared" si="21"/>
        <v>39948.9</v>
      </c>
      <c r="AC15" s="234">
        <f t="shared" si="22"/>
        <v>1.1905232458557218E-2</v>
      </c>
      <c r="AD15" s="92">
        <f t="shared" si="23"/>
        <v>3569.61</v>
      </c>
      <c r="AE15" s="93">
        <v>9983.7599999999984</v>
      </c>
      <c r="AF15" s="234">
        <f t="shared" si="24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5"/>
        <v>1977.177655765099</v>
      </c>
      <c r="AM15" s="93">
        <v>0</v>
      </c>
      <c r="AN15" s="325">
        <f t="shared" si="8"/>
        <v>1111.9879856658374</v>
      </c>
      <c r="AO15" s="95">
        <f t="shared" si="26"/>
        <v>-5872.2056414309409</v>
      </c>
      <c r="AP15" s="96"/>
      <c r="AQ15" s="97">
        <f t="shared" si="9"/>
        <v>921.65999999999985</v>
      </c>
      <c r="AR15" s="98">
        <f t="shared" si="10"/>
        <v>123.09</v>
      </c>
      <c r="AS15" s="98">
        <f t="shared" si="11"/>
        <v>344.26758620689651</v>
      </c>
      <c r="AT15" s="98">
        <f t="shared" si="12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-202.48984970451519</v>
      </c>
      <c r="AW15" s="234">
        <f t="shared" si="34"/>
        <v>-0.21970124525802923</v>
      </c>
      <c r="AX15" s="234">
        <f t="shared" si="35"/>
        <v>-1.6450552417297521</v>
      </c>
      <c r="AY15" s="99"/>
      <c r="AZ15" s="94">
        <f t="shared" si="15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6"/>
        <v>3.6875</v>
      </c>
      <c r="R16" s="92">
        <f t="shared" si="17"/>
        <v>1.8125</v>
      </c>
      <c r="S16" s="93">
        <v>59</v>
      </c>
      <c r="T16" s="93">
        <v>-1</v>
      </c>
      <c r="U16" s="92">
        <f t="shared" si="18"/>
        <v>58</v>
      </c>
      <c r="V16" s="93">
        <v>43122.340000000004</v>
      </c>
      <c r="W16" s="93">
        <v>-898</v>
      </c>
      <c r="X16" s="92">
        <f t="shared" si="19"/>
        <v>42224.340000000004</v>
      </c>
      <c r="Y16" s="93">
        <v>57195.08</v>
      </c>
      <c r="Z16" s="93">
        <v>-1136</v>
      </c>
      <c r="AA16" s="92">
        <f t="shared" si="20"/>
        <v>56059.08</v>
      </c>
      <c r="AB16" s="92">
        <f t="shared" si="21"/>
        <v>78904.240000000005</v>
      </c>
      <c r="AC16" s="234">
        <f t="shared" si="22"/>
        <v>2.4969802568111956E-2</v>
      </c>
      <c r="AD16" s="92">
        <f t="shared" si="23"/>
        <v>6799.92</v>
      </c>
      <c r="AE16" s="93">
        <v>20854.03000000001</v>
      </c>
      <c r="AF16" s="234">
        <f t="shared" si="24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5"/>
        <v>988.58882788254948</v>
      </c>
      <c r="AM16" s="93">
        <v>0</v>
      </c>
      <c r="AN16" s="325">
        <f t="shared" si="8"/>
        <v>2379.523670528381</v>
      </c>
      <c r="AO16" s="95">
        <f t="shared" si="26"/>
        <v>1282.6575015890626</v>
      </c>
      <c r="AP16" s="96"/>
      <c r="AQ16" s="97">
        <f t="shared" si="9"/>
        <v>966.53586206896557</v>
      </c>
      <c r="AR16" s="98">
        <f t="shared" si="10"/>
        <v>117.24</v>
      </c>
      <c r="AS16" s="98">
        <f t="shared" si="11"/>
        <v>359.55224137931049</v>
      </c>
      <c r="AT16" s="98">
        <f t="shared" si="12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22.114784510156252</v>
      </c>
      <c r="AW16" s="234">
        <f t="shared" si="34"/>
        <v>2.2880459358039101E-2</v>
      </c>
      <c r="AX16" s="234">
        <f t="shared" si="35"/>
        <v>0.18862832233159546</v>
      </c>
      <c r="AY16" s="99"/>
      <c r="AZ16" s="94">
        <f t="shared" si="15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6"/>
        <v>2.28125</v>
      </c>
      <c r="R17" s="92">
        <f t="shared" si="17"/>
        <v>0.90625</v>
      </c>
      <c r="S17" s="93">
        <v>30</v>
      </c>
      <c r="T17" s="93">
        <v>-1</v>
      </c>
      <c r="U17" s="92">
        <f t="shared" si="18"/>
        <v>29</v>
      </c>
      <c r="V17" s="93">
        <v>26326.12</v>
      </c>
      <c r="W17" s="93">
        <v>-872</v>
      </c>
      <c r="X17" s="92">
        <f t="shared" si="19"/>
        <v>25454.12</v>
      </c>
      <c r="Y17" s="93">
        <v>34304.389999999992</v>
      </c>
      <c r="Z17" s="93">
        <v>-1136</v>
      </c>
      <c r="AA17" s="92">
        <f t="shared" si="20"/>
        <v>33168.389999999992</v>
      </c>
      <c r="AB17" s="92">
        <f t="shared" si="21"/>
        <v>37066.480000000003</v>
      </c>
      <c r="AC17" s="234">
        <f t="shared" si="22"/>
        <v>1.4773844840160394E-2</v>
      </c>
      <c r="AD17" s="92">
        <f t="shared" si="23"/>
        <v>3569.61</v>
      </c>
      <c r="AE17" s="93">
        <v>12244.149999999989</v>
      </c>
      <c r="AF17" s="234">
        <f t="shared" si="24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5"/>
        <v>304.92187873000717</v>
      </c>
      <c r="AM17" s="93">
        <v>0</v>
      </c>
      <c r="AN17" s="325">
        <f t="shared" si="8"/>
        <v>1427.187583408172</v>
      </c>
      <c r="AO17" s="95">
        <f t="shared" si="26"/>
        <v>173.3005378618243</v>
      </c>
      <c r="AP17" s="96"/>
      <c r="AQ17" s="97">
        <f t="shared" si="9"/>
        <v>1143.7375862068964</v>
      </c>
      <c r="AR17" s="98">
        <f t="shared" si="10"/>
        <v>123.09</v>
      </c>
      <c r="AS17" s="98">
        <f t="shared" si="11"/>
        <v>422.21206896551683</v>
      </c>
      <c r="AT17" s="98">
        <f t="shared" si="12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5.975880615924976</v>
      </c>
      <c r="AW17" s="234">
        <f t="shared" si="34"/>
        <v>5.2248703618663532E-3</v>
      </c>
      <c r="AX17" s="234">
        <f t="shared" si="35"/>
        <v>4.8548871686773708E-2</v>
      </c>
      <c r="AY17" s="99"/>
      <c r="AZ17" s="94">
        <f t="shared" si="15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6"/>
        <v>2.03125</v>
      </c>
      <c r="R18" s="92">
        <f t="shared" si="17"/>
        <v>1</v>
      </c>
      <c r="S18" s="93">
        <v>32</v>
      </c>
      <c r="T18" s="93">
        <v>0</v>
      </c>
      <c r="U18" s="92">
        <f t="shared" si="18"/>
        <v>32</v>
      </c>
      <c r="V18" s="93">
        <v>27780.260000000002</v>
      </c>
      <c r="W18" s="93">
        <v>0</v>
      </c>
      <c r="X18" s="92">
        <f t="shared" si="19"/>
        <v>27780.260000000002</v>
      </c>
      <c r="Y18" s="93">
        <v>36890.899999999994</v>
      </c>
      <c r="Z18" s="93">
        <v>0</v>
      </c>
      <c r="AA18" s="92">
        <f t="shared" si="20"/>
        <v>36890.899999999994</v>
      </c>
      <c r="AB18" s="92">
        <f t="shared" si="21"/>
        <v>45676.800000000003</v>
      </c>
      <c r="AC18" s="234">
        <f t="shared" si="22"/>
        <v>1.6431923063310372E-2</v>
      </c>
      <c r="AD18" s="92">
        <f t="shared" si="23"/>
        <v>3938.88</v>
      </c>
      <c r="AE18" s="93">
        <v>13665.269999999993</v>
      </c>
      <c r="AF18" s="234">
        <f t="shared" si="24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5"/>
        <v>1171.5419551205539</v>
      </c>
      <c r="AM18" s="93">
        <v>0</v>
      </c>
      <c r="AN18" s="325">
        <f t="shared" si="8"/>
        <v>1534.795821198177</v>
      </c>
      <c r="AO18" s="95">
        <f t="shared" si="26"/>
        <v>6260.1322236812703</v>
      </c>
      <c r="AP18" s="96"/>
      <c r="AQ18" s="97">
        <f t="shared" si="9"/>
        <v>1152.8406249999998</v>
      </c>
      <c r="AR18" s="98">
        <f t="shared" si="10"/>
        <v>123.09</v>
      </c>
      <c r="AS18" s="98">
        <f t="shared" si="11"/>
        <v>427.03968749999979</v>
      </c>
      <c r="AT18" s="98">
        <f t="shared" si="12"/>
        <v>110.41500000000005</v>
      </c>
      <c r="AU18" s="98">
        <f t="shared" si="27"/>
        <v>212.09375</v>
      </c>
      <c r="AV18" s="98">
        <f t="array" ref="AV18">_xlfn.IFS(U18=0,AO18,U18&lt;0,AO18/-U18,U18&gt;0,AO18/U18)</f>
        <v>195.6291319900397</v>
      </c>
      <c r="AW18" s="234">
        <f t="shared" si="34"/>
        <v>0.16969312821539381</v>
      </c>
      <c r="AX18" s="234">
        <f t="shared" si="35"/>
        <v>1.58931783239938</v>
      </c>
      <c r="AY18" s="99"/>
      <c r="AZ18" s="94">
        <f t="shared" si="15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0</v>
      </c>
      <c r="AO20" s="95">
        <f t="shared" si="26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4"/>
        <v>0</v>
      </c>
      <c r="AX20" s="234">
        <f t="shared" si="35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3.2097039866316543</v>
      </c>
      <c r="AM21" s="93">
        <v>0</v>
      </c>
      <c r="AN21" s="325">
        <f t="shared" si="8"/>
        <v>0</v>
      </c>
      <c r="AO21" s="95">
        <f t="shared" si="26"/>
        <v>-3.2097039866316543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4"/>
        <v>0</v>
      </c>
      <c r="AX21" s="234">
        <f t="shared" si="35"/>
        <v>-2.7377209029611518E-2</v>
      </c>
      <c r="AY21" s="99"/>
      <c r="AZ21" s="94">
        <f t="shared" si="15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6"/>
        <v>6.25E-2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96.4</v>
      </c>
      <c r="AH22" s="93"/>
      <c r="AI22" s="93"/>
      <c r="AJ22" s="93"/>
      <c r="AK22" s="93"/>
      <c r="AL22" s="122">
        <f t="shared" si="25"/>
        <v>9.6291119598949617</v>
      </c>
      <c r="AM22" s="93">
        <v>0</v>
      </c>
      <c r="AN22" s="325">
        <f t="shared" si="8"/>
        <v>0</v>
      </c>
      <c r="AO22" s="95">
        <f t="shared" si="26"/>
        <v>-106.02911195989496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4"/>
        <v>0</v>
      </c>
      <c r="AX22" s="234">
        <f t="shared" si="35"/>
        <v>-0.90437659467668852</v>
      </c>
      <c r="AY22" s="99"/>
      <c r="AZ22" s="94">
        <f t="shared" si="15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3</v>
      </c>
      <c r="O24" s="89">
        <v>931</v>
      </c>
      <c r="P24" s="89">
        <v>67</v>
      </c>
      <c r="Q24" s="233">
        <f t="shared" si="16"/>
        <v>9.375E-2</v>
      </c>
      <c r="R24" s="92">
        <f t="shared" si="17"/>
        <v>0.125</v>
      </c>
      <c r="S24" s="93">
        <v>4</v>
      </c>
      <c r="T24" s="93">
        <v>0</v>
      </c>
      <c r="U24" s="92">
        <f t="shared" si="18"/>
        <v>4</v>
      </c>
      <c r="V24" s="93">
        <v>3006</v>
      </c>
      <c r="W24" s="93">
        <v>0</v>
      </c>
      <c r="X24" s="92">
        <f t="shared" si="19"/>
        <v>3006</v>
      </c>
      <c r="Y24" s="93">
        <v>3792</v>
      </c>
      <c r="Z24" s="93">
        <v>0</v>
      </c>
      <c r="AA24" s="92">
        <f t="shared" si="20"/>
        <v>3792</v>
      </c>
      <c r="AB24" s="92">
        <f t="shared" si="21"/>
        <v>1871.31</v>
      </c>
      <c r="AC24" s="234">
        <f t="shared" si="22"/>
        <v>1.6890304182351999E-3</v>
      </c>
      <c r="AD24" s="92">
        <f t="shared" si="23"/>
        <v>468.96</v>
      </c>
      <c r="AE24" s="93">
        <v>1419.44</v>
      </c>
      <c r="AF24" s="234">
        <f t="shared" si="24"/>
        <v>0.37432489451476797</v>
      </c>
      <c r="AG24" s="93">
        <v>387.19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157.76101298649499</v>
      </c>
      <c r="AO24" s="95">
        <f t="shared" si="26"/>
        <v>1358.6489870135049</v>
      </c>
      <c r="AP24" s="96"/>
      <c r="AQ24" s="97">
        <f t="shared" si="9"/>
        <v>948</v>
      </c>
      <c r="AR24" s="98">
        <f t="shared" si="37"/>
        <v>117.24</v>
      </c>
      <c r="AS24" s="98">
        <f t="shared" si="11"/>
        <v>354.86</v>
      </c>
      <c r="AT24" s="98">
        <f t="shared" si="12"/>
        <v>96.797499999999999</v>
      </c>
      <c r="AU24" s="98">
        <f t="shared" si="27"/>
        <v>0</v>
      </c>
      <c r="AV24" s="98">
        <f t="array" ref="AV24">_xlfn.IFS(U24=0,AO24,U24&lt;0,AO24/-U24,U24&gt;0,AO24/U24)</f>
        <v>339.66224675337622</v>
      </c>
      <c r="AW24" s="234">
        <f t="shared" si="34"/>
        <v>0.35829350923351921</v>
      </c>
      <c r="AX24" s="234">
        <f t="shared" si="35"/>
        <v>2.8971532476405342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6"/>
        <v>0.25</v>
      </c>
      <c r="R25" s="92">
        <f t="shared" si="17"/>
        <v>0.15625</v>
      </c>
      <c r="S25" s="93">
        <v>5</v>
      </c>
      <c r="T25" s="93">
        <v>0</v>
      </c>
      <c r="U25" s="92">
        <f t="shared" si="18"/>
        <v>5</v>
      </c>
      <c r="V25" s="93">
        <v>3318.98</v>
      </c>
      <c r="W25" s="93">
        <v>0</v>
      </c>
      <c r="X25" s="92">
        <f t="shared" si="19"/>
        <v>3318.98</v>
      </c>
      <c r="Y25" s="93">
        <v>4629.7700000000004</v>
      </c>
      <c r="Z25" s="93">
        <v>0</v>
      </c>
      <c r="AA25" s="92">
        <f t="shared" si="20"/>
        <v>4629.7700000000004</v>
      </c>
      <c r="AB25" s="92">
        <f t="shared" si="21"/>
        <v>7384</v>
      </c>
      <c r="AC25" s="234">
        <f t="shared" si="22"/>
        <v>2.0621894407786873E-3</v>
      </c>
      <c r="AD25" s="92">
        <f t="shared" si="23"/>
        <v>586.19999999999993</v>
      </c>
      <c r="AE25" s="93">
        <v>1730.5700000000006</v>
      </c>
      <c r="AF25" s="234">
        <f t="shared" si="24"/>
        <v>0.37379178663302937</v>
      </c>
      <c r="AG25" s="93">
        <v>334.42</v>
      </c>
      <c r="AH25" s="93"/>
      <c r="AI25" s="93"/>
      <c r="AJ25" s="93"/>
      <c r="AK25" s="93"/>
      <c r="AL25" s="122">
        <f t="shared" si="25"/>
        <v>35.306743852948195</v>
      </c>
      <c r="AM25" s="93">
        <v>0</v>
      </c>
      <c r="AN25" s="325">
        <f t="shared" si="8"/>
        <v>192.61529670213213</v>
      </c>
      <c r="AO25" s="95">
        <f t="shared" si="26"/>
        <v>1750.6579594449197</v>
      </c>
      <c r="AP25" s="96"/>
      <c r="AQ25" s="97">
        <f t="shared" si="9"/>
        <v>925.95400000000006</v>
      </c>
      <c r="AR25" s="98">
        <f t="shared" si="37"/>
        <v>117.24</v>
      </c>
      <c r="AS25" s="98">
        <f t="shared" si="11"/>
        <v>346.11400000000015</v>
      </c>
      <c r="AT25" s="98">
        <f t="shared" si="12"/>
        <v>66.884</v>
      </c>
      <c r="AU25" s="98">
        <f t="shared" si="27"/>
        <v>0</v>
      </c>
      <c r="AV25" s="98">
        <f t="array" ref="AV25">_xlfn.IFS(U25=0,AO25,U25&lt;0,AO25/-U25,U25&gt;0,AO25/U25)</f>
        <v>350.13159188898396</v>
      </c>
      <c r="AW25" s="234">
        <f t="shared" si="34"/>
        <v>0.37813065431866372</v>
      </c>
      <c r="AX25" s="234">
        <f t="shared" si="35"/>
        <v>2.9864516537784374</v>
      </c>
      <c r="AY25" s="99"/>
      <c r="AZ25" s="94">
        <f t="shared" si="15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6"/>
        <v>3.96875</v>
      </c>
      <c r="R26" s="92">
        <f t="shared" si="17"/>
        <v>0.6875</v>
      </c>
      <c r="S26" s="93">
        <v>23</v>
      </c>
      <c r="T26" s="93">
        <v>-1</v>
      </c>
      <c r="U26" s="92">
        <f t="shared" si="18"/>
        <v>22</v>
      </c>
      <c r="V26" s="93">
        <v>12539</v>
      </c>
      <c r="W26" s="93">
        <v>-595</v>
      </c>
      <c r="X26" s="92">
        <f t="shared" si="19"/>
        <v>11944</v>
      </c>
      <c r="Y26" s="93">
        <v>17077</v>
      </c>
      <c r="Z26" s="93">
        <v>-749</v>
      </c>
      <c r="AA26" s="92">
        <f t="shared" si="20"/>
        <v>16328</v>
      </c>
      <c r="AB26" s="92">
        <f t="shared" si="21"/>
        <v>27774.9</v>
      </c>
      <c r="AC26" s="234">
        <f t="shared" si="22"/>
        <v>7.2728081932870109E-3</v>
      </c>
      <c r="AD26" s="92">
        <f t="shared" si="23"/>
        <v>2707.98</v>
      </c>
      <c r="AE26" s="93">
        <v>6139.9299999999976</v>
      </c>
      <c r="AF26" s="234">
        <f t="shared" si="24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5"/>
        <v>1312.7689305323465</v>
      </c>
      <c r="AM26" s="93">
        <v>0</v>
      </c>
      <c r="AN26" s="325">
        <f t="shared" si="8"/>
        <v>710.46540579387522</v>
      </c>
      <c r="AO26" s="95">
        <f t="shared" si="26"/>
        <v>-12654.424336326218</v>
      </c>
      <c r="AP26" s="96"/>
      <c r="AQ26" s="97">
        <f t="shared" si="9"/>
        <v>742.18181818181813</v>
      </c>
      <c r="AR26" s="98">
        <f t="shared" si="37"/>
        <v>123.09</v>
      </c>
      <c r="AS26" s="98">
        <f t="shared" si="11"/>
        <v>279.08772727272714</v>
      </c>
      <c r="AT26" s="98">
        <f t="shared" si="12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-575.20110619664626</v>
      </c>
      <c r="AW26" s="234">
        <f t="shared" si="34"/>
        <v>-0.7750137393634382</v>
      </c>
      <c r="AX26" s="234">
        <f t="shared" si="35"/>
        <v>-4.6730124802717219</v>
      </c>
      <c r="AY26" s="99"/>
      <c r="AZ26" s="94">
        <f t="shared" si="15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6"/>
        <v>0.15625</v>
      </c>
      <c r="R27" s="92">
        <f t="shared" si="17"/>
        <v>3.125E-2</v>
      </c>
      <c r="S27" s="93">
        <v>1</v>
      </c>
      <c r="T27" s="93">
        <v>0</v>
      </c>
      <c r="U27" s="92">
        <f t="shared" si="18"/>
        <v>1</v>
      </c>
      <c r="V27" s="93">
        <v>363</v>
      </c>
      <c r="W27" s="93">
        <v>0</v>
      </c>
      <c r="X27" s="92">
        <f t="shared" si="19"/>
        <v>363</v>
      </c>
      <c r="Y27" s="93">
        <v>478</v>
      </c>
      <c r="Z27" s="93">
        <v>0</v>
      </c>
      <c r="AA27" s="92">
        <f t="shared" si="20"/>
        <v>478</v>
      </c>
      <c r="AB27" s="92">
        <f t="shared" si="21"/>
        <v>968</v>
      </c>
      <c r="AC27" s="234">
        <f t="shared" si="22"/>
        <v>2.1291047993576625E-4</v>
      </c>
      <c r="AD27" s="92">
        <f t="shared" si="23"/>
        <v>181.59</v>
      </c>
      <c r="AE27" s="93">
        <v>180.3</v>
      </c>
      <c r="AF27" s="234">
        <f t="shared" si="24"/>
        <v>0.37719665271966529</v>
      </c>
      <c r="AG27" s="93">
        <v>427.28</v>
      </c>
      <c r="AH27" s="93"/>
      <c r="AI27" s="93"/>
      <c r="AJ27" s="93"/>
      <c r="AK27" s="93"/>
      <c r="AL27" s="122">
        <f t="shared" si="25"/>
        <v>237.5180950107424</v>
      </c>
      <c r="AM27" s="93">
        <v>0</v>
      </c>
      <c r="AN27" s="325">
        <f t="shared" si="8"/>
        <v>19.886541193972732</v>
      </c>
      <c r="AO27" s="95">
        <f t="shared" si="26"/>
        <v>-568.57463620471526</v>
      </c>
      <c r="AP27" s="96"/>
      <c r="AQ27" s="97">
        <f t="shared" si="9"/>
        <v>478</v>
      </c>
      <c r="AR27" s="98">
        <f t="shared" si="37"/>
        <v>181.59</v>
      </c>
      <c r="AS27" s="98">
        <f t="shared" si="11"/>
        <v>180.3</v>
      </c>
      <c r="AT27" s="98">
        <f t="shared" si="12"/>
        <v>427.28</v>
      </c>
      <c r="AU27" s="98">
        <f t="shared" si="27"/>
        <v>0</v>
      </c>
      <c r="AV27" s="98">
        <f t="array" ref="AV27">_xlfn.IFS(U27=0,AO27,U27&lt;0,AO27/-U27,U27&gt;0,AO27/U27)</f>
        <v>-568.57463620471526</v>
      </c>
      <c r="AW27" s="234">
        <f t="shared" si="34"/>
        <v>-1.1894866866207432</v>
      </c>
      <c r="AX27" s="234">
        <f t="shared" si="35"/>
        <v>-3.131090017097391</v>
      </c>
      <c r="AY27" s="99"/>
      <c r="AZ27" s="94">
        <f t="shared" si="15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6"/>
        <v>7</v>
      </c>
      <c r="R28" s="92">
        <f t="shared" si="17"/>
        <v>1.9375</v>
      </c>
      <c r="S28" s="93">
        <v>63</v>
      </c>
      <c r="T28" s="93">
        <v>-1</v>
      </c>
      <c r="U28" s="92">
        <f t="shared" si="18"/>
        <v>62</v>
      </c>
      <c r="V28" s="93">
        <v>50175.25</v>
      </c>
      <c r="W28" s="93">
        <v>-669</v>
      </c>
      <c r="X28" s="92">
        <f t="shared" si="19"/>
        <v>49506.25</v>
      </c>
      <c r="Y28" s="93">
        <v>68107.839999999997</v>
      </c>
      <c r="Z28" s="93">
        <v>-1018</v>
      </c>
      <c r="AA28" s="92">
        <f t="shared" si="20"/>
        <v>67089.84</v>
      </c>
      <c r="AB28" s="92">
        <f t="shared" si="21"/>
        <v>105085.12</v>
      </c>
      <c r="AC28" s="234">
        <f t="shared" si="22"/>
        <v>2.9883117224296582E-2</v>
      </c>
      <c r="AD28" s="92">
        <f t="shared" si="23"/>
        <v>8284.44</v>
      </c>
      <c r="AE28" s="93">
        <v>24438.289999999961</v>
      </c>
      <c r="AF28" s="234">
        <f t="shared" si="24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5"/>
        <v>2449.0041417999523</v>
      </c>
      <c r="AM28" s="93">
        <v>0</v>
      </c>
      <c r="AN28" s="325">
        <f t="shared" si="8"/>
        <v>2833.5342380596312</v>
      </c>
      <c r="AO28" s="95">
        <f t="shared" si="26"/>
        <v>-10078.608379859546</v>
      </c>
      <c r="AP28" s="96"/>
      <c r="AQ28" s="97">
        <f t="shared" si="9"/>
        <v>1082.094193548387</v>
      </c>
      <c r="AR28" s="98">
        <f t="shared" si="37"/>
        <v>133.62</v>
      </c>
      <c r="AS28" s="98">
        <f t="shared" si="11"/>
        <v>394.16596774193488</v>
      </c>
      <c r="AT28" s="98">
        <f t="shared" si="12"/>
        <v>210.47904761904752</v>
      </c>
      <c r="AU28" s="98">
        <f t="shared" si="27"/>
        <v>411.15873015873018</v>
      </c>
      <c r="AV28" s="98">
        <f>_xlfn.IFS(U28=0,AO28,U28&lt;0,AO28/-U28,U28&gt;0,AO28/U28)</f>
        <v>-162.55819967515399</v>
      </c>
      <c r="AW28" s="234">
        <f t="shared" si="34"/>
        <v>-0.15022555397150369</v>
      </c>
      <c r="AX28" s="234">
        <f t="shared" si="35"/>
        <v>-1.2165708701927405</v>
      </c>
      <c r="AY28" s="99"/>
      <c r="AZ28" s="94">
        <f t="shared" si="15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6"/>
        <v>0.15625</v>
      </c>
      <c r="R29" s="92">
        <f t="shared" si="17"/>
        <v>3.125E-2</v>
      </c>
      <c r="S29" s="93">
        <v>1</v>
      </c>
      <c r="T29" s="93">
        <v>0</v>
      </c>
      <c r="U29" s="92">
        <f t="shared" si="18"/>
        <v>1</v>
      </c>
      <c r="V29" s="93">
        <v>408</v>
      </c>
      <c r="W29" s="93">
        <v>0</v>
      </c>
      <c r="X29" s="92">
        <f t="shared" si="19"/>
        <v>408</v>
      </c>
      <c r="Y29" s="93">
        <v>508</v>
      </c>
      <c r="Z29" s="93">
        <v>0</v>
      </c>
      <c r="AA29" s="92">
        <f t="shared" si="20"/>
        <v>508</v>
      </c>
      <c r="AB29" s="92">
        <f t="shared" si="21"/>
        <v>992</v>
      </c>
      <c r="AC29" s="234">
        <f t="shared" si="22"/>
        <v>2.2627306235851308E-4</v>
      </c>
      <c r="AD29" s="92">
        <f t="shared" si="23"/>
        <v>111.39</v>
      </c>
      <c r="AE29" s="93">
        <v>192.32999999999998</v>
      </c>
      <c r="AF29" s="234">
        <f t="shared" si="24"/>
        <v>0.37860236220472437</v>
      </c>
      <c r="AG29" s="93">
        <v>351.62</v>
      </c>
      <c r="AH29" s="93"/>
      <c r="AI29" s="93"/>
      <c r="AJ29" s="93"/>
      <c r="AK29" s="93"/>
      <c r="AL29" s="122">
        <f t="shared" si="25"/>
        <v>6.4194079732633087</v>
      </c>
      <c r="AM29" s="93">
        <v>0</v>
      </c>
      <c r="AN29" s="325">
        <f t="shared" si="8"/>
        <v>21.134650473929181</v>
      </c>
      <c r="AO29" s="95">
        <f t="shared" si="26"/>
        <v>-174.89405844719246</v>
      </c>
      <c r="AP29" s="96"/>
      <c r="AQ29" s="97">
        <f t="shared" si="9"/>
        <v>508</v>
      </c>
      <c r="AR29" s="98">
        <f t="shared" si="37"/>
        <v>111.39</v>
      </c>
      <c r="AS29" s="98">
        <f t="shared" si="11"/>
        <v>192.32999999999998</v>
      </c>
      <c r="AT29" s="98">
        <f t="shared" si="12"/>
        <v>351.62</v>
      </c>
      <c r="AU29" s="98">
        <f t="shared" si="27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5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6"/>
        <v>1.40625</v>
      </c>
      <c r="R30" s="92">
        <f t="shared" si="17"/>
        <v>0.53125</v>
      </c>
      <c r="S30" s="93">
        <v>17</v>
      </c>
      <c r="T30" s="93">
        <v>0</v>
      </c>
      <c r="U30" s="92">
        <f t="shared" si="18"/>
        <v>17</v>
      </c>
      <c r="V30" s="93">
        <v>7897.47</v>
      </c>
      <c r="W30" s="93">
        <v>0</v>
      </c>
      <c r="X30" s="92">
        <f t="shared" si="19"/>
        <v>7897.47</v>
      </c>
      <c r="Y30" s="93">
        <v>9731.7900000000009</v>
      </c>
      <c r="Z30" s="93">
        <v>0</v>
      </c>
      <c r="AA30" s="92">
        <f t="shared" si="20"/>
        <v>9731.7900000000009</v>
      </c>
      <c r="AB30" s="92">
        <f t="shared" si="21"/>
        <v>11106.9</v>
      </c>
      <c r="AC30" s="234">
        <f t="shared" si="22"/>
        <v>4.3347281998621142E-3</v>
      </c>
      <c r="AD30" s="92">
        <f t="shared" si="23"/>
        <v>1893.63</v>
      </c>
      <c r="AE30" s="93">
        <v>3680.4900000000007</v>
      </c>
      <c r="AF30" s="234">
        <f t="shared" si="24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5"/>
        <v>0</v>
      </c>
      <c r="AM30" s="93">
        <v>0</v>
      </c>
      <c r="AN30" s="325">
        <f t="shared" si="8"/>
        <v>404.87791365291196</v>
      </c>
      <c r="AO30" s="95">
        <f t="shared" si="26"/>
        <v>-644.83791365291245</v>
      </c>
      <c r="AP30" s="96"/>
      <c r="AQ30" s="97">
        <f t="shared" si="9"/>
        <v>572.45823529411769</v>
      </c>
      <c r="AR30" s="98">
        <f t="shared" si="37"/>
        <v>111.39</v>
      </c>
      <c r="AS30" s="98">
        <f t="shared" si="11"/>
        <v>216.49941176470591</v>
      </c>
      <c r="AT30" s="98">
        <f t="shared" si="12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6"/>
        <v>1.4375</v>
      </c>
      <c r="R31" s="92">
        <f t="shared" si="17"/>
        <v>0.53125</v>
      </c>
      <c r="S31" s="93">
        <v>17</v>
      </c>
      <c r="T31" s="93">
        <v>0</v>
      </c>
      <c r="U31" s="92">
        <f t="shared" si="18"/>
        <v>17</v>
      </c>
      <c r="V31" s="93">
        <v>6828</v>
      </c>
      <c r="W31" s="93">
        <v>0</v>
      </c>
      <c r="X31" s="92">
        <f t="shared" si="19"/>
        <v>6828</v>
      </c>
      <c r="Y31" s="93">
        <v>8783</v>
      </c>
      <c r="Z31" s="93">
        <v>0</v>
      </c>
      <c r="AA31" s="92">
        <f t="shared" si="20"/>
        <v>8783</v>
      </c>
      <c r="AB31" s="92">
        <f t="shared" si="21"/>
        <v>8901.4599999999991</v>
      </c>
      <c r="AC31" s="234">
        <f t="shared" si="22"/>
        <v>3.9121187139661822E-3</v>
      </c>
      <c r="AD31" s="92">
        <f t="shared" si="23"/>
        <v>1794.18</v>
      </c>
      <c r="AE31" s="93">
        <v>3322.79</v>
      </c>
      <c r="AF31" s="234">
        <f t="shared" si="24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5"/>
        <v>3.2097039866316543</v>
      </c>
      <c r="AM31" s="93">
        <v>0</v>
      </c>
      <c r="AN31" s="325">
        <f t="shared" si="8"/>
        <v>365.40479352858267</v>
      </c>
      <c r="AO31" s="95">
        <f t="shared" si="26"/>
        <v>-1692.6444975152149</v>
      </c>
      <c r="AP31" s="96"/>
      <c r="AQ31" s="97">
        <f t="shared" si="9"/>
        <v>516.64705882352939</v>
      </c>
      <c r="AR31" s="98">
        <f t="shared" si="37"/>
        <v>105.54</v>
      </c>
      <c r="AS31" s="98">
        <f t="shared" si="11"/>
        <v>195.45823529411766</v>
      </c>
      <c r="AT31" s="98">
        <f t="shared" si="12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5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6"/>
        <v>0.25</v>
      </c>
      <c r="R32" s="92">
        <f t="shared" si="17"/>
        <v>0.125</v>
      </c>
      <c r="S32" s="93">
        <v>4</v>
      </c>
      <c r="T32" s="93">
        <v>0</v>
      </c>
      <c r="U32" s="92">
        <f t="shared" si="18"/>
        <v>4</v>
      </c>
      <c r="V32" s="93">
        <v>1713.76</v>
      </c>
      <c r="W32" s="93">
        <v>0</v>
      </c>
      <c r="X32" s="92">
        <f t="shared" si="19"/>
        <v>1713.76</v>
      </c>
      <c r="Y32" s="93">
        <v>2155.9899999999998</v>
      </c>
      <c r="Z32" s="93">
        <v>0</v>
      </c>
      <c r="AA32" s="92">
        <f t="shared" si="20"/>
        <v>2155.9899999999998</v>
      </c>
      <c r="AB32" s="92">
        <f t="shared" si="21"/>
        <v>2156</v>
      </c>
      <c r="AC32" s="234">
        <f t="shared" si="22"/>
        <v>9.6031980258726494E-4</v>
      </c>
      <c r="AD32" s="92">
        <f t="shared" si="23"/>
        <v>562.55999999999995</v>
      </c>
      <c r="AE32" s="93">
        <v>811.22999999999979</v>
      </c>
      <c r="AF32" s="234">
        <f t="shared" si="24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89.697037549776724</v>
      </c>
      <c r="AO32" s="95">
        <f t="shared" si="26"/>
        <v>164.8829624502232</v>
      </c>
      <c r="AP32" s="96"/>
      <c r="AQ32" s="97">
        <f t="shared" si="9"/>
        <v>538.99749999999995</v>
      </c>
      <c r="AR32" s="98">
        <f t="shared" si="37"/>
        <v>140.63999999999999</v>
      </c>
      <c r="AS32" s="98">
        <f t="shared" si="11"/>
        <v>202.80749999999995</v>
      </c>
      <c r="AT32" s="98">
        <f t="shared" si="12"/>
        <v>131.90500000000003</v>
      </c>
      <c r="AU32" s="98">
        <f t="shared" si="27"/>
        <v>0</v>
      </c>
      <c r="AV32" s="98">
        <f t="array" ref="AV32">_xlfn.IFS(U32=0,AO32,U32&lt;0,AO32/-U32,U32&gt;0,AO32/U32)</f>
        <v>41.220740612555801</v>
      </c>
      <c r="AW32" s="234">
        <f t="shared" ref="AW32" si="41">IF(AQ32=0,0,AV32/AQ32)</f>
        <v>7.6476682382674882E-2</v>
      </c>
      <c r="AX32" s="234">
        <f t="shared" ref="AX32" si="42">IF(AR32=0,0,AV32/AR32)</f>
        <v>0.29309400321783136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6"/>
        <v>0.15625</v>
      </c>
      <c r="R33" s="92">
        <f t="shared" si="17"/>
        <v>6.25E-2</v>
      </c>
      <c r="S33" s="93">
        <v>2</v>
      </c>
      <c r="T33" s="93">
        <v>0</v>
      </c>
      <c r="U33" s="92">
        <f t="shared" si="18"/>
        <v>2</v>
      </c>
      <c r="V33" s="93">
        <v>713.73</v>
      </c>
      <c r="W33" s="93">
        <v>0</v>
      </c>
      <c r="X33" s="92">
        <f t="shared" si="19"/>
        <v>713.73</v>
      </c>
      <c r="Y33" s="93">
        <v>871.67</v>
      </c>
      <c r="Z33" s="93">
        <v>0</v>
      </c>
      <c r="AA33" s="92">
        <f t="shared" si="20"/>
        <v>871.67</v>
      </c>
      <c r="AB33" s="92">
        <f t="shared" si="21"/>
        <v>880</v>
      </c>
      <c r="AC33" s="234">
        <f t="shared" si="22"/>
        <v>3.8825874068119113E-4</v>
      </c>
      <c r="AD33" s="92">
        <f t="shared" si="23"/>
        <v>246.18</v>
      </c>
      <c r="AE33" s="93">
        <v>323.53999999999996</v>
      </c>
      <c r="AF33" s="234">
        <f t="shared" si="24"/>
        <v>0.37117257677790905</v>
      </c>
      <c r="AG33" s="93">
        <v>322.81</v>
      </c>
      <c r="AH33" s="93"/>
      <c r="AI33" s="93"/>
      <c r="AJ33" s="93"/>
      <c r="AK33" s="93"/>
      <c r="AL33" s="122">
        <f t="shared" si="25"/>
        <v>503.92352590116974</v>
      </c>
      <c r="AM33" s="93">
        <v>0</v>
      </c>
      <c r="AN33" s="325">
        <f t="shared" si="8"/>
        <v>36.264647201987891</v>
      </c>
      <c r="AO33" s="95">
        <f t="shared" si="26"/>
        <v>-561.04817310315764</v>
      </c>
      <c r="AP33" s="96"/>
      <c r="AQ33" s="97">
        <f t="shared" si="9"/>
        <v>435.83499999999998</v>
      </c>
      <c r="AR33" s="98">
        <f t="shared" si="37"/>
        <v>123.09</v>
      </c>
      <c r="AS33" s="98">
        <f t="shared" si="11"/>
        <v>161.76999999999998</v>
      </c>
      <c r="AT33" s="98">
        <f t="shared" si="12"/>
        <v>161.405</v>
      </c>
      <c r="AU33" s="98">
        <f t="shared" si="27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5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6"/>
        <v>0.1875</v>
      </c>
      <c r="R34" s="92">
        <f t="shared" si="17"/>
        <v>3.125E-2</v>
      </c>
      <c r="S34" s="93">
        <v>1</v>
      </c>
      <c r="T34" s="93">
        <v>0</v>
      </c>
      <c r="U34" s="92">
        <f t="shared" si="18"/>
        <v>1</v>
      </c>
      <c r="V34" s="93">
        <v>308</v>
      </c>
      <c r="W34" s="93">
        <v>0</v>
      </c>
      <c r="X34" s="92">
        <f t="shared" si="19"/>
        <v>308</v>
      </c>
      <c r="Y34" s="93">
        <v>479</v>
      </c>
      <c r="Z34" s="93">
        <v>0</v>
      </c>
      <c r="AA34" s="92">
        <f t="shared" si="20"/>
        <v>479</v>
      </c>
      <c r="AB34" s="92">
        <f t="shared" si="21"/>
        <v>908.82</v>
      </c>
      <c r="AC34" s="234">
        <f t="shared" si="22"/>
        <v>2.133558993498578E-4</v>
      </c>
      <c r="AD34" s="92">
        <f t="shared" si="23"/>
        <v>117.24</v>
      </c>
      <c r="AE34" s="93">
        <v>178.85000000000002</v>
      </c>
      <c r="AF34" s="234">
        <f t="shared" si="24"/>
        <v>0.37338204592901886</v>
      </c>
      <c r="AG34" s="93">
        <v>252.25</v>
      </c>
      <c r="AH34" s="93"/>
      <c r="AI34" s="93"/>
      <c r="AJ34" s="93"/>
      <c r="AK34" s="93"/>
      <c r="AL34" s="122">
        <f t="shared" si="25"/>
        <v>73.823191692528042</v>
      </c>
      <c r="AM34" s="93">
        <v>0</v>
      </c>
      <c r="AN34" s="325">
        <f t="shared" si="8"/>
        <v>19.928144836637948</v>
      </c>
      <c r="AO34" s="95">
        <f t="shared" si="26"/>
        <v>-163.09133652916603</v>
      </c>
      <c r="AP34" s="96"/>
      <c r="AQ34" s="97">
        <f t="shared" si="9"/>
        <v>479</v>
      </c>
      <c r="AR34" s="98">
        <f t="shared" si="37"/>
        <v>117.24</v>
      </c>
      <c r="AS34" s="98">
        <f t="shared" si="11"/>
        <v>178.85000000000002</v>
      </c>
      <c r="AT34" s="98">
        <f t="shared" si="12"/>
        <v>252.25</v>
      </c>
      <c r="AU34" s="98">
        <f t="shared" si="27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5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95827.42*Y35/Y$121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6"/>
        <v>0.125</v>
      </c>
      <c r="R37" s="92">
        <f t="shared" si="17"/>
        <v>3.125E-2</v>
      </c>
      <c r="S37" s="93">
        <v>1</v>
      </c>
      <c r="T37" s="93">
        <v>0</v>
      </c>
      <c r="U37" s="92">
        <f t="shared" si="18"/>
        <v>1</v>
      </c>
      <c r="V37" s="93">
        <v>810</v>
      </c>
      <c r="W37" s="93">
        <v>0</v>
      </c>
      <c r="X37" s="92">
        <f t="shared" si="19"/>
        <v>810</v>
      </c>
      <c r="Y37" s="93">
        <v>1016.56</v>
      </c>
      <c r="Z37" s="93">
        <v>0</v>
      </c>
      <c r="AA37" s="92">
        <f t="shared" si="20"/>
        <v>1016.56</v>
      </c>
      <c r="AB37" s="92">
        <f t="shared" si="21"/>
        <v>2046</v>
      </c>
      <c r="AC37" s="234">
        <f t="shared" si="22"/>
        <v>4.5279555958891739E-4</v>
      </c>
      <c r="AD37" s="92">
        <f t="shared" si="23"/>
        <v>169.89</v>
      </c>
      <c r="AE37" s="93">
        <v>375.75</v>
      </c>
      <c r="AF37" s="234">
        <f t="shared" si="24"/>
        <v>0.36962894467616275</v>
      </c>
      <c r="AG37" s="93">
        <v>157.9</v>
      </c>
      <c r="AH37" s="93"/>
      <c r="AI37" s="93"/>
      <c r="AJ37" s="93"/>
      <c r="AK37" s="93"/>
      <c r="AL37" s="122">
        <f t="shared" si="25"/>
        <v>51.35526378610647</v>
      </c>
      <c r="AM37" s="93">
        <v>0</v>
      </c>
      <c r="AN37" s="325">
        <f t="shared" si="45"/>
        <v>42.292598987750878</v>
      </c>
      <c r="AO37" s="95">
        <f t="shared" si="26"/>
        <v>219.37213722614263</v>
      </c>
      <c r="AP37" s="96"/>
      <c r="AQ37" s="97">
        <f t="shared" si="9"/>
        <v>1016.56</v>
      </c>
      <c r="AR37" s="98">
        <f t="shared" si="37"/>
        <v>169.89</v>
      </c>
      <c r="AS37" s="98">
        <f t="shared" si="11"/>
        <v>375.75</v>
      </c>
      <c r="AT37" s="98">
        <f t="shared" si="12"/>
        <v>157.9</v>
      </c>
      <c r="AU37" s="98">
        <f t="shared" si="27"/>
        <v>0</v>
      </c>
      <c r="AV37" s="98">
        <f t="array" ref="AV37">_xlfn.IFS(U37=0,AO37,U37&lt;0,AO37/-U37,U37&gt;0,AO37/U37)</f>
        <v>219.37213722614263</v>
      </c>
      <c r="AW37" s="234">
        <f t="shared" si="46"/>
        <v>0.21579851383700188</v>
      </c>
      <c r="AX37" s="234">
        <f t="shared" si="47"/>
        <v>1.2912598577087684</v>
      </c>
      <c r="AY37" s="99"/>
      <c r="AZ37" s="94">
        <f t="shared" si="15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150.85608737168775</v>
      </c>
      <c r="AM38" s="93">
        <v>0</v>
      </c>
      <c r="AN38" s="325">
        <f t="shared" si="45"/>
        <v>0</v>
      </c>
      <c r="AO38" s="95">
        <f t="shared" si="26"/>
        <v>-150.85608737168775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5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1</v>
      </c>
      <c r="O39" s="89">
        <v>1077</v>
      </c>
      <c r="P39" s="89">
        <v>0</v>
      </c>
      <c r="Q39" s="233">
        <f t="shared" si="16"/>
        <v>3.125E-2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157.27549534495105</v>
      </c>
      <c r="AM39" s="93">
        <v>0</v>
      </c>
      <c r="AN39" s="325">
        <f t="shared" si="45"/>
        <v>0</v>
      </c>
      <c r="AO39" s="95">
        <f t="shared" si="26"/>
        <v>-157.27549534495105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5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6"/>
        <v>0.15625</v>
      </c>
      <c r="R40" s="92">
        <f t="shared" si="17"/>
        <v>3.125E-2</v>
      </c>
      <c r="S40" s="93">
        <v>1</v>
      </c>
      <c r="T40" s="93">
        <v>0</v>
      </c>
      <c r="U40" s="92">
        <f t="shared" si="18"/>
        <v>1</v>
      </c>
      <c r="V40" s="93">
        <v>848</v>
      </c>
      <c r="W40" s="93">
        <v>0</v>
      </c>
      <c r="X40" s="92">
        <f t="shared" si="19"/>
        <v>848</v>
      </c>
      <c r="Y40" s="93">
        <v>1237</v>
      </c>
      <c r="Z40" s="93">
        <v>0</v>
      </c>
      <c r="AA40" s="92">
        <f t="shared" si="20"/>
        <v>1237</v>
      </c>
      <c r="AB40" s="92">
        <f t="shared" si="21"/>
        <v>1536.25</v>
      </c>
      <c r="AC40" s="234">
        <f t="shared" si="22"/>
        <v>5.5098381523126119E-4</v>
      </c>
      <c r="AD40" s="92">
        <f t="shared" si="23"/>
        <v>105.54</v>
      </c>
      <c r="AE40" s="93">
        <v>454.28</v>
      </c>
      <c r="AF40" s="234">
        <f t="shared" si="24"/>
        <v>0.36724333063864184</v>
      </c>
      <c r="AG40" s="93">
        <v>356.48</v>
      </c>
      <c r="AH40" s="93"/>
      <c r="AI40" s="93"/>
      <c r="AJ40" s="93"/>
      <c r="AK40" s="93"/>
      <c r="AL40" s="122">
        <f t="shared" si="25"/>
        <v>150.85608737168775</v>
      </c>
      <c r="AM40" s="93">
        <v>0</v>
      </c>
      <c r="AN40" s="325">
        <f t="shared" si="45"/>
        <v>51.463705976870862</v>
      </c>
      <c r="AO40" s="95">
        <f t="shared" si="26"/>
        <v>118.38020665144143</v>
      </c>
      <c r="AP40" s="96"/>
      <c r="AQ40" s="97">
        <f t="shared" si="9"/>
        <v>1237</v>
      </c>
      <c r="AR40" s="98">
        <f t="shared" si="37"/>
        <v>105.54</v>
      </c>
      <c r="AS40" s="98">
        <f t="shared" si="11"/>
        <v>454.28</v>
      </c>
      <c r="AT40" s="98">
        <f t="shared" si="12"/>
        <v>356.48</v>
      </c>
      <c r="AU40" s="98">
        <f t="shared" si="27"/>
        <v>0</v>
      </c>
      <c r="AV40" s="98">
        <f t="array" ref="AV40">_xlfn.IFS(U40=0,AO40,U40&lt;0,AO40/-U40,U40&gt;0,AO40/U40)</f>
        <v>118.38020665144143</v>
      </c>
      <c r="AW40" s="234">
        <f t="shared" si="46"/>
        <v>9.5699439491868571E-2</v>
      </c>
      <c r="AX40" s="234">
        <f t="shared" si="47"/>
        <v>1.1216619921493407</v>
      </c>
      <c r="AY40" s="99"/>
      <c r="AZ40" s="94">
        <f t="shared" si="15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6"/>
        <v>0.15625</v>
      </c>
      <c r="R41" s="92">
        <f t="shared" si="17"/>
        <v>6.25E-2</v>
      </c>
      <c r="S41" s="93">
        <v>2</v>
      </c>
      <c r="T41" s="93">
        <v>0</v>
      </c>
      <c r="U41" s="92">
        <f t="shared" si="18"/>
        <v>2</v>
      </c>
      <c r="V41" s="93">
        <v>1870</v>
      </c>
      <c r="W41" s="93">
        <v>0</v>
      </c>
      <c r="X41" s="92">
        <f t="shared" si="19"/>
        <v>1870</v>
      </c>
      <c r="Y41" s="93">
        <v>2520</v>
      </c>
      <c r="Z41" s="93">
        <v>0</v>
      </c>
      <c r="AA41" s="92">
        <f t="shared" si="20"/>
        <v>2520</v>
      </c>
      <c r="AB41" s="92">
        <f t="shared" si="21"/>
        <v>2504</v>
      </c>
      <c r="AC41" s="234">
        <f t="shared" si="22"/>
        <v>1.1224569235107342E-3</v>
      </c>
      <c r="AD41" s="92">
        <f t="shared" si="23"/>
        <v>246.18</v>
      </c>
      <c r="AE41" s="93">
        <v>912.52</v>
      </c>
      <c r="AF41" s="234">
        <f t="shared" si="24"/>
        <v>0.36211111111111111</v>
      </c>
      <c r="AG41" s="93">
        <v>338.43</v>
      </c>
      <c r="AH41" s="93"/>
      <c r="AI41" s="93"/>
      <c r="AJ41" s="93"/>
      <c r="AK41" s="93"/>
      <c r="AL41" s="122">
        <f t="shared" si="25"/>
        <v>150.85608737168775</v>
      </c>
      <c r="AM41" s="93">
        <v>0</v>
      </c>
      <c r="AN41" s="325">
        <f t="shared" si="45"/>
        <v>104.84117951634161</v>
      </c>
      <c r="AO41" s="95">
        <f t="shared" si="26"/>
        <v>767.17273311197073</v>
      </c>
      <c r="AP41" s="96"/>
      <c r="AQ41" s="97">
        <f t="shared" si="9"/>
        <v>1260</v>
      </c>
      <c r="AR41" s="98">
        <f t="shared" si="37"/>
        <v>123.09</v>
      </c>
      <c r="AS41" s="98">
        <f t="shared" si="11"/>
        <v>456.26</v>
      </c>
      <c r="AT41" s="98">
        <f t="shared" si="12"/>
        <v>169.215</v>
      </c>
      <c r="AU41" s="98">
        <f t="shared" si="27"/>
        <v>0</v>
      </c>
      <c r="AV41" s="98">
        <f t="array" ref="AV41">_xlfn.IFS(U41=0,AO41,U41&lt;0,AO41/-U41,U41&gt;0,AO41/U41)</f>
        <v>383.58636655598536</v>
      </c>
      <c r="AW41" s="234">
        <f t="shared" si="46"/>
        <v>0.30443362425078202</v>
      </c>
      <c r="AX41" s="234">
        <f t="shared" si="47"/>
        <v>3.1163081205295748</v>
      </c>
      <c r="AY41" s="99"/>
      <c r="AZ41" s="94">
        <f t="shared" si="15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1</v>
      </c>
      <c r="O42" s="89">
        <v>1218</v>
      </c>
      <c r="P42" s="89">
        <v>0</v>
      </c>
      <c r="Q42" s="233">
        <f t="shared" si="16"/>
        <v>3.125E-2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84.8</v>
      </c>
      <c r="AH42" s="93"/>
      <c r="AI42" s="93"/>
      <c r="AJ42" s="93"/>
      <c r="AK42" s="93"/>
      <c r="AL42" s="122">
        <f t="shared" si="25"/>
        <v>154.06579135831939</v>
      </c>
      <c r="AM42" s="93">
        <v>0</v>
      </c>
      <c r="AN42" s="325">
        <f t="shared" si="45"/>
        <v>0</v>
      </c>
      <c r="AO42" s="95">
        <f t="shared" si="26"/>
        <v>-238.86579135831937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5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1</v>
      </c>
      <c r="O43" s="89">
        <v>1260</v>
      </c>
      <c r="P43" s="89">
        <v>0</v>
      </c>
      <c r="Q43" s="233">
        <f t="shared" si="16"/>
        <v>3.125E-2</v>
      </c>
      <c r="R43" s="92">
        <f t="shared" si="17"/>
        <v>0</v>
      </c>
      <c r="S43" s="93">
        <v>1</v>
      </c>
      <c r="T43" s="93">
        <v>-1</v>
      </c>
      <c r="U43" s="92">
        <f t="shared" si="18"/>
        <v>0</v>
      </c>
      <c r="V43" s="93">
        <v>1011</v>
      </c>
      <c r="W43" s="93">
        <v>-1011</v>
      </c>
      <c r="X43" s="92">
        <f t="shared" si="19"/>
        <v>0</v>
      </c>
      <c r="Y43" s="93">
        <v>1260</v>
      </c>
      <c r="Z43" s="93">
        <v>-1260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107.11</v>
      </c>
      <c r="AH43" s="93"/>
      <c r="AI43" s="93"/>
      <c r="AJ43" s="93"/>
      <c r="AK43" s="93"/>
      <c r="AL43" s="122">
        <f t="shared" si="25"/>
        <v>154.06579135831939</v>
      </c>
      <c r="AM43" s="93">
        <v>0</v>
      </c>
      <c r="AN43" s="325">
        <f t="shared" si="45"/>
        <v>52.420589758170806</v>
      </c>
      <c r="AO43" s="95">
        <f t="shared" si="26"/>
        <v>-313.59638111649019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107.11</v>
      </c>
      <c r="AU43" s="98">
        <f t="shared" si="27"/>
        <v>0</v>
      </c>
      <c r="AV43" s="98">
        <f t="array" ref="AV43">_xlfn.IFS(U43=0,AO43,U43&lt;0,AO43/-U43,U43&gt;0,AO43/U43)</f>
        <v>-313.59638111649019</v>
      </c>
      <c r="AW43" s="234">
        <f t="shared" si="46"/>
        <v>0</v>
      </c>
      <c r="AX43" s="234">
        <f t="shared" si="47"/>
        <v>-2.5476999034567402</v>
      </c>
      <c r="AY43" s="99"/>
      <c r="AZ43" s="94">
        <f t="shared" si="15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6"/>
        <v>0.25</v>
      </c>
      <c r="R44" s="92">
        <f t="shared" si="17"/>
        <v>3.125E-2</v>
      </c>
      <c r="S44" s="93">
        <v>1</v>
      </c>
      <c r="T44" s="93">
        <v>0</v>
      </c>
      <c r="U44" s="92">
        <f t="shared" si="18"/>
        <v>1</v>
      </c>
      <c r="V44" s="93">
        <v>752</v>
      </c>
      <c r="W44" s="93">
        <v>0</v>
      </c>
      <c r="X44" s="92">
        <f t="shared" si="19"/>
        <v>752</v>
      </c>
      <c r="Y44" s="93">
        <v>1048</v>
      </c>
      <c r="Z44" s="93">
        <v>0</v>
      </c>
      <c r="AA44" s="92">
        <f t="shared" si="20"/>
        <v>1048</v>
      </c>
      <c r="AB44" s="92">
        <f t="shared" si="21"/>
        <v>1173.1199999999999</v>
      </c>
      <c r="AC44" s="234">
        <f t="shared" si="22"/>
        <v>4.6679954596795612E-4</v>
      </c>
      <c r="AD44" s="92">
        <f t="shared" si="23"/>
        <v>111.39</v>
      </c>
      <c r="AE44" s="93">
        <v>372.42999999999995</v>
      </c>
      <c r="AF44" s="234">
        <f t="shared" si="24"/>
        <v>0.35537213740458012</v>
      </c>
      <c r="AG44" s="93">
        <v>645.46</v>
      </c>
      <c r="AH44" s="93"/>
      <c r="AI44" s="93"/>
      <c r="AJ44" s="93"/>
      <c r="AK44" s="93"/>
      <c r="AL44" s="122">
        <f t="shared" si="25"/>
        <v>702.92517307233231</v>
      </c>
      <c r="AM44" s="93">
        <v>0</v>
      </c>
      <c r="AN44" s="325">
        <f t="shared" si="45"/>
        <v>43.600617513145238</v>
      </c>
      <c r="AO44" s="95">
        <f t="shared" si="26"/>
        <v>-827.80579058547755</v>
      </c>
      <c r="AP44" s="96"/>
      <c r="AQ44" s="97">
        <f t="shared" si="9"/>
        <v>1048</v>
      </c>
      <c r="AR44" s="98">
        <f t="shared" si="37"/>
        <v>111.39</v>
      </c>
      <c r="AS44" s="98">
        <f t="shared" si="11"/>
        <v>372.42999999999995</v>
      </c>
      <c r="AT44" s="98">
        <f t="shared" si="12"/>
        <v>645.46</v>
      </c>
      <c r="AU44" s="98">
        <f t="shared" si="27"/>
        <v>0</v>
      </c>
      <c r="AV44" s="98">
        <f t="array" ref="AV44">_xlfn.IFS(U44=0,AO44,U44&lt;0,AO44/-U44,U44&gt;0,AO44/U44)</f>
        <v>-827.80579058547755</v>
      </c>
      <c r="AW44" s="234">
        <f t="shared" si="46"/>
        <v>-0.78989102155102819</v>
      </c>
      <c r="AX44" s="234">
        <f t="shared" si="47"/>
        <v>-7.4315988022755866</v>
      </c>
      <c r="AY44" s="99"/>
      <c r="AZ44" s="94">
        <f t="shared" si="15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6"/>
        <v>0.9375</v>
      </c>
      <c r="R45" s="92">
        <f t="shared" si="17"/>
        <v>0.375</v>
      </c>
      <c r="S45" s="93">
        <v>13</v>
      </c>
      <c r="T45" s="93">
        <v>-1</v>
      </c>
      <c r="U45" s="92">
        <f t="shared" si="18"/>
        <v>12</v>
      </c>
      <c r="V45" s="93">
        <v>9560.64</v>
      </c>
      <c r="W45" s="93">
        <v>-672</v>
      </c>
      <c r="X45" s="92">
        <f t="shared" si="19"/>
        <v>8888.64</v>
      </c>
      <c r="Y45" s="93">
        <v>13245.34</v>
      </c>
      <c r="Z45" s="93">
        <v>-998</v>
      </c>
      <c r="AA45" s="92">
        <f t="shared" si="20"/>
        <v>12247.34</v>
      </c>
      <c r="AB45" s="92">
        <f t="shared" si="21"/>
        <v>15849.6</v>
      </c>
      <c r="AC45" s="234">
        <f t="shared" si="22"/>
        <v>5.4552030069801409E-3</v>
      </c>
      <c r="AD45" s="92">
        <f t="shared" si="23"/>
        <v>1294.56</v>
      </c>
      <c r="AE45" s="93">
        <v>4591.45</v>
      </c>
      <c r="AF45" s="234">
        <f t="shared" si="24"/>
        <v>0.3748936503763266</v>
      </c>
      <c r="AG45" s="93">
        <v>1342.38</v>
      </c>
      <c r="AH45" s="93"/>
      <c r="AI45" s="93"/>
      <c r="AJ45" s="93"/>
      <c r="AK45" s="93"/>
      <c r="AL45" s="122">
        <f t="shared" si="25"/>
        <v>950.0723800429696</v>
      </c>
      <c r="AM45" s="93">
        <v>0</v>
      </c>
      <c r="AN45" s="325">
        <f t="shared" si="45"/>
        <v>551.05439233927791</v>
      </c>
      <c r="AO45" s="95">
        <f t="shared" si="26"/>
        <v>3517.8232276177532</v>
      </c>
      <c r="AP45" s="96"/>
      <c r="AQ45" s="97">
        <f t="shared" si="9"/>
        <v>1020.6116666666667</v>
      </c>
      <c r="AR45" s="98">
        <f t="shared" si="37"/>
        <v>107.88</v>
      </c>
      <c r="AS45" s="98">
        <f t="shared" si="11"/>
        <v>382.62083333333334</v>
      </c>
      <c r="AT45" s="98">
        <f t="shared" si="12"/>
        <v>103.26</v>
      </c>
      <c r="AU45" s="98">
        <f t="shared" si="27"/>
        <v>0</v>
      </c>
      <c r="AV45" s="98">
        <f t="array" ref="AV45">_xlfn.IFS(U45=0,AO45,U45&lt;0,AO45/-U45,U45&gt;0,AO45/U45)</f>
        <v>293.15193563481279</v>
      </c>
      <c r="AW45" s="234">
        <f t="shared" si="46"/>
        <v>0.28723161336402464</v>
      </c>
      <c r="AX45" s="234">
        <f t="shared" si="47"/>
        <v>2.7173890956137634</v>
      </c>
      <c r="AY45" s="99"/>
      <c r="AZ45" s="94">
        <f t="shared" si="15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6"/>
        <v>0.4375</v>
      </c>
      <c r="R47" s="92">
        <f t="shared" si="17"/>
        <v>0.1875</v>
      </c>
      <c r="S47" s="93">
        <v>6</v>
      </c>
      <c r="T47" s="93">
        <v>0</v>
      </c>
      <c r="U47" s="92">
        <f t="shared" si="18"/>
        <v>6</v>
      </c>
      <c r="V47" s="93">
        <v>4518.4799999999996</v>
      </c>
      <c r="W47" s="93">
        <v>0</v>
      </c>
      <c r="X47" s="92">
        <f t="shared" si="19"/>
        <v>4518.4799999999996</v>
      </c>
      <c r="Y47" s="93">
        <v>5847.58</v>
      </c>
      <c r="Z47" s="93">
        <v>0</v>
      </c>
      <c r="AA47" s="92">
        <f t="shared" si="20"/>
        <v>5847.58</v>
      </c>
      <c r="AB47" s="92">
        <f t="shared" si="21"/>
        <v>7724.64</v>
      </c>
      <c r="AC47" s="234">
        <f t="shared" si="22"/>
        <v>2.6046256574535315E-3</v>
      </c>
      <c r="AD47" s="92">
        <f t="shared" si="23"/>
        <v>738.54</v>
      </c>
      <c r="AE47" s="93">
        <v>2187.6</v>
      </c>
      <c r="AF47" s="234">
        <f t="shared" si="24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5"/>
        <v>545.64967772738123</v>
      </c>
      <c r="AM47" s="93">
        <v>0</v>
      </c>
      <c r="AN47" s="325">
        <f t="shared" si="45"/>
        <v>243.28062877625749</v>
      </c>
      <c r="AO47" s="95">
        <f t="shared" si="26"/>
        <v>1305.6696934963616</v>
      </c>
      <c r="AP47" s="96"/>
      <c r="AQ47" s="97">
        <f t="shared" si="9"/>
        <v>974.59666666666669</v>
      </c>
      <c r="AR47" s="98">
        <f t="shared" si="37"/>
        <v>123.09</v>
      </c>
      <c r="AS47" s="98">
        <f t="shared" si="11"/>
        <v>364.59999999999997</v>
      </c>
      <c r="AT47" s="98">
        <f t="shared" si="12"/>
        <v>137.80666666666664</v>
      </c>
      <c r="AU47" s="98">
        <f t="shared" si="27"/>
        <v>0</v>
      </c>
      <c r="AV47" s="98">
        <f t="array" ref="AV47">_xlfn.IFS(U47=0,AO47,U47&lt;0,AO47/-U47,U47&gt;0,AO47/U47)</f>
        <v>217.61161558272693</v>
      </c>
      <c r="AW47" s="234">
        <f t="shared" si="46"/>
        <v>0.22328376755792337</v>
      </c>
      <c r="AX47" s="234">
        <f t="shared" si="47"/>
        <v>1.7679065365401487</v>
      </c>
      <c r="AY47" s="99"/>
      <c r="AZ47" s="94">
        <f t="shared" si="15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6"/>
        <v>0.9375</v>
      </c>
      <c r="R48" s="92">
        <f t="shared" si="17"/>
        <v>0.40625</v>
      </c>
      <c r="S48" s="93">
        <v>13</v>
      </c>
      <c r="T48" s="93">
        <v>0</v>
      </c>
      <c r="U48" s="92">
        <f t="shared" si="18"/>
        <v>13</v>
      </c>
      <c r="V48" s="93">
        <v>9845</v>
      </c>
      <c r="W48" s="93">
        <v>0</v>
      </c>
      <c r="X48" s="92">
        <f t="shared" si="19"/>
        <v>9845</v>
      </c>
      <c r="Y48" s="93">
        <v>13990.69</v>
      </c>
      <c r="Z48" s="93">
        <v>0</v>
      </c>
      <c r="AA48" s="92">
        <f t="shared" si="20"/>
        <v>13990.69</v>
      </c>
      <c r="AB48" s="92">
        <f t="shared" si="21"/>
        <v>20487.599999999999</v>
      </c>
      <c r="AC48" s="234">
        <f t="shared" si="22"/>
        <v>6.2317249425366643E-3</v>
      </c>
      <c r="AD48" s="92">
        <f t="shared" si="23"/>
        <v>1402.44</v>
      </c>
      <c r="AE48" s="93">
        <v>5188.93</v>
      </c>
      <c r="AF48" s="234">
        <f t="shared" si="24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5"/>
        <v>1309.5592265457149</v>
      </c>
      <c r="AM48" s="93">
        <v>0</v>
      </c>
      <c r="AN48" s="325">
        <f t="shared" si="45"/>
        <v>582.0636673997958</v>
      </c>
      <c r="AO48" s="95">
        <f t="shared" si="26"/>
        <v>619.52710605448897</v>
      </c>
      <c r="AP48" s="96"/>
      <c r="AQ48" s="97">
        <f t="shared" si="9"/>
        <v>1076.2069230769232</v>
      </c>
      <c r="AR48" s="98">
        <f t="shared" si="37"/>
        <v>107.88</v>
      </c>
      <c r="AS48" s="98">
        <f t="shared" si="11"/>
        <v>399.14846153846156</v>
      </c>
      <c r="AT48" s="98">
        <f t="shared" si="12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47.65593123496069</v>
      </c>
      <c r="AW48" s="234">
        <f t="shared" si="46"/>
        <v>4.428138326662151E-2</v>
      </c>
      <c r="AX48" s="234">
        <f t="shared" si="47"/>
        <v>0.44174945527401455</v>
      </c>
      <c r="AY48" s="99"/>
      <c r="AZ48" s="94">
        <f t="shared" si="15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6"/>
        <v>3.15625</v>
      </c>
      <c r="R49" s="92">
        <f t="shared" si="17"/>
        <v>1</v>
      </c>
      <c r="S49" s="93">
        <v>35</v>
      </c>
      <c r="T49" s="93">
        <v>-3</v>
      </c>
      <c r="U49" s="92">
        <f t="shared" si="18"/>
        <v>32</v>
      </c>
      <c r="V49" s="93">
        <v>34412.629999999997</v>
      </c>
      <c r="W49" s="93">
        <v>-2821</v>
      </c>
      <c r="X49" s="92">
        <f t="shared" si="19"/>
        <v>31591.629999999997</v>
      </c>
      <c r="Y49" s="93">
        <v>44403.44</v>
      </c>
      <c r="Z49" s="93">
        <v>-3774</v>
      </c>
      <c r="AA49" s="92">
        <f t="shared" si="20"/>
        <v>40629.440000000002</v>
      </c>
      <c r="AB49" s="92">
        <f t="shared" si="21"/>
        <v>49907.13</v>
      </c>
      <c r="AC49" s="234">
        <f t="shared" si="22"/>
        <v>1.809714135966824E-2</v>
      </c>
      <c r="AD49" s="92">
        <f t="shared" si="23"/>
        <v>3938.88</v>
      </c>
      <c r="AE49" s="93">
        <v>14990.630000000005</v>
      </c>
      <c r="AF49" s="234">
        <f t="shared" si="24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5"/>
        <v>683.66694915254232</v>
      </c>
      <c r="AM49" s="93">
        <v>0</v>
      </c>
      <c r="AN49" s="325">
        <f t="shared" si="45"/>
        <v>1847.3448508663109</v>
      </c>
      <c r="AO49" s="95">
        <f t="shared" si="26"/>
        <v>-1408.1218000188464</v>
      </c>
      <c r="AP49" s="96"/>
      <c r="AQ49" s="97">
        <f t="shared" si="9"/>
        <v>1269.67</v>
      </c>
      <c r="AR49" s="98">
        <f t="shared" si="37"/>
        <v>123.09</v>
      </c>
      <c r="AS49" s="98">
        <f t="shared" si="11"/>
        <v>468.45718750000015</v>
      </c>
      <c r="AT49" s="98">
        <f t="shared" si="12"/>
        <v>184.71542857142842</v>
      </c>
      <c r="AU49" s="98">
        <f t="shared" si="27"/>
        <v>403.2</v>
      </c>
      <c r="AV49" s="98">
        <f t="array" ref="AV49">_xlfn.IFS(U49=0,AO49,U49&lt;0,AO49/-U49,U49&gt;0,AO49/U49)</f>
        <v>-44.003806250588951</v>
      </c>
      <c r="AW49" s="234">
        <f t="shared" si="46"/>
        <v>-3.4657671875833053E-2</v>
      </c>
      <c r="AX49" s="234">
        <f t="shared" si="47"/>
        <v>-0.35749294216093064</v>
      </c>
      <c r="AY49" s="99"/>
      <c r="AZ49" s="94">
        <f t="shared" si="15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6"/>
        <v>1.65625</v>
      </c>
      <c r="R50" s="92">
        <f t="shared" si="17"/>
        <v>0.8125</v>
      </c>
      <c r="S50" s="93">
        <v>27</v>
      </c>
      <c r="T50" s="93">
        <v>-1</v>
      </c>
      <c r="U50" s="92">
        <f t="shared" si="18"/>
        <v>26</v>
      </c>
      <c r="V50" s="93">
        <v>23429.49</v>
      </c>
      <c r="W50" s="93">
        <v>-891</v>
      </c>
      <c r="X50" s="92">
        <f t="shared" si="19"/>
        <v>22538.49</v>
      </c>
      <c r="Y50" s="93">
        <v>30799.43</v>
      </c>
      <c r="Z50" s="93">
        <v>-1138</v>
      </c>
      <c r="AA50" s="92">
        <f t="shared" si="20"/>
        <v>29661.43</v>
      </c>
      <c r="AB50" s="92">
        <f t="shared" si="21"/>
        <v>38872.32</v>
      </c>
      <c r="AC50" s="234">
        <f t="shared" si="22"/>
        <v>1.3211776771717856E-2</v>
      </c>
      <c r="AD50" s="92">
        <f t="shared" si="23"/>
        <v>3504.54</v>
      </c>
      <c r="AE50" s="93">
        <v>10971.44</v>
      </c>
      <c r="AF50" s="234">
        <f t="shared" si="24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5"/>
        <v>802.42599665791363</v>
      </c>
      <c r="AM50" s="93">
        <v>0</v>
      </c>
      <c r="AN50" s="325">
        <f t="shared" si="45"/>
        <v>1281.3684800123003</v>
      </c>
      <c r="AO50" s="95">
        <f t="shared" si="26"/>
        <v>-2841.4344766702152</v>
      </c>
      <c r="AP50" s="96"/>
      <c r="AQ50" s="97">
        <f t="shared" si="9"/>
        <v>1140.8242307692308</v>
      </c>
      <c r="AR50" s="98">
        <f t="shared" si="37"/>
        <v>134.79</v>
      </c>
      <c r="AS50" s="98">
        <f t="shared" si="11"/>
        <v>421.97846153846154</v>
      </c>
      <c r="AT50" s="98">
        <f t="shared" si="12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-109.28594141039289</v>
      </c>
      <c r="AW50" s="234">
        <f t="shared" si="46"/>
        <v>-9.5795599762729416E-2</v>
      </c>
      <c r="AX50" s="234">
        <f t="shared" si="47"/>
        <v>-0.81078671570882777</v>
      </c>
      <c r="AY50" s="99"/>
      <c r="AZ50" s="94">
        <f t="shared" si="15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6"/>
        <v>1.65625</v>
      </c>
      <c r="R51" s="92">
        <f t="shared" si="17"/>
        <v>0.375</v>
      </c>
      <c r="S51" s="93">
        <v>12</v>
      </c>
      <c r="T51" s="93">
        <v>0</v>
      </c>
      <c r="U51" s="92">
        <f t="shared" si="18"/>
        <v>12</v>
      </c>
      <c r="V51" s="93">
        <v>10065.91</v>
      </c>
      <c r="W51" s="93">
        <v>0</v>
      </c>
      <c r="X51" s="92">
        <f t="shared" si="19"/>
        <v>10065.91</v>
      </c>
      <c r="Y51" s="93">
        <v>14171.07</v>
      </c>
      <c r="Z51" s="93">
        <v>0</v>
      </c>
      <c r="AA51" s="92">
        <f t="shared" si="20"/>
        <v>14171.07</v>
      </c>
      <c r="AB51" s="92">
        <f t="shared" si="21"/>
        <v>16928.73</v>
      </c>
      <c r="AC51" s="234">
        <f t="shared" si="22"/>
        <v>6.3120696964504997E-3</v>
      </c>
      <c r="AD51" s="92">
        <f t="shared" si="23"/>
        <v>1729.8000000000002</v>
      </c>
      <c r="AE51" s="93">
        <v>5271.8799999999992</v>
      </c>
      <c r="AF51" s="234">
        <f t="shared" si="24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5"/>
        <v>102.71052757221294</v>
      </c>
      <c r="AM51" s="93">
        <v>0</v>
      </c>
      <c r="AN51" s="325">
        <f t="shared" si="45"/>
        <v>589.56813246374725</v>
      </c>
      <c r="AO51" s="95">
        <f t="shared" si="26"/>
        <v>-12171.97866003596</v>
      </c>
      <c r="AP51" s="96"/>
      <c r="AQ51" s="97">
        <f t="shared" si="9"/>
        <v>1180.9224999999999</v>
      </c>
      <c r="AR51" s="98">
        <f t="shared" si="37"/>
        <v>144.15</v>
      </c>
      <c r="AS51" s="98">
        <f t="shared" si="11"/>
        <v>439.32333333333327</v>
      </c>
      <c r="AT51" s="98">
        <f t="shared" si="12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-1014.3315550029967</v>
      </c>
      <c r="AW51" s="234">
        <f t="shared" si="46"/>
        <v>-0.85893151752379748</v>
      </c>
      <c r="AX51" s="234">
        <f t="shared" si="47"/>
        <v>-7.0366392993617524</v>
      </c>
      <c r="AY51" s="99"/>
      <c r="AZ51" s="94">
        <f t="shared" si="15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6"/>
        <v>3.125E-2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108.58</v>
      </c>
      <c r="AH52" s="93"/>
      <c r="AI52" s="93"/>
      <c r="AJ52" s="93"/>
      <c r="AK52" s="93"/>
      <c r="AL52" s="122">
        <f t="shared" si="25"/>
        <v>157.27549534495105</v>
      </c>
      <c r="AM52" s="93">
        <v>0</v>
      </c>
      <c r="AN52" s="325">
        <f t="shared" si="45"/>
        <v>0</v>
      </c>
      <c r="AO52" s="95">
        <f t="shared" si="26"/>
        <v>-265.85549534495107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5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6"/>
        <v>0.125</v>
      </c>
      <c r="R53" s="92">
        <f t="shared" si="17"/>
        <v>3.125E-2</v>
      </c>
      <c r="S53" s="93">
        <v>1</v>
      </c>
      <c r="T53" s="93">
        <v>0</v>
      </c>
      <c r="U53" s="92">
        <f t="shared" si="18"/>
        <v>1</v>
      </c>
      <c r="V53" s="93">
        <v>1059</v>
      </c>
      <c r="W53" s="93">
        <v>0</v>
      </c>
      <c r="X53" s="92">
        <f t="shared" si="19"/>
        <v>1059</v>
      </c>
      <c r="Y53" s="93">
        <v>1225</v>
      </c>
      <c r="Z53" s="93">
        <v>0</v>
      </c>
      <c r="AA53" s="92">
        <f t="shared" si="20"/>
        <v>1225</v>
      </c>
      <c r="AB53" s="92">
        <f t="shared" si="21"/>
        <v>1166</v>
      </c>
      <c r="AC53" s="234">
        <f t="shared" si="22"/>
        <v>5.4563878226216247E-4</v>
      </c>
      <c r="AD53" s="92">
        <f t="shared" si="23"/>
        <v>96.18</v>
      </c>
      <c r="AE53" s="93">
        <v>459.75</v>
      </c>
      <c r="AF53" s="234">
        <f t="shared" si="24"/>
        <v>0.3753061224489796</v>
      </c>
      <c r="AG53" s="93">
        <v>380.16</v>
      </c>
      <c r="AH53" s="93"/>
      <c r="AI53" s="93"/>
      <c r="AJ53" s="93"/>
      <c r="AK53" s="93"/>
      <c r="AL53" s="122">
        <f t="shared" si="25"/>
        <v>157.27549534495105</v>
      </c>
      <c r="AM53" s="93">
        <v>0</v>
      </c>
      <c r="AN53" s="325">
        <f t="shared" si="45"/>
        <v>50.964462264888283</v>
      </c>
      <c r="AO53" s="95">
        <f t="shared" si="26"/>
        <v>80.670042390160575</v>
      </c>
      <c r="AP53" s="96"/>
      <c r="AQ53" s="97">
        <f t="shared" si="9"/>
        <v>1225</v>
      </c>
      <c r="AR53" s="98">
        <f t="shared" si="37"/>
        <v>96.18</v>
      </c>
      <c r="AS53" s="98">
        <f t="shared" si="11"/>
        <v>459.75</v>
      </c>
      <c r="AT53" s="98">
        <f t="shared" si="12"/>
        <v>380.16</v>
      </c>
      <c r="AU53" s="98">
        <f t="shared" si="27"/>
        <v>0</v>
      </c>
      <c r="AV53" s="98">
        <f t="array" ref="AV53">_xlfn.IFS(U53=0,AO53,U53&lt;0,AO53/-U53,U53&gt;0,AO53/U53)</f>
        <v>80.670042390160575</v>
      </c>
      <c r="AW53" s="234">
        <f t="shared" si="46"/>
        <v>6.585309582870251E-2</v>
      </c>
      <c r="AX53" s="234">
        <f t="shared" si="47"/>
        <v>0.83874030349511919</v>
      </c>
      <c r="AY53" s="99"/>
      <c r="AZ53" s="94">
        <f t="shared" si="15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5</v>
      </c>
      <c r="O54" s="89">
        <v>998</v>
      </c>
      <c r="P54" s="89">
        <v>60</v>
      </c>
      <c r="Q54" s="233">
        <f t="shared" si="16"/>
        <v>0.15625</v>
      </c>
      <c r="R54" s="92">
        <f t="shared" si="17"/>
        <v>3.125E-2</v>
      </c>
      <c r="S54" s="93">
        <v>1</v>
      </c>
      <c r="T54" s="93">
        <v>0</v>
      </c>
      <c r="U54" s="92">
        <f t="shared" si="18"/>
        <v>1</v>
      </c>
      <c r="V54" s="93">
        <v>709</v>
      </c>
      <c r="W54" s="93">
        <v>0</v>
      </c>
      <c r="X54" s="92">
        <f t="shared" si="19"/>
        <v>709</v>
      </c>
      <c r="Y54" s="93">
        <v>968.06</v>
      </c>
      <c r="Z54" s="93">
        <v>0</v>
      </c>
      <c r="AA54" s="92">
        <f t="shared" si="20"/>
        <v>968.06</v>
      </c>
      <c r="AB54" s="92">
        <f t="shared" si="21"/>
        <v>2994</v>
      </c>
      <c r="AC54" s="234">
        <f t="shared" si="22"/>
        <v>4.3119271800547669E-4</v>
      </c>
      <c r="AD54" s="92">
        <f t="shared" si="23"/>
        <v>123.09</v>
      </c>
      <c r="AE54" s="93">
        <v>364.28</v>
      </c>
      <c r="AF54" s="234">
        <f t="shared" si="24"/>
        <v>0.3762989897320414</v>
      </c>
      <c r="AG54" s="93">
        <v>158.75</v>
      </c>
      <c r="AH54" s="93"/>
      <c r="AI54" s="93"/>
      <c r="AJ54" s="93"/>
      <c r="AK54" s="93"/>
      <c r="AL54" s="122">
        <f t="shared" si="25"/>
        <v>176.53371926474099</v>
      </c>
      <c r="AM54" s="93">
        <v>0</v>
      </c>
      <c r="AN54" s="325">
        <f t="shared" si="45"/>
        <v>40.274822318487956</v>
      </c>
      <c r="AO54" s="95">
        <f t="shared" si="26"/>
        <v>105.13145841677098</v>
      </c>
      <c r="AP54" s="96"/>
      <c r="AQ54" s="97">
        <f t="shared" si="9"/>
        <v>968.06</v>
      </c>
      <c r="AR54" s="98">
        <f t="shared" si="37"/>
        <v>123.09</v>
      </c>
      <c r="AS54" s="98">
        <f t="shared" si="11"/>
        <v>364.28</v>
      </c>
      <c r="AT54" s="98">
        <f t="shared" si="12"/>
        <v>158.75</v>
      </c>
      <c r="AU54" s="98">
        <f t="shared" si="27"/>
        <v>0</v>
      </c>
      <c r="AV54" s="98">
        <f t="array" ref="AV54">_xlfn.IFS(U54=0,AO54,U54&lt;0,AO54/-U54,U54&gt;0,AO54/U54)</f>
        <v>105.13145841677098</v>
      </c>
      <c r="AW54" s="234">
        <f t="shared" si="46"/>
        <v>0.10860014711564468</v>
      </c>
      <c r="AX54" s="234">
        <f t="shared" si="47"/>
        <v>0.85410235126144263</v>
      </c>
      <c r="AY54" s="99"/>
      <c r="AZ54" s="94">
        <f t="shared" si="15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93.93</v>
      </c>
      <c r="AH55" s="93"/>
      <c r="AI55" s="93"/>
      <c r="AJ55" s="93"/>
      <c r="AK55" s="93"/>
      <c r="AL55" s="122">
        <f t="shared" si="25"/>
        <v>3.2097039866316543</v>
      </c>
      <c r="AM55" s="93">
        <v>0</v>
      </c>
      <c r="AN55" s="325">
        <f t="shared" si="45"/>
        <v>0</v>
      </c>
      <c r="AO55" s="95">
        <f t="shared" si="26"/>
        <v>-97.139703986631659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5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6</v>
      </c>
      <c r="O56" s="89">
        <v>1049</v>
      </c>
      <c r="P56" s="89">
        <v>0</v>
      </c>
      <c r="Q56" s="233">
        <f t="shared" si="16"/>
        <v>0.1875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402.44</v>
      </c>
      <c r="AH56" s="93"/>
      <c r="AI56" s="93"/>
      <c r="AJ56" s="93"/>
      <c r="AK56" s="93"/>
      <c r="AL56" s="122">
        <f t="shared" si="25"/>
        <v>6.4194079732633087</v>
      </c>
      <c r="AM56" s="93">
        <v>0</v>
      </c>
      <c r="AN56" s="325">
        <f t="shared" si="45"/>
        <v>0</v>
      </c>
      <c r="AO56" s="95">
        <f t="shared" si="26"/>
        <v>-408.85940797326333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5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6"/>
        <v>6.25E-2</v>
      </c>
      <c r="R58" s="92">
        <f t="shared" si="17"/>
        <v>3.125E-2</v>
      </c>
      <c r="S58" s="93">
        <v>1</v>
      </c>
      <c r="T58" s="93">
        <v>0</v>
      </c>
      <c r="U58" s="92">
        <f t="shared" si="18"/>
        <v>1</v>
      </c>
      <c r="V58" s="93">
        <v>704</v>
      </c>
      <c r="W58" s="93">
        <v>0</v>
      </c>
      <c r="X58" s="92">
        <f t="shared" si="19"/>
        <v>704</v>
      </c>
      <c r="Y58" s="93">
        <v>1039</v>
      </c>
      <c r="Z58" s="93">
        <v>0</v>
      </c>
      <c r="AA58" s="92">
        <f t="shared" si="20"/>
        <v>1039</v>
      </c>
      <c r="AB58" s="92">
        <f t="shared" si="21"/>
        <v>2078</v>
      </c>
      <c r="AC58" s="234">
        <f t="shared" si="22"/>
        <v>4.6279077124113208E-4</v>
      </c>
      <c r="AD58" s="92">
        <f t="shared" si="23"/>
        <v>169.89</v>
      </c>
      <c r="AE58" s="93">
        <v>369.05999999999995</v>
      </c>
      <c r="AF58" s="234">
        <f t="shared" si="24"/>
        <v>0.35520692974013468</v>
      </c>
      <c r="AG58" s="93">
        <v>46.4</v>
      </c>
      <c r="AH58" s="93"/>
      <c r="AI58" s="93"/>
      <c r="AJ58" s="93"/>
      <c r="AK58" s="93"/>
      <c r="AL58" s="122">
        <f t="shared" si="25"/>
        <v>160.48519933158272</v>
      </c>
      <c r="AM58" s="93">
        <v>0</v>
      </c>
      <c r="AN58" s="325">
        <f t="shared" si="45"/>
        <v>43.226184729158305</v>
      </c>
      <c r="AO58" s="95">
        <f t="shared" si="26"/>
        <v>249.93861593925902</v>
      </c>
      <c r="AP58" s="96"/>
      <c r="AQ58" s="97">
        <f t="shared" si="9"/>
        <v>1039</v>
      </c>
      <c r="AR58" s="98">
        <f t="shared" si="37"/>
        <v>169.89</v>
      </c>
      <c r="AS58" s="98">
        <f t="shared" si="11"/>
        <v>369.05999999999995</v>
      </c>
      <c r="AT58" s="98">
        <f t="shared" si="12"/>
        <v>46.4</v>
      </c>
      <c r="AU58" s="98">
        <f t="shared" si="27"/>
        <v>0</v>
      </c>
      <c r="AV58" s="98">
        <f t="array" ref="AV58">_xlfn.IFS(U58=0,AO58,U58&lt;0,AO58/-U58,U58&gt;0,AO58/U58)</f>
        <v>249.93861593925902</v>
      </c>
      <c r="AW58" s="234">
        <f t="shared" si="46"/>
        <v>0.24055689695790089</v>
      </c>
      <c r="AX58" s="234">
        <f t="shared" si="47"/>
        <v>1.471179091996345</v>
      </c>
      <c r="AY58" s="99"/>
      <c r="AZ58" s="94">
        <f t="shared" si="15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4</v>
      </c>
      <c r="O60" s="89">
        <v>1048</v>
      </c>
      <c r="P60" s="89">
        <v>0</v>
      </c>
      <c r="Q60" s="233">
        <f t="shared" si="16"/>
        <v>0.125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187.4</v>
      </c>
      <c r="AH60" s="93"/>
      <c r="AI60" s="93"/>
      <c r="AJ60" s="93"/>
      <c r="AK60" s="93"/>
      <c r="AL60" s="122">
        <f t="shared" si="25"/>
        <v>89.871711625686331</v>
      </c>
      <c r="AM60" s="93">
        <v>0</v>
      </c>
      <c r="AN60" s="325">
        <f t="shared" si="45"/>
        <v>0</v>
      </c>
      <c r="AO60" s="95">
        <f t="shared" si="26"/>
        <v>-277.27171162568635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5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1</v>
      </c>
      <c r="O61" s="89">
        <v>948</v>
      </c>
      <c r="P61" s="89">
        <v>0</v>
      </c>
      <c r="Q61" s="233">
        <f t="shared" si="16"/>
        <v>3.125E-2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523.18174982095968</v>
      </c>
      <c r="AM61" s="93">
        <v>0</v>
      </c>
      <c r="AN61" s="325">
        <f t="shared" si="45"/>
        <v>0</v>
      </c>
      <c r="AO61" s="95">
        <f t="shared" si="26"/>
        <v>-523.18174982095968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5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1</v>
      </c>
      <c r="O65" s="89">
        <v>998</v>
      </c>
      <c r="P65" s="89">
        <v>0</v>
      </c>
      <c r="Q65" s="233">
        <f t="shared" si="16"/>
        <v>3.125E-2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96.86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-96.86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998</v>
      </c>
      <c r="P66" s="89">
        <v>0</v>
      </c>
      <c r="Q66" s="233">
        <f t="shared" si="16"/>
        <v>3.125E-2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195.75</v>
      </c>
      <c r="AH66" s="93"/>
      <c r="AI66" s="93"/>
      <c r="AJ66" s="93"/>
      <c r="AK66" s="93"/>
      <c r="AL66" s="122">
        <f t="shared" si="25"/>
        <v>6.4194079732633087</v>
      </c>
      <c r="AM66" s="93">
        <v>0</v>
      </c>
      <c r="AN66" s="325">
        <f t="shared" si="45"/>
        <v>0</v>
      </c>
      <c r="AO66" s="95">
        <f t="shared" si="26"/>
        <v>-202.1694079732633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5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10</v>
      </c>
      <c r="O67" s="89">
        <v>1049</v>
      </c>
      <c r="P67" s="89">
        <v>40</v>
      </c>
      <c r="Q67" s="233">
        <f t="shared" si="16"/>
        <v>0.3125</v>
      </c>
      <c r="R67" s="92">
        <f t="shared" si="17"/>
        <v>9.375E-2</v>
      </c>
      <c r="S67" s="93">
        <v>4</v>
      </c>
      <c r="T67" s="93">
        <v>-1</v>
      </c>
      <c r="U67" s="92">
        <f t="shared" si="18"/>
        <v>3</v>
      </c>
      <c r="V67" s="93">
        <v>2820</v>
      </c>
      <c r="W67" s="93">
        <v>-729</v>
      </c>
      <c r="X67" s="92">
        <f t="shared" si="19"/>
        <v>2091</v>
      </c>
      <c r="Y67" s="93">
        <v>4196</v>
      </c>
      <c r="Z67" s="93">
        <v>-1049</v>
      </c>
      <c r="AA67" s="92">
        <f t="shared" si="20"/>
        <v>3147</v>
      </c>
      <c r="AB67" s="92">
        <f t="shared" si="21"/>
        <v>4196</v>
      </c>
      <c r="AC67" s="234">
        <f t="shared" si="22"/>
        <v>1.4017348961461429E-3</v>
      </c>
      <c r="AD67" s="92">
        <f t="shared" si="23"/>
        <v>485.09999999999997</v>
      </c>
      <c r="AE67" s="93">
        <v>1177.2700000000004</v>
      </c>
      <c r="AF67" s="234">
        <f t="shared" si="24"/>
        <v>0.37409278678106145</v>
      </c>
      <c r="AG67" s="93">
        <v>417.26</v>
      </c>
      <c r="AH67" s="93"/>
      <c r="AI67" s="93"/>
      <c r="AJ67" s="93"/>
      <c r="AK67" s="93"/>
      <c r="AL67" s="122">
        <f t="shared" si="25"/>
        <v>32.097039866316543</v>
      </c>
      <c r="AM67" s="93">
        <v>0</v>
      </c>
      <c r="AN67" s="325">
        <f t="shared" ref="AN67:AN98" si="49">95827.42*Y67/Y$121</f>
        <v>174.56888462324181</v>
      </c>
      <c r="AO67" s="95">
        <f t="shared" si="26"/>
        <v>860.70407551044138</v>
      </c>
      <c r="AP67" s="96"/>
      <c r="AQ67" s="97">
        <f t="shared" si="9"/>
        <v>1049</v>
      </c>
      <c r="AR67" s="98">
        <f t="shared" si="37"/>
        <v>161.69999999999999</v>
      </c>
      <c r="AS67" s="98">
        <f t="shared" si="11"/>
        <v>392.42333333333346</v>
      </c>
      <c r="AT67" s="98">
        <f t="shared" si="12"/>
        <v>104.315</v>
      </c>
      <c r="AU67" s="98">
        <f t="shared" si="27"/>
        <v>0</v>
      </c>
      <c r="AV67" s="98">
        <f t="array" ref="AV67">_xlfn.IFS(U67=0,AO67,U67&lt;0,AO67/-U67,U67&gt;0,AO67/U67)</f>
        <v>286.90135850348048</v>
      </c>
      <c r="AW67" s="234">
        <f t="shared" si="46"/>
        <v>0.27349986511294611</v>
      </c>
      <c r="AX67" s="234">
        <f t="shared" si="47"/>
        <v>1.7742817470839858</v>
      </c>
      <c r="AY67" s="99"/>
      <c r="AZ67" s="94">
        <f t="shared" si="15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38.516447839579847</v>
      </c>
      <c r="AM69" s="93">
        <v>0</v>
      </c>
      <c r="AN69" s="325">
        <f t="shared" si="49"/>
        <v>0</v>
      </c>
      <c r="AO69" s="95">
        <f t="shared" si="60"/>
        <v>-38.516447839579847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5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50"/>
        <v>6.25E-2</v>
      </c>
      <c r="R70" s="92">
        <f t="shared" si="51"/>
        <v>6.25E-2</v>
      </c>
      <c r="S70" s="93">
        <v>2</v>
      </c>
      <c r="T70" s="93">
        <v>0</v>
      </c>
      <c r="U70" s="92">
        <f t="shared" si="52"/>
        <v>2</v>
      </c>
      <c r="V70" s="93">
        <v>1570</v>
      </c>
      <c r="W70" s="93">
        <v>0</v>
      </c>
      <c r="X70" s="92">
        <f t="shared" si="53"/>
        <v>1570</v>
      </c>
      <c r="Y70" s="93">
        <v>2146</v>
      </c>
      <c r="Z70" s="93">
        <v>0</v>
      </c>
      <c r="AA70" s="92">
        <f t="shared" si="54"/>
        <v>2146</v>
      </c>
      <c r="AB70" s="92">
        <f t="shared" si="55"/>
        <v>2146</v>
      </c>
      <c r="AC70" s="234">
        <f t="shared" si="56"/>
        <v>9.5587006264049028E-4</v>
      </c>
      <c r="AD70" s="92">
        <f t="shared" si="57"/>
        <v>234.48</v>
      </c>
      <c r="AE70" s="93">
        <v>797.76</v>
      </c>
      <c r="AF70" s="234">
        <f t="shared" si="58"/>
        <v>0.37174277726001864</v>
      </c>
      <c r="AG70" s="93">
        <v>90.33</v>
      </c>
      <c r="AH70" s="93"/>
      <c r="AI70" s="93"/>
      <c r="AJ70" s="93"/>
      <c r="AK70" s="93"/>
      <c r="AL70" s="122">
        <f t="shared" si="59"/>
        <v>28.887335879684887</v>
      </c>
      <c r="AM70" s="93">
        <v>0</v>
      </c>
      <c r="AN70" s="325">
        <f t="shared" si="49"/>
        <v>89.281417159551225</v>
      </c>
      <c r="AO70" s="95">
        <f t="shared" si="60"/>
        <v>905.26124696076386</v>
      </c>
      <c r="AP70" s="96"/>
      <c r="AQ70" s="97">
        <f t="shared" si="9"/>
        <v>1073</v>
      </c>
      <c r="AR70" s="98">
        <f t="shared" si="37"/>
        <v>117.24</v>
      </c>
      <c r="AS70" s="98">
        <f t="shared" si="11"/>
        <v>398.88</v>
      </c>
      <c r="AT70" s="98">
        <f t="shared" si="12"/>
        <v>45.164999999999999</v>
      </c>
      <c r="AU70" s="98">
        <f t="shared" si="27"/>
        <v>0</v>
      </c>
      <c r="AV70" s="98">
        <f t="array" ref="AV70">_xlfn.IFS(U70=0,AO70,U70&lt;0,AO70/-U70,U70&gt;0,AO70/U70)</f>
        <v>452.63062348038193</v>
      </c>
      <c r="AW70" s="234">
        <f t="shared" si="46"/>
        <v>0.42183655496773714</v>
      </c>
      <c r="AX70" s="234">
        <f t="shared" si="47"/>
        <v>3.8607183851960247</v>
      </c>
      <c r="AY70" s="99"/>
      <c r="AZ70" s="94">
        <f t="shared" si="15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8</v>
      </c>
      <c r="O71" s="89">
        <v>807</v>
      </c>
      <c r="P71" s="89">
        <v>13</v>
      </c>
      <c r="Q71" s="233">
        <f t="shared" si="50"/>
        <v>0.25</v>
      </c>
      <c r="R71" s="92">
        <f t="shared" si="51"/>
        <v>3.125E-2</v>
      </c>
      <c r="S71" s="93">
        <v>1</v>
      </c>
      <c r="T71" s="93">
        <v>0</v>
      </c>
      <c r="U71" s="92">
        <f t="shared" si="52"/>
        <v>1</v>
      </c>
      <c r="V71" s="93">
        <v>571</v>
      </c>
      <c r="W71" s="93">
        <v>0</v>
      </c>
      <c r="X71" s="92">
        <f t="shared" si="53"/>
        <v>571</v>
      </c>
      <c r="Y71" s="93">
        <v>807</v>
      </c>
      <c r="Z71" s="93">
        <v>0</v>
      </c>
      <c r="AA71" s="92">
        <f t="shared" si="54"/>
        <v>807</v>
      </c>
      <c r="AB71" s="92">
        <f t="shared" si="55"/>
        <v>839.28</v>
      </c>
      <c r="AC71" s="234">
        <f t="shared" si="56"/>
        <v>3.5945346717188985E-4</v>
      </c>
      <c r="AD71" s="92">
        <f t="shared" si="57"/>
        <v>123.09</v>
      </c>
      <c r="AE71" s="93">
        <v>286.74</v>
      </c>
      <c r="AF71" s="234">
        <f t="shared" si="58"/>
        <v>0.35531598513011153</v>
      </c>
      <c r="AG71" s="93">
        <v>543.36</v>
      </c>
      <c r="AH71" s="93"/>
      <c r="AI71" s="93"/>
      <c r="AJ71" s="93"/>
      <c r="AK71" s="93"/>
      <c r="AL71" s="122">
        <f t="shared" si="59"/>
        <v>67.403783719264737</v>
      </c>
      <c r="AM71" s="93">
        <v>0</v>
      </c>
      <c r="AN71" s="325">
        <f t="shared" si="49"/>
        <v>33.574139630828441</v>
      </c>
      <c r="AO71" s="95">
        <f t="shared" si="60"/>
        <v>-247.16792335009325</v>
      </c>
      <c r="AP71" s="96"/>
      <c r="AQ71" s="97">
        <f t="shared" si="9"/>
        <v>807</v>
      </c>
      <c r="AR71" s="98">
        <f t="shared" si="37"/>
        <v>123.09</v>
      </c>
      <c r="AS71" s="98">
        <f t="shared" si="11"/>
        <v>286.74</v>
      </c>
      <c r="AT71" s="98">
        <f t="shared" si="12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6"/>
        <v>-0.30627995458499785</v>
      </c>
      <c r="AX71" s="234">
        <f t="shared" si="47"/>
        <v>-2.0080260244544093</v>
      </c>
      <c r="AY71" s="99"/>
      <c r="AZ71" s="94">
        <f t="shared" si="15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10</v>
      </c>
      <c r="O72" s="89">
        <v>849</v>
      </c>
      <c r="P72" s="89">
        <v>30</v>
      </c>
      <c r="Q72" s="233">
        <f t="shared" si="50"/>
        <v>0.3125</v>
      </c>
      <c r="R72" s="92">
        <f t="shared" si="51"/>
        <v>6.25E-2</v>
      </c>
      <c r="S72" s="93">
        <v>2</v>
      </c>
      <c r="T72" s="93">
        <v>0</v>
      </c>
      <c r="U72" s="92">
        <f t="shared" si="52"/>
        <v>2</v>
      </c>
      <c r="V72" s="93">
        <v>1447</v>
      </c>
      <c r="W72" s="93">
        <v>0</v>
      </c>
      <c r="X72" s="92">
        <f t="shared" si="53"/>
        <v>1447</v>
      </c>
      <c r="Y72" s="93">
        <v>1734</v>
      </c>
      <c r="Z72" s="93">
        <v>0</v>
      </c>
      <c r="AA72" s="92">
        <f t="shared" si="54"/>
        <v>1734</v>
      </c>
      <c r="AB72" s="92">
        <f t="shared" si="55"/>
        <v>2547</v>
      </c>
      <c r="AC72" s="234">
        <f t="shared" si="56"/>
        <v>7.7235726403476713E-4</v>
      </c>
      <c r="AD72" s="92">
        <f t="shared" si="57"/>
        <v>246.18</v>
      </c>
      <c r="AE72" s="93">
        <v>646.09000000000015</v>
      </c>
      <c r="AF72" s="234">
        <f t="shared" si="58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9"/>
        <v>41.726151826211499</v>
      </c>
      <c r="AM72" s="93">
        <v>0</v>
      </c>
      <c r="AN72" s="325">
        <f t="shared" si="49"/>
        <v>72.140716381482676</v>
      </c>
      <c r="AO72" s="95">
        <f t="shared" si="60"/>
        <v>113.66313179230558</v>
      </c>
      <c r="AP72" s="96"/>
      <c r="AQ72" s="97">
        <f t="shared" si="9"/>
        <v>867</v>
      </c>
      <c r="AR72" s="98">
        <f t="shared" si="37"/>
        <v>123.09</v>
      </c>
      <c r="AS72" s="98">
        <f t="shared" si="11"/>
        <v>323.04500000000007</v>
      </c>
      <c r="AT72" s="98">
        <f t="shared" si="12"/>
        <v>307.10000000000002</v>
      </c>
      <c r="AU72" s="98">
        <f t="shared" si="61"/>
        <v>0</v>
      </c>
      <c r="AV72" s="98">
        <f t="array" ref="AV72">_xlfn.IFS(U72=0,AO72,U72&lt;0,AO72/-U72,U72&gt;0,AO72/U72)</f>
        <v>56.831565896152789</v>
      </c>
      <c r="AW72" s="234">
        <f t="shared" si="46"/>
        <v>6.5549672313901713E-2</v>
      </c>
      <c r="AX72" s="234">
        <f t="shared" si="47"/>
        <v>0.46170741649323899</v>
      </c>
      <c r="AY72" s="99"/>
      <c r="AZ72" s="94">
        <f t="shared" si="15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4</v>
      </c>
      <c r="O73" s="89">
        <v>807</v>
      </c>
      <c r="P73" s="89">
        <v>50</v>
      </c>
      <c r="Q73" s="233">
        <f t="shared" si="50"/>
        <v>0.125</v>
      </c>
      <c r="R73" s="92">
        <f t="shared" si="51"/>
        <v>3.125E-2</v>
      </c>
      <c r="S73" s="93">
        <v>1</v>
      </c>
      <c r="T73" s="93">
        <v>0</v>
      </c>
      <c r="U73" s="92">
        <f t="shared" si="52"/>
        <v>1</v>
      </c>
      <c r="V73" s="93">
        <v>594</v>
      </c>
      <c r="W73" s="93">
        <v>0</v>
      </c>
      <c r="X73" s="92">
        <f t="shared" si="53"/>
        <v>594</v>
      </c>
      <c r="Y73" s="93">
        <v>807</v>
      </c>
      <c r="Z73" s="93">
        <v>0</v>
      </c>
      <c r="AA73" s="92">
        <f t="shared" si="54"/>
        <v>807</v>
      </c>
      <c r="AB73" s="92">
        <f t="shared" si="55"/>
        <v>1614</v>
      </c>
      <c r="AC73" s="234">
        <f t="shared" si="56"/>
        <v>3.5945346717188985E-4</v>
      </c>
      <c r="AD73" s="92">
        <f t="shared" si="57"/>
        <v>123.09</v>
      </c>
      <c r="AE73" s="93">
        <v>303.76</v>
      </c>
      <c r="AF73" s="234">
        <f t="shared" si="58"/>
        <v>0.37640644361833953</v>
      </c>
      <c r="AG73" s="93">
        <v>153.51</v>
      </c>
      <c r="AH73" s="93"/>
      <c r="AI73" s="93"/>
      <c r="AJ73" s="93"/>
      <c r="AK73" s="93"/>
      <c r="AL73" s="122">
        <f t="shared" si="59"/>
        <v>51.35526378610647</v>
      </c>
      <c r="AM73" s="93">
        <v>0</v>
      </c>
      <c r="AN73" s="325">
        <f t="shared" si="49"/>
        <v>33.574139630828441</v>
      </c>
      <c r="AO73" s="95">
        <f t="shared" si="60"/>
        <v>141.71059658306507</v>
      </c>
      <c r="AP73" s="96"/>
      <c r="AQ73" s="97">
        <f t="shared" si="9"/>
        <v>807</v>
      </c>
      <c r="AR73" s="98">
        <f t="shared" si="37"/>
        <v>123.09</v>
      </c>
      <c r="AS73" s="98">
        <f t="shared" si="11"/>
        <v>303.76</v>
      </c>
      <c r="AT73" s="98">
        <f t="shared" si="12"/>
        <v>153.51</v>
      </c>
      <c r="AU73" s="98">
        <f t="shared" si="61"/>
        <v>0</v>
      </c>
      <c r="AV73" s="98">
        <f t="array" ref="AV73">_xlfn.IFS(U73=0,AO73,U73&lt;0,AO73/-U73,U73&gt;0,AO73/U73)</f>
        <v>141.71059658306507</v>
      </c>
      <c r="AW73" s="234">
        <f t="shared" si="46"/>
        <v>0.17560173058620207</v>
      </c>
      <c r="AX73" s="234">
        <f t="shared" si="47"/>
        <v>1.1512762741332769</v>
      </c>
      <c r="AY73" s="99"/>
      <c r="AZ73" s="94">
        <f t="shared" si="15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10</v>
      </c>
      <c r="O74" s="89">
        <v>798</v>
      </c>
      <c r="P74" s="89">
        <v>67</v>
      </c>
      <c r="Q74" s="233">
        <f t="shared" si="50"/>
        <v>0.3125</v>
      </c>
      <c r="R74" s="92">
        <f t="shared" si="51"/>
        <v>0.1875</v>
      </c>
      <c r="S74" s="93">
        <v>6</v>
      </c>
      <c r="T74" s="93">
        <v>0</v>
      </c>
      <c r="U74" s="92">
        <f t="shared" si="52"/>
        <v>6</v>
      </c>
      <c r="V74" s="93">
        <v>3791.89</v>
      </c>
      <c r="W74" s="93">
        <v>0</v>
      </c>
      <c r="X74" s="92">
        <f t="shared" si="53"/>
        <v>3791.89</v>
      </c>
      <c r="Y74" s="93">
        <v>4830.6200000000008</v>
      </c>
      <c r="Z74" s="93">
        <v>0</v>
      </c>
      <c r="AA74" s="92">
        <f t="shared" si="54"/>
        <v>4830.6200000000008</v>
      </c>
      <c r="AB74" s="92">
        <f t="shared" si="55"/>
        <v>5346.6</v>
      </c>
      <c r="AC74" s="234">
        <f t="shared" si="56"/>
        <v>2.1516519300989775E-3</v>
      </c>
      <c r="AD74" s="92">
        <f t="shared" si="57"/>
        <v>808.74</v>
      </c>
      <c r="AE74" s="93">
        <v>1815.1200000000008</v>
      </c>
      <c r="AF74" s="234">
        <f t="shared" si="58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9"/>
        <v>6.4194079732633087</v>
      </c>
      <c r="AM74" s="93">
        <v>0</v>
      </c>
      <c r="AN74" s="325">
        <f t="shared" si="49"/>
        <v>200.97138833144055</v>
      </c>
      <c r="AO74" s="95">
        <f t="shared" si="60"/>
        <v>1379.4292036952963</v>
      </c>
      <c r="AP74" s="96"/>
      <c r="AQ74" s="97">
        <f t="shared" si="9"/>
        <v>805.10333333333347</v>
      </c>
      <c r="AR74" s="98">
        <f t="shared" si="37"/>
        <v>134.79</v>
      </c>
      <c r="AS74" s="98">
        <f t="shared" si="11"/>
        <v>302.52000000000015</v>
      </c>
      <c r="AT74" s="98">
        <f t="shared" si="12"/>
        <v>103.32333333333334</v>
      </c>
      <c r="AU74" s="98">
        <f t="shared" si="61"/>
        <v>0</v>
      </c>
      <c r="AV74" s="98">
        <f t="array" ref="AV74">_xlfn.IFS(U74=0,AO74,U74&lt;0,AO74/-U74,U74&gt;0,AO74/U74)</f>
        <v>229.90486728254939</v>
      </c>
      <c r="AW74" s="234">
        <f t="shared" si="46"/>
        <v>0.28555945276078354</v>
      </c>
      <c r="AX74" s="234">
        <f t="shared" si="47"/>
        <v>1.7056522537469352</v>
      </c>
      <c r="AY74" s="99"/>
      <c r="AZ74" s="94">
        <f t="shared" si="15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46</v>
      </c>
      <c r="O75" s="89">
        <v>890</v>
      </c>
      <c r="P75" s="89">
        <v>52</v>
      </c>
      <c r="Q75" s="233">
        <f t="shared" si="50"/>
        <v>1.4375</v>
      </c>
      <c r="R75" s="92">
        <f t="shared" si="51"/>
        <v>0.71875</v>
      </c>
      <c r="S75" s="93">
        <v>25</v>
      </c>
      <c r="T75" s="93">
        <v>-2</v>
      </c>
      <c r="U75" s="92">
        <f t="shared" si="52"/>
        <v>23</v>
      </c>
      <c r="V75" s="93">
        <v>16548</v>
      </c>
      <c r="W75" s="93">
        <v>-1187</v>
      </c>
      <c r="X75" s="92">
        <f t="shared" si="53"/>
        <v>15361</v>
      </c>
      <c r="Y75" s="93">
        <v>21553.310000000005</v>
      </c>
      <c r="Z75" s="93">
        <v>-1503.1100000000001</v>
      </c>
      <c r="AA75" s="92">
        <f t="shared" si="54"/>
        <v>20050.200000000004</v>
      </c>
      <c r="AB75" s="92">
        <f t="shared" si="55"/>
        <v>21288.799999999999</v>
      </c>
      <c r="AC75" s="234">
        <f t="shared" si="56"/>
        <v>8.9307483364186226E-3</v>
      </c>
      <c r="AD75" s="92">
        <f t="shared" si="57"/>
        <v>3100.1699999999996</v>
      </c>
      <c r="AE75" s="93">
        <v>7496.8800000000028</v>
      </c>
      <c r="AF75" s="234">
        <f t="shared" si="58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9"/>
        <v>0</v>
      </c>
      <c r="AM75" s="93">
        <v>0</v>
      </c>
      <c r="AN75" s="325">
        <f t="shared" si="49"/>
        <v>896.69620749260378</v>
      </c>
      <c r="AO75" s="95">
        <f t="shared" si="60"/>
        <v>1068.0037925073989</v>
      </c>
      <c r="AP75" s="96"/>
      <c r="AQ75" s="97">
        <f t="shared" si="9"/>
        <v>871.74782608695671</v>
      </c>
      <c r="AR75" s="98">
        <f t="shared" si="37"/>
        <v>134.79</v>
      </c>
      <c r="AS75" s="98">
        <f t="shared" si="11"/>
        <v>325.95130434782624</v>
      </c>
      <c r="AT75" s="98">
        <f t="shared" si="12"/>
        <v>134.578</v>
      </c>
      <c r="AU75" s="98">
        <f t="shared" si="61"/>
        <v>164.96</v>
      </c>
      <c r="AV75" s="98">
        <f t="array" ref="AV75">_xlfn.IFS(U75=0,AO75,U75&lt;0,AO75/-U75,U75&gt;0,AO75/U75)</f>
        <v>46.434947500321691</v>
      </c>
      <c r="AW75" s="234">
        <f t="shared" si="46"/>
        <v>5.3266490733628526E-2</v>
      </c>
      <c r="AX75" s="234">
        <f t="shared" si="47"/>
        <v>0.34449846057067807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160.48519933158272</v>
      </c>
      <c r="AM76" s="93">
        <v>0</v>
      </c>
      <c r="AN76" s="325">
        <f t="shared" si="49"/>
        <v>0</v>
      </c>
      <c r="AO76" s="95">
        <f t="shared" si="60"/>
        <v>-160.48519933158272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5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125.17845547863452</v>
      </c>
      <c r="AM77" s="93">
        <v>0</v>
      </c>
      <c r="AN77" s="325">
        <f t="shared" si="49"/>
        <v>0</v>
      </c>
      <c r="AO77" s="95">
        <f t="shared" si="60"/>
        <v>-125.17845547863452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5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50"/>
        <v>0.15625</v>
      </c>
      <c r="R78" s="92">
        <f t="shared" si="51"/>
        <v>3.125E-2</v>
      </c>
      <c r="S78" s="93">
        <v>1</v>
      </c>
      <c r="T78" s="93">
        <v>0</v>
      </c>
      <c r="U78" s="92">
        <f t="shared" si="52"/>
        <v>1</v>
      </c>
      <c r="V78" s="93">
        <v>867</v>
      </c>
      <c r="W78" s="93">
        <v>0</v>
      </c>
      <c r="X78" s="92">
        <f t="shared" si="53"/>
        <v>867</v>
      </c>
      <c r="Y78" s="93">
        <v>1150</v>
      </c>
      <c r="Z78" s="93">
        <v>0</v>
      </c>
      <c r="AA78" s="92">
        <f t="shared" si="54"/>
        <v>1150</v>
      </c>
      <c r="AB78" s="92">
        <f t="shared" si="55"/>
        <v>2300</v>
      </c>
      <c r="AC78" s="234">
        <f t="shared" si="56"/>
        <v>5.1223232620529536E-4</v>
      </c>
      <c r="AD78" s="92">
        <f t="shared" si="57"/>
        <v>123.09</v>
      </c>
      <c r="AE78" s="93">
        <v>424.02</v>
      </c>
      <c r="AF78" s="234">
        <f t="shared" si="58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9"/>
        <v>96.291119598949635</v>
      </c>
      <c r="AM78" s="93">
        <v>0</v>
      </c>
      <c r="AN78" s="325">
        <f t="shared" si="49"/>
        <v>47.844189064997167</v>
      </c>
      <c r="AO78" s="95">
        <f t="shared" si="60"/>
        <v>303.89469133605326</v>
      </c>
      <c r="AP78" s="96"/>
      <c r="AQ78" s="97">
        <f t="shared" si="9"/>
        <v>1150</v>
      </c>
      <c r="AR78" s="98">
        <f t="shared" si="37"/>
        <v>123.09</v>
      </c>
      <c r="AS78" s="98">
        <f t="shared" si="11"/>
        <v>424.02</v>
      </c>
      <c r="AT78" s="98">
        <f t="shared" si="12"/>
        <v>154.86000000000001</v>
      </c>
      <c r="AU78" s="98">
        <f t="shared" si="61"/>
        <v>0</v>
      </c>
      <c r="AV78" s="98">
        <f t="array" ref="AV78">_xlfn.IFS(U78=0,AO78,U78&lt;0,AO78/-U78,U78&gt;0,AO78/U78)</f>
        <v>303.89469133605326</v>
      </c>
      <c r="AW78" s="234">
        <f t="shared" si="46"/>
        <v>0.26425625333569847</v>
      </c>
      <c r="AX78" s="234">
        <f t="shared" si="47"/>
        <v>2.4688820483877914</v>
      </c>
      <c r="AY78" s="99"/>
      <c r="AZ78" s="94">
        <f t="shared" si="15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3</v>
      </c>
      <c r="O79" s="89">
        <v>1500</v>
      </c>
      <c r="P79" s="89">
        <v>0</v>
      </c>
      <c r="Q79" s="233">
        <f t="shared" si="50"/>
        <v>9.375E-2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85.14</v>
      </c>
      <c r="AH79" s="93"/>
      <c r="AI79" s="93"/>
      <c r="AJ79" s="93"/>
      <c r="AK79" s="93"/>
      <c r="AL79" s="122">
        <f t="shared" si="59"/>
        <v>157.27549534495105</v>
      </c>
      <c r="AM79" s="93">
        <v>0</v>
      </c>
      <c r="AN79" s="325">
        <f t="shared" si="49"/>
        <v>0</v>
      </c>
      <c r="AO79" s="95">
        <f t="shared" si="60"/>
        <v>-242.41549534495107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5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157.27549534495105</v>
      </c>
      <c r="AM80" s="93">
        <v>0</v>
      </c>
      <c r="AN80" s="325">
        <f t="shared" si="49"/>
        <v>0</v>
      </c>
      <c r="AO80" s="95">
        <f t="shared" si="60"/>
        <v>-157.27549534495105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5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50"/>
        <v>6.25E-2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108</v>
      </c>
      <c r="AH81" s="93"/>
      <c r="AI81" s="93"/>
      <c r="AJ81" s="93"/>
      <c r="AK81" s="93"/>
      <c r="AL81" s="122">
        <f t="shared" si="59"/>
        <v>157.27549534495105</v>
      </c>
      <c r="AM81" s="93">
        <v>0</v>
      </c>
      <c r="AN81" s="325">
        <f t="shared" si="49"/>
        <v>0</v>
      </c>
      <c r="AO81" s="95">
        <f t="shared" si="60"/>
        <v>-265.27549534495108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5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157.27549534495105</v>
      </c>
      <c r="AM82" s="93">
        <v>0</v>
      </c>
      <c r="AN82" s="325">
        <f t="shared" si="49"/>
        <v>0</v>
      </c>
      <c r="AO82" s="95">
        <f t="shared" si="60"/>
        <v>-157.27549534495105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5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1</v>
      </c>
      <c r="O83" s="89">
        <v>1375</v>
      </c>
      <c r="P83" s="89">
        <v>0</v>
      </c>
      <c r="Q83" s="233">
        <f t="shared" si="50"/>
        <v>3.125E-2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85.14</v>
      </c>
      <c r="AH83" s="93"/>
      <c r="AI83" s="93"/>
      <c r="AJ83" s="93"/>
      <c r="AK83" s="93"/>
      <c r="AL83" s="122">
        <f t="shared" si="59"/>
        <v>154.06579135831939</v>
      </c>
      <c r="AM83" s="93">
        <v>0</v>
      </c>
      <c r="AN83" s="325">
        <f t="shared" si="49"/>
        <v>0</v>
      </c>
      <c r="AO83" s="95">
        <f t="shared" si="60"/>
        <v>-239.2057913583194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5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50"/>
        <v>9.375E-2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310.65999999999997</v>
      </c>
      <c r="AH84" s="93"/>
      <c r="AI84" s="93"/>
      <c r="AJ84" s="93"/>
      <c r="AK84" s="93"/>
      <c r="AL84" s="122">
        <f t="shared" si="59"/>
        <v>147.64638338505608</v>
      </c>
      <c r="AM84" s="93">
        <v>0</v>
      </c>
      <c r="AN84" s="325">
        <f t="shared" si="49"/>
        <v>0</v>
      </c>
      <c r="AO84" s="95">
        <f t="shared" si="60"/>
        <v>-458.30638338505605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5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50"/>
        <v>1.09375</v>
      </c>
      <c r="R85" s="92">
        <f t="shared" si="51"/>
        <v>0.1875</v>
      </c>
      <c r="S85" s="93">
        <v>6</v>
      </c>
      <c r="T85" s="93">
        <v>0</v>
      </c>
      <c r="U85" s="92">
        <f t="shared" si="52"/>
        <v>6</v>
      </c>
      <c r="V85" s="93">
        <v>4330</v>
      </c>
      <c r="W85" s="93">
        <v>0</v>
      </c>
      <c r="X85" s="92">
        <f t="shared" si="53"/>
        <v>4330</v>
      </c>
      <c r="Y85" s="93">
        <v>6017.76</v>
      </c>
      <c r="Z85" s="93">
        <v>0</v>
      </c>
      <c r="AA85" s="92">
        <f t="shared" si="54"/>
        <v>6017.76</v>
      </c>
      <c r="AB85" s="92">
        <f t="shared" si="55"/>
        <v>4275.6000000000004</v>
      </c>
      <c r="AC85" s="234">
        <f t="shared" si="56"/>
        <v>2.6804271333436334E-3</v>
      </c>
      <c r="AD85" s="92">
        <f t="shared" si="57"/>
        <v>619.20000000000005</v>
      </c>
      <c r="AE85" s="93">
        <v>2271.9499999999998</v>
      </c>
      <c r="AF85" s="234">
        <f t="shared" si="58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9"/>
        <v>134.80756743852947</v>
      </c>
      <c r="AM85" s="93">
        <v>0</v>
      </c>
      <c r="AN85" s="325">
        <f t="shared" si="49"/>
        <v>250.36073668502377</v>
      </c>
      <c r="AO85" s="95">
        <f t="shared" si="60"/>
        <v>-7977.0383041235527</v>
      </c>
      <c r="AP85" s="96"/>
      <c r="AQ85" s="97">
        <f t="shared" si="9"/>
        <v>1002.96</v>
      </c>
      <c r="AR85" s="98">
        <f t="shared" si="37"/>
        <v>103.2</v>
      </c>
      <c r="AS85" s="98">
        <f t="shared" si="11"/>
        <v>378.6583333333333</v>
      </c>
      <c r="AT85" s="98">
        <f t="shared" si="12"/>
        <v>424.91333333333341</v>
      </c>
      <c r="AU85" s="98">
        <f t="shared" si="61"/>
        <v>1361.5</v>
      </c>
      <c r="AV85" s="98">
        <f t="array" ref="AV85">_xlfn.IFS(U85=0,AO85,U85&lt;0,AO85/-U85,U85&gt;0,AO85/U85)</f>
        <v>-1329.5063840205921</v>
      </c>
      <c r="AW85" s="234">
        <f t="shared" si="46"/>
        <v>-1.3255826593489193</v>
      </c>
      <c r="AX85" s="234">
        <f t="shared" si="47"/>
        <v>-12.882813798649147</v>
      </c>
      <c r="AY85" s="99"/>
      <c r="AZ85" s="94">
        <f t="shared" si="15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2</v>
      </c>
      <c r="O86" s="89">
        <v>1460</v>
      </c>
      <c r="P86" s="89">
        <v>100</v>
      </c>
      <c r="Q86" s="233">
        <f t="shared" si="50"/>
        <v>6.25E-2</v>
      </c>
      <c r="R86" s="92">
        <f t="shared" si="51"/>
        <v>6.25E-2</v>
      </c>
      <c r="S86" s="93">
        <v>2</v>
      </c>
      <c r="T86" s="93">
        <v>0</v>
      </c>
      <c r="U86" s="92">
        <f t="shared" si="52"/>
        <v>2</v>
      </c>
      <c r="V86" s="93">
        <v>2225</v>
      </c>
      <c r="W86" s="93">
        <v>0</v>
      </c>
      <c r="X86" s="92">
        <f t="shared" si="53"/>
        <v>2225</v>
      </c>
      <c r="Y86" s="93">
        <v>2873.19</v>
      </c>
      <c r="Z86" s="93">
        <v>0</v>
      </c>
      <c r="AA86" s="92">
        <f t="shared" si="54"/>
        <v>2873.19</v>
      </c>
      <c r="AB86" s="92">
        <f t="shared" si="55"/>
        <v>2920</v>
      </c>
      <c r="AC86" s="234">
        <f t="shared" si="56"/>
        <v>1.2797746063737327E-3</v>
      </c>
      <c r="AD86" s="92">
        <f t="shared" si="57"/>
        <v>300</v>
      </c>
      <c r="AE86" s="93">
        <v>1049.23</v>
      </c>
      <c r="AF86" s="234">
        <f t="shared" si="58"/>
        <v>0.36517946950949987</v>
      </c>
      <c r="AG86" s="93">
        <v>115.68</v>
      </c>
      <c r="AH86" s="93"/>
      <c r="AI86" s="93"/>
      <c r="AJ86" s="93"/>
      <c r="AK86" s="93"/>
      <c r="AL86" s="122">
        <f t="shared" si="59"/>
        <v>157.27549534495105</v>
      </c>
      <c r="AM86" s="93">
        <v>0</v>
      </c>
      <c r="AN86" s="325">
        <f t="shared" si="49"/>
        <v>119.53517006926886</v>
      </c>
      <c r="AO86" s="95">
        <f t="shared" si="60"/>
        <v>1131.4693345857802</v>
      </c>
      <c r="AP86" s="96"/>
      <c r="AQ86" s="97">
        <f t="shared" si="9"/>
        <v>1436.595</v>
      </c>
      <c r="AR86" s="98">
        <f t="shared" si="37"/>
        <v>150</v>
      </c>
      <c r="AS86" s="98">
        <f t="shared" si="11"/>
        <v>524.61500000000001</v>
      </c>
      <c r="AT86" s="98">
        <f t="shared" si="12"/>
        <v>57.84</v>
      </c>
      <c r="AU86" s="98">
        <f t="shared" si="61"/>
        <v>0</v>
      </c>
      <c r="AV86" s="98">
        <f t="array" ref="AV86">_xlfn.IFS(U86=0,AO86,U86&lt;0,AO86/-U86,U86&gt;0,AO86/U86)</f>
        <v>565.73466729289009</v>
      </c>
      <c r="AW86" s="234">
        <f t="shared" si="46"/>
        <v>0.3938024755013696</v>
      </c>
      <c r="AX86" s="234">
        <f t="shared" si="47"/>
        <v>3.7715644486192672</v>
      </c>
      <c r="AY86" s="99"/>
      <c r="AZ86" s="94">
        <f t="shared" si="15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4</v>
      </c>
      <c r="O87" s="89">
        <v>1505</v>
      </c>
      <c r="P87" s="89">
        <v>50</v>
      </c>
      <c r="Q87" s="233">
        <f t="shared" si="50"/>
        <v>0.125</v>
      </c>
      <c r="R87" s="92">
        <f t="shared" si="51"/>
        <v>6.25E-2</v>
      </c>
      <c r="S87" s="93">
        <v>2</v>
      </c>
      <c r="T87" s="93">
        <v>0</v>
      </c>
      <c r="U87" s="92">
        <f t="shared" si="52"/>
        <v>2</v>
      </c>
      <c r="V87" s="93">
        <v>2591</v>
      </c>
      <c r="W87" s="93">
        <v>0</v>
      </c>
      <c r="X87" s="92">
        <f t="shared" si="53"/>
        <v>2591</v>
      </c>
      <c r="Y87" s="93">
        <v>3054</v>
      </c>
      <c r="Z87" s="93">
        <v>0</v>
      </c>
      <c r="AA87" s="92">
        <f t="shared" si="54"/>
        <v>3054</v>
      </c>
      <c r="AB87" s="92">
        <f t="shared" si="55"/>
        <v>3010</v>
      </c>
      <c r="AC87" s="234">
        <f t="shared" si="56"/>
        <v>1.3603108906356277E-3</v>
      </c>
      <c r="AD87" s="92">
        <f t="shared" si="57"/>
        <v>300</v>
      </c>
      <c r="AE87" s="93">
        <v>1138.8800000000001</v>
      </c>
      <c r="AF87" s="234">
        <f t="shared" si="58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9"/>
        <v>147.64638338505608</v>
      </c>
      <c r="AM87" s="93">
        <v>0</v>
      </c>
      <c r="AN87" s="325">
        <f t="shared" si="49"/>
        <v>127.05752469956639</v>
      </c>
      <c r="AO87" s="95">
        <f t="shared" si="60"/>
        <v>1015.2660919153773</v>
      </c>
      <c r="AP87" s="96"/>
      <c r="AQ87" s="97">
        <f t="shared" si="9"/>
        <v>1527</v>
      </c>
      <c r="AR87" s="98">
        <f t="shared" si="37"/>
        <v>150</v>
      </c>
      <c r="AS87" s="98">
        <f t="shared" si="11"/>
        <v>569.44000000000005</v>
      </c>
      <c r="AT87" s="98">
        <f t="shared" si="12"/>
        <v>162.57499999999999</v>
      </c>
      <c r="AU87" s="98">
        <f t="shared" si="61"/>
        <v>0</v>
      </c>
      <c r="AV87" s="98">
        <f t="array" ref="AV87">_xlfn.IFS(U87=0,AO87,U87&lt;0,AO87/-U87,U87&gt;0,AO87/U87)</f>
        <v>507.63304595768864</v>
      </c>
      <c r="AW87" s="234">
        <f t="shared" si="46"/>
        <v>0.3324381440456376</v>
      </c>
      <c r="AX87" s="234">
        <f t="shared" si="47"/>
        <v>3.384220306384591</v>
      </c>
      <c r="AY87" s="99"/>
      <c r="AZ87" s="94">
        <f t="shared" si="15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49</v>
      </c>
      <c r="O88" s="89">
        <v>1287</v>
      </c>
      <c r="P88" s="89">
        <v>35</v>
      </c>
      <c r="Q88" s="233">
        <f t="shared" si="50"/>
        <v>1.53125</v>
      </c>
      <c r="R88" s="92">
        <f t="shared" si="51"/>
        <v>0.53125</v>
      </c>
      <c r="S88" s="93">
        <v>19</v>
      </c>
      <c r="T88" s="93">
        <v>-2</v>
      </c>
      <c r="U88" s="92">
        <f t="shared" si="52"/>
        <v>17</v>
      </c>
      <c r="V88" s="93">
        <v>18653</v>
      </c>
      <c r="W88" s="93">
        <v>-1762</v>
      </c>
      <c r="X88" s="92">
        <f t="shared" si="53"/>
        <v>16891</v>
      </c>
      <c r="Y88" s="93">
        <v>24244.160000000003</v>
      </c>
      <c r="Z88" s="93">
        <v>-2476.29</v>
      </c>
      <c r="AA88" s="92">
        <f t="shared" si="54"/>
        <v>21767.870000000003</v>
      </c>
      <c r="AB88" s="92">
        <f t="shared" si="55"/>
        <v>22072.05</v>
      </c>
      <c r="AC88" s="234">
        <f t="shared" si="56"/>
        <v>9.6958319014212729E-3</v>
      </c>
      <c r="AD88" s="92">
        <f t="shared" si="57"/>
        <v>2550</v>
      </c>
      <c r="AE88" s="93">
        <v>8054.9400000000041</v>
      </c>
      <c r="AF88" s="234">
        <f t="shared" si="58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9"/>
        <v>99.500823585581273</v>
      </c>
      <c r="AM88" s="93">
        <v>0</v>
      </c>
      <c r="AN88" s="325">
        <f t="shared" si="49"/>
        <v>1008.6453693582972</v>
      </c>
      <c r="AO88" s="95">
        <f t="shared" si="60"/>
        <v>-3395.3661929438804</v>
      </c>
      <c r="AP88" s="96"/>
      <c r="AQ88" s="97">
        <f t="shared" si="9"/>
        <v>1280.4629411764708</v>
      </c>
      <c r="AR88" s="98">
        <f t="shared" si="37"/>
        <v>150</v>
      </c>
      <c r="AS88" s="98">
        <f t="shared" si="11"/>
        <v>473.82000000000022</v>
      </c>
      <c r="AT88" s="98">
        <f t="shared" si="12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-199.7274231143459</v>
      </c>
      <c r="AW88" s="234">
        <f t="shared" si="46"/>
        <v>-0.15598063535586529</v>
      </c>
      <c r="AX88" s="234">
        <f t="shared" si="47"/>
        <v>-1.3315161540956393</v>
      </c>
      <c r="AY88" s="99"/>
      <c r="AZ88" s="94">
        <f t="shared" si="15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1</v>
      </c>
      <c r="O89" s="89">
        <v>1504</v>
      </c>
      <c r="P89" s="89">
        <v>0</v>
      </c>
      <c r="Q89" s="233">
        <f t="shared" si="50"/>
        <v>3.125E-2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108</v>
      </c>
      <c r="AH89" s="93"/>
      <c r="AI89" s="93"/>
      <c r="AJ89" s="93"/>
      <c r="AK89" s="93"/>
      <c r="AL89" s="122">
        <f t="shared" si="59"/>
        <v>147.64638338505608</v>
      </c>
      <c r="AM89" s="93">
        <v>0</v>
      </c>
      <c r="AN89" s="325">
        <f t="shared" si="49"/>
        <v>0</v>
      </c>
      <c r="AO89" s="95">
        <f t="shared" si="60"/>
        <v>-255.64638338505608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5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160.48519933158272</v>
      </c>
      <c r="AM90" s="93">
        <v>0</v>
      </c>
      <c r="AN90" s="325">
        <f t="shared" si="49"/>
        <v>0</v>
      </c>
      <c r="AO90" s="95">
        <f t="shared" si="60"/>
        <v>-160.48519933158272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5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1</v>
      </c>
      <c r="O91" s="89">
        <v>1075</v>
      </c>
      <c r="P91" s="89">
        <v>0</v>
      </c>
      <c r="Q91" s="233">
        <f t="shared" si="50"/>
        <v>3.125E-2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118.7590475053712</v>
      </c>
      <c r="AM91" s="93">
        <v>0</v>
      </c>
      <c r="AN91" s="325">
        <f t="shared" si="49"/>
        <v>0</v>
      </c>
      <c r="AO91" s="95">
        <f t="shared" si="60"/>
        <v>-118.7590475053712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5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1</v>
      </c>
      <c r="O92" s="89">
        <v>1403</v>
      </c>
      <c r="P92" s="89">
        <v>0</v>
      </c>
      <c r="Q92" s="233">
        <f t="shared" si="50"/>
        <v>3.125E-2</v>
      </c>
      <c r="R92" s="92">
        <f t="shared" si="51"/>
        <v>0</v>
      </c>
      <c r="S92" s="93">
        <v>1</v>
      </c>
      <c r="T92" s="93">
        <v>-1</v>
      </c>
      <c r="U92" s="92">
        <f t="shared" si="52"/>
        <v>0</v>
      </c>
      <c r="V92" s="93">
        <v>1072.01</v>
      </c>
      <c r="W92" s="93">
        <v>-1072.01</v>
      </c>
      <c r="X92" s="92">
        <f t="shared" si="53"/>
        <v>0</v>
      </c>
      <c r="Y92" s="93">
        <v>1403.38</v>
      </c>
      <c r="Z92" s="93">
        <v>-1403.38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96.4</v>
      </c>
      <c r="AH92" s="93"/>
      <c r="AI92" s="93"/>
      <c r="AJ92" s="93"/>
      <c r="AK92" s="93"/>
      <c r="AL92" s="122">
        <f t="shared" si="59"/>
        <v>157.27549534495105</v>
      </c>
      <c r="AM92" s="93">
        <v>0</v>
      </c>
      <c r="AN92" s="325">
        <f t="shared" si="49"/>
        <v>58.385720043509323</v>
      </c>
      <c r="AO92" s="95">
        <f t="shared" si="60"/>
        <v>-312.06121538846037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96.4</v>
      </c>
      <c r="AU92" s="98">
        <f t="shared" si="61"/>
        <v>0</v>
      </c>
      <c r="AV92" s="98">
        <f t="array" ref="AV92">_xlfn.IFS(U92=0,AO92,U92&lt;0,AO92/-U92,U92&gt;0,AO92/U92)</f>
        <v>-312.06121538846037</v>
      </c>
      <c r="AW92" s="234">
        <f t="shared" si="46"/>
        <v>0</v>
      </c>
      <c r="AX92" s="234">
        <f t="shared" si="47"/>
        <v>-2.2374791380831747</v>
      </c>
      <c r="AY92" s="99"/>
      <c r="AZ92" s="94">
        <f t="shared" si="15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1</v>
      </c>
      <c r="O93" s="89">
        <v>1296</v>
      </c>
      <c r="P93" s="89">
        <v>0</v>
      </c>
      <c r="Q93" s="233">
        <f t="shared" si="50"/>
        <v>3.125E-2</v>
      </c>
      <c r="R93" s="92">
        <f t="shared" si="51"/>
        <v>0</v>
      </c>
      <c r="S93" s="93">
        <v>1</v>
      </c>
      <c r="T93" s="93">
        <v>-1</v>
      </c>
      <c r="U93" s="92">
        <f t="shared" si="52"/>
        <v>0</v>
      </c>
      <c r="V93" s="93">
        <v>1040</v>
      </c>
      <c r="W93" s="93">
        <v>-1040</v>
      </c>
      <c r="X93" s="92">
        <f t="shared" si="53"/>
        <v>0</v>
      </c>
      <c r="Y93" s="93">
        <v>1296</v>
      </c>
      <c r="Z93" s="93">
        <v>-1296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107.11</v>
      </c>
      <c r="AH93" s="93"/>
      <c r="AI93" s="93"/>
      <c r="AJ93" s="93"/>
      <c r="AK93" s="93"/>
      <c r="AL93" s="122">
        <f t="shared" si="59"/>
        <v>150.85608737168775</v>
      </c>
      <c r="AM93" s="93">
        <v>0</v>
      </c>
      <c r="AN93" s="325">
        <f t="shared" si="49"/>
        <v>53.918320894118537</v>
      </c>
      <c r="AO93" s="95">
        <f t="shared" si="60"/>
        <v>-311.88440826580631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107.11</v>
      </c>
      <c r="AU93" s="98">
        <f t="shared" si="61"/>
        <v>0</v>
      </c>
      <c r="AV93" s="98">
        <f t="array" ref="AV93">_xlfn.IFS(U93=0,AO93,U93&lt;0,AO93/-U93,U93&gt;0,AO93/U93)</f>
        <v>-311.88440826580631</v>
      </c>
      <c r="AW93" s="234">
        <f t="shared" si="46"/>
        <v>0</v>
      </c>
      <c r="AX93" s="234">
        <f t="shared" si="47"/>
        <v>-2.2362114308869745</v>
      </c>
      <c r="AY93" s="99"/>
      <c r="AZ93" s="94">
        <f t="shared" si="15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6.4194079732633087</v>
      </c>
      <c r="AM94" s="93">
        <v>0</v>
      </c>
      <c r="AN94" s="325">
        <f t="shared" si="49"/>
        <v>0</v>
      </c>
      <c r="AO94" s="95">
        <f t="shared" si="60"/>
        <v>-6.4194079732633087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5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1</v>
      </c>
      <c r="O95" s="89">
        <v>1647</v>
      </c>
      <c r="P95" s="89">
        <v>100</v>
      </c>
      <c r="Q95" s="233">
        <f t="shared" si="50"/>
        <v>3.125E-2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1647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3.2097039866316543</v>
      </c>
      <c r="AM95" s="93">
        <v>0</v>
      </c>
      <c r="AN95" s="325">
        <f t="shared" si="49"/>
        <v>0</v>
      </c>
      <c r="AO95" s="95">
        <f t="shared" si="60"/>
        <v>-3.2097039866316543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5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1</v>
      </c>
      <c r="O96" s="89">
        <v>998</v>
      </c>
      <c r="P96" s="89">
        <v>100</v>
      </c>
      <c r="Q96" s="233">
        <f t="shared" si="50"/>
        <v>3.125E-2</v>
      </c>
      <c r="R96" s="92">
        <f t="shared" si="51"/>
        <v>3.125E-2</v>
      </c>
      <c r="S96" s="93">
        <v>1</v>
      </c>
      <c r="T96" s="93">
        <v>0</v>
      </c>
      <c r="U96" s="92">
        <f t="shared" si="52"/>
        <v>1</v>
      </c>
      <c r="V96" s="93">
        <v>684</v>
      </c>
      <c r="W96" s="93">
        <v>0</v>
      </c>
      <c r="X96" s="92">
        <f t="shared" si="53"/>
        <v>684</v>
      </c>
      <c r="Y96" s="93">
        <v>998</v>
      </c>
      <c r="Z96" s="93">
        <v>0</v>
      </c>
      <c r="AA96" s="92">
        <f t="shared" si="54"/>
        <v>998</v>
      </c>
      <c r="AB96" s="92">
        <f t="shared" si="55"/>
        <v>998</v>
      </c>
      <c r="AC96" s="234">
        <f t="shared" si="56"/>
        <v>4.4452857526337808E-4</v>
      </c>
      <c r="AD96" s="92">
        <f t="shared" si="57"/>
        <v>300.08</v>
      </c>
      <c r="AE96" s="93">
        <v>378.91999999999996</v>
      </c>
      <c r="AF96" s="234">
        <f t="shared" si="58"/>
        <v>0.37967935871743486</v>
      </c>
      <c r="AG96" s="93">
        <v>163.6</v>
      </c>
      <c r="AH96" s="93"/>
      <c r="AI96" s="93"/>
      <c r="AJ96" s="93"/>
      <c r="AK96" s="93"/>
      <c r="AL96" s="122">
        <f t="shared" si="59"/>
        <v>3.2097039866316543</v>
      </c>
      <c r="AM96" s="93">
        <v>0</v>
      </c>
      <c r="AN96" s="325">
        <f t="shared" si="49"/>
        <v>41.520435379884496</v>
      </c>
      <c r="AO96" s="95">
        <f t="shared" si="60"/>
        <v>110.66986063348395</v>
      </c>
      <c r="AP96" s="96"/>
      <c r="AQ96" s="97">
        <f t="shared" si="9"/>
        <v>998</v>
      </c>
      <c r="AR96" s="98">
        <f t="shared" si="37"/>
        <v>300.08</v>
      </c>
      <c r="AS96" s="98">
        <f t="shared" si="11"/>
        <v>378.91999999999996</v>
      </c>
      <c r="AT96" s="98">
        <f t="shared" si="12"/>
        <v>163.6</v>
      </c>
      <c r="AU96" s="98">
        <f t="shared" si="61"/>
        <v>0</v>
      </c>
      <c r="AV96" s="98">
        <f t="array" ref="AV96">_xlfn.IFS(U96=0,AO96,U96&lt;0,AO96/-U96,U96&gt;0,AO96/U96)</f>
        <v>110.66986063348395</v>
      </c>
      <c r="AW96" s="234">
        <f t="shared" si="46"/>
        <v>0.1108916439213266</v>
      </c>
      <c r="AX96" s="234">
        <f t="shared" si="47"/>
        <v>0.36880118846135684</v>
      </c>
      <c r="AY96" s="99"/>
      <c r="AZ96" s="94">
        <f t="shared" si="15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12.838815946526617</v>
      </c>
      <c r="AM97" s="93">
        <v>0</v>
      </c>
      <c r="AN97" s="325">
        <f t="shared" si="49"/>
        <v>0</v>
      </c>
      <c r="AO97" s="95">
        <f t="shared" si="60"/>
        <v>-12.838815946526617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5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51.35526378610647</v>
      </c>
      <c r="AM98" s="93">
        <v>0</v>
      </c>
      <c r="AN98" s="325">
        <f t="shared" si="49"/>
        <v>0</v>
      </c>
      <c r="AO98" s="95">
        <f t="shared" si="60"/>
        <v>-51.35526378610647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-71.88990817421076</v>
      </c>
      <c r="AW99" s="112">
        <f t="shared" si="66"/>
        <v>-2.8168433767308817E-2</v>
      </c>
      <c r="AX99" s="112">
        <f t="shared" si="66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95827.420000000071</v>
      </c>
      <c r="AO100" s="117">
        <f t="shared" si="69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91"/>
      <c r="AI101" s="591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1">S103+T103</f>
        <v>0</v>
      </c>
      <c r="V103" s="93">
        <v>0</v>
      </c>
      <c r="W103" s="93">
        <v>0</v>
      </c>
      <c r="X103" s="92">
        <f t="shared" ref="X103:X106" si="92">V103+W103</f>
        <v>0</v>
      </c>
      <c r="Y103" s="93">
        <v>0</v>
      </c>
      <c r="Z103" s="93">
        <v>0</v>
      </c>
      <c r="AA103" s="92">
        <f t="shared" ref="AA103:AA106" si="93">Y103+Z103</f>
        <v>0</v>
      </c>
      <c r="AB103" s="92">
        <f t="shared" ref="AB103:AB106" si="94">N103*O103*P103/100</f>
        <v>0</v>
      </c>
      <c r="AC103" s="234">
        <f t="shared" ref="AC103:AC106" si="95">AA103/$AA$121</f>
        <v>0</v>
      </c>
      <c r="AD103" s="92">
        <f t="shared" ref="AD103:AD106" si="96">U103*K103</f>
        <v>0</v>
      </c>
      <c r="AE103" s="93">
        <v>0</v>
      </c>
      <c r="AF103" s="234">
        <f t="shared" ref="AF103:AF106" si="97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8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81"/>
        <v>-186.42970398663167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183.22</v>
      </c>
      <c r="AU103" s="98">
        <f t="shared" si="86"/>
        <v>0</v>
      </c>
      <c r="AV103" s="98">
        <f t="array" ref="AV103">_xlfn.IFS(U103=0,AO103,U103&lt;0,AO103/-U103,U103&gt;0,AO103/U103)</f>
        <v>-186.42970398663167</v>
      </c>
      <c r="AW103" s="234">
        <f t="shared" si="87"/>
        <v>0</v>
      </c>
      <c r="AX103" s="234">
        <f t="shared" si="88"/>
        <v>-0.3218856037615796</v>
      </c>
      <c r="AY103" s="99"/>
      <c r="AZ103" s="94">
        <f t="shared" si="89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1"/>
        <v>0</v>
      </c>
      <c r="V104" s="93">
        <v>0</v>
      </c>
      <c r="W104" s="93">
        <v>0</v>
      </c>
      <c r="X104" s="92">
        <f t="shared" si="92"/>
        <v>0</v>
      </c>
      <c r="Y104" s="93">
        <v>0</v>
      </c>
      <c r="Z104" s="93">
        <v>0</v>
      </c>
      <c r="AA104" s="92">
        <f t="shared" si="93"/>
        <v>0</v>
      </c>
      <c r="AB104" s="92">
        <f t="shared" si="94"/>
        <v>0</v>
      </c>
      <c r="AC104" s="234">
        <f t="shared" si="95"/>
        <v>0</v>
      </c>
      <c r="AD104" s="92">
        <f t="shared" si="96"/>
        <v>0</v>
      </c>
      <c r="AE104" s="93">
        <v>0</v>
      </c>
      <c r="AF104" s="234">
        <f t="shared" si="97"/>
        <v>0</v>
      </c>
      <c r="AG104" s="93">
        <v>0</v>
      </c>
      <c r="AH104" s="93"/>
      <c r="AI104" s="93"/>
      <c r="AJ104" s="93"/>
      <c r="AK104" s="93"/>
      <c r="AL104" s="122">
        <f t="shared" si="98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1"/>
        <v>0</v>
      </c>
      <c r="V105" s="93">
        <v>0</v>
      </c>
      <c r="W105" s="93">
        <v>0</v>
      </c>
      <c r="X105" s="92">
        <f t="shared" si="92"/>
        <v>0</v>
      </c>
      <c r="Y105" s="93">
        <v>0</v>
      </c>
      <c r="Z105" s="93">
        <v>0</v>
      </c>
      <c r="AA105" s="92">
        <f t="shared" si="93"/>
        <v>0</v>
      </c>
      <c r="AB105" s="92">
        <f t="shared" si="94"/>
        <v>0</v>
      </c>
      <c r="AC105" s="234">
        <f t="shared" si="95"/>
        <v>0</v>
      </c>
      <c r="AD105" s="92">
        <f t="shared" si="96"/>
        <v>0</v>
      </c>
      <c r="AE105" s="93">
        <v>0</v>
      </c>
      <c r="AF105" s="234">
        <f t="shared" si="97"/>
        <v>0</v>
      </c>
      <c r="AG105" s="93">
        <v>0</v>
      </c>
      <c r="AH105" s="93"/>
      <c r="AI105" s="93"/>
      <c r="AJ105" s="93"/>
      <c r="AK105" s="93"/>
      <c r="AL105" s="122">
        <f t="shared" si="98"/>
        <v>0</v>
      </c>
      <c r="AM105" s="93">
        <v>0</v>
      </c>
      <c r="AN105" s="325">
        <f>95827.42*Y105/Y$121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1"/>
        <v>0</v>
      </c>
      <c r="V106" s="93">
        <v>0</v>
      </c>
      <c r="W106" s="93">
        <v>0</v>
      </c>
      <c r="X106" s="92">
        <f t="shared" si="92"/>
        <v>0</v>
      </c>
      <c r="Y106" s="93">
        <v>0</v>
      </c>
      <c r="Z106" s="93">
        <v>0</v>
      </c>
      <c r="AA106" s="92">
        <f t="shared" si="93"/>
        <v>0</v>
      </c>
      <c r="AB106" s="92">
        <f t="shared" si="94"/>
        <v>0</v>
      </c>
      <c r="AC106" s="234">
        <f t="shared" si="95"/>
        <v>0</v>
      </c>
      <c r="AD106" s="92">
        <f t="shared" si="96"/>
        <v>0</v>
      </c>
      <c r="AE106" s="93">
        <v>0</v>
      </c>
      <c r="AF106" s="234">
        <f t="shared" si="97"/>
        <v>0</v>
      </c>
      <c r="AG106" s="93">
        <v>0</v>
      </c>
      <c r="AH106" s="93"/>
      <c r="AI106" s="93"/>
      <c r="AJ106" s="93"/>
      <c r="AK106" s="93"/>
      <c r="AL106" s="122">
        <f t="shared" si="98"/>
        <v>0</v>
      </c>
      <c r="AM106" s="93">
        <v>0</v>
      </c>
      <c r="AN106" s="325">
        <f>95827.42*Y106/Y$121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9">AVERAGE(AS102:AS106)</f>
        <v>0</v>
      </c>
      <c r="AT107" s="245">
        <f t="shared" si="99"/>
        <v>36.643999999999998</v>
      </c>
      <c r="AU107" s="245">
        <f t="shared" si="99"/>
        <v>0</v>
      </c>
      <c r="AV107" s="245">
        <f t="shared" si="99"/>
        <v>-37.285940797326333</v>
      </c>
      <c r="AW107" s="246">
        <f t="shared" si="99"/>
        <v>0</v>
      </c>
      <c r="AX107" s="246">
        <f t="shared" si="99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0">SUM(E102:E106)</f>
        <v>7</v>
      </c>
      <c r="F108" s="249">
        <f t="shared" si="100"/>
        <v>0</v>
      </c>
      <c r="G108" s="249">
        <f t="shared" si="100"/>
        <v>0</v>
      </c>
      <c r="H108" s="249">
        <f t="shared" si="100"/>
        <v>1</v>
      </c>
      <c r="I108" s="249">
        <f t="shared" si="100"/>
        <v>0</v>
      </c>
      <c r="J108" s="249">
        <f t="shared" si="100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1">SUM(S102:S106)</f>
        <v>0</v>
      </c>
      <c r="T108" s="249">
        <f t="shared" si="101"/>
        <v>0</v>
      </c>
      <c r="U108" s="249">
        <f t="shared" si="101"/>
        <v>0</v>
      </c>
      <c r="V108" s="249">
        <f t="shared" si="101"/>
        <v>0</v>
      </c>
      <c r="W108" s="249">
        <f t="shared" si="101"/>
        <v>0</v>
      </c>
      <c r="X108" s="249">
        <f t="shared" si="101"/>
        <v>0</v>
      </c>
      <c r="Y108" s="249">
        <f t="shared" si="101"/>
        <v>0</v>
      </c>
      <c r="Z108" s="249">
        <f t="shared" si="101"/>
        <v>0</v>
      </c>
      <c r="AA108" s="249">
        <f t="shared" si="101"/>
        <v>0</v>
      </c>
      <c r="AB108" s="249">
        <f t="shared" si="101"/>
        <v>0</v>
      </c>
      <c r="AC108" s="252">
        <f t="shared" si="101"/>
        <v>0</v>
      </c>
      <c r="AD108" s="253">
        <f t="shared" si="101"/>
        <v>0</v>
      </c>
      <c r="AE108" s="249">
        <f t="shared" si="101"/>
        <v>0</v>
      </c>
      <c r="AF108" s="252" t="e">
        <f>AE108/AA108</f>
        <v>#DIV/0!</v>
      </c>
      <c r="AG108" s="249">
        <f t="shared" ref="AG108:AO108" si="102">SUM(AG102:AG106)</f>
        <v>183.22</v>
      </c>
      <c r="AH108" s="253">
        <f t="shared" si="102"/>
        <v>0</v>
      </c>
      <c r="AI108" s="253">
        <f t="shared" si="102"/>
        <v>0</v>
      </c>
      <c r="AJ108" s="253">
        <f t="shared" si="102"/>
        <v>0</v>
      </c>
      <c r="AK108" s="253">
        <f t="shared" si="102"/>
        <v>0</v>
      </c>
      <c r="AL108" s="253">
        <f t="shared" si="102"/>
        <v>3.2097039866316543</v>
      </c>
      <c r="AM108" s="249">
        <f t="shared" si="102"/>
        <v>0</v>
      </c>
      <c r="AN108" s="253">
        <f t="shared" si="102"/>
        <v>0</v>
      </c>
      <c r="AO108" s="253">
        <f t="shared" si="102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92"/>
      <c r="AI109" s="593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3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4">N110/32</f>
        <v>0</v>
      </c>
      <c r="R110" s="92">
        <f t="shared" ref="R110:R117" si="105">U110/32</f>
        <v>0</v>
      </c>
      <c r="S110" s="93">
        <v>0</v>
      </c>
      <c r="T110" s="93">
        <v>0</v>
      </c>
      <c r="U110" s="92">
        <f t="shared" ref="U110" si="106">S110+T110</f>
        <v>0</v>
      </c>
      <c r="V110" s="93">
        <v>0</v>
      </c>
      <c r="W110" s="93">
        <v>0</v>
      </c>
      <c r="X110" s="92">
        <f t="shared" ref="X110" si="107">V110+W110</f>
        <v>0</v>
      </c>
      <c r="Y110" s="93">
        <v>0</v>
      </c>
      <c r="Z110" s="93">
        <v>0</v>
      </c>
      <c r="AA110" s="92">
        <f t="shared" ref="AA110" si="108">Y110+Z110</f>
        <v>0</v>
      </c>
      <c r="AB110" s="92">
        <f t="shared" ref="AB110" si="109">N110*O110*P110/100</f>
        <v>0</v>
      </c>
      <c r="AC110" s="234">
        <f t="shared" ref="AC110" si="110">AA110/$AA$121</f>
        <v>0</v>
      </c>
      <c r="AD110" s="92">
        <f t="shared" ref="AD110" si="111">U110*K110</f>
        <v>0</v>
      </c>
      <c r="AE110" s="93">
        <v>0</v>
      </c>
      <c r="AF110" s="234">
        <f t="shared" ref="AF110" si="112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3">IFERROR($AL$121*H110/$H$121,0)</f>
        <v>0</v>
      </c>
      <c r="AM110" s="93">
        <v>0</v>
      </c>
      <c r="AN110" s="325">
        <f t="shared" ref="AN110:AN117" si="114">95827.42*Y110/Y$121</f>
        <v>0</v>
      </c>
      <c r="AO110" s="95">
        <f t="shared" ref="AO110:AO117" si="115">AA110-AD110-AE110-AG110-AH110-AI110-AK110-AL110-AN110-AM110</f>
        <v>0</v>
      </c>
      <c r="AP110" s="96"/>
      <c r="AQ110" s="97">
        <f t="shared" ref="AQ110:AQ117" si="116">IF(U110=0,0,AA110/U110)</f>
        <v>0</v>
      </c>
      <c r="AR110" s="98">
        <f t="shared" ref="AR110:AR117" si="117">K110</f>
        <v>140</v>
      </c>
      <c r="AS110" s="98">
        <f t="shared" ref="AS110:AS117" si="118">IF(U110=0,0,AE110/U110)</f>
        <v>0</v>
      </c>
      <c r="AT110" s="98">
        <f t="shared" ref="AT110:AT117" si="119">IF(S110=0,AG110/1,AG110/S110)</f>
        <v>0</v>
      </c>
      <c r="AU110" s="98">
        <f t="shared" ref="AU110:AU117" si="120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1">IF(AQ110=0,0,AV110/AQ110)</f>
        <v>0</v>
      </c>
      <c r="AX110" s="234">
        <f t="shared" ref="AX110:AX117" si="122">IF(AR110=0,0,AV110/AR110)</f>
        <v>0</v>
      </c>
      <c r="AY110" s="99"/>
      <c r="AZ110" s="94">
        <f t="shared" ref="AZ110:AZ117" si="123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4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3"/>
        <v>154</v>
      </c>
      <c r="M111" s="89"/>
      <c r="N111" s="89">
        <v>0</v>
      </c>
      <c r="O111" s="89">
        <v>0</v>
      </c>
      <c r="P111" s="89">
        <v>0</v>
      </c>
      <c r="Q111" s="233">
        <f t="shared" si="104"/>
        <v>0</v>
      </c>
      <c r="R111" s="92">
        <f t="shared" si="105"/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 t="shared" si="114"/>
        <v>0</v>
      </c>
      <c r="AO111" s="95">
        <f t="shared" si="115"/>
        <v>0</v>
      </c>
      <c r="AP111" s="96"/>
      <c r="AQ111" s="97">
        <f t="shared" si="116"/>
        <v>0</v>
      </c>
      <c r="AR111" s="98">
        <f t="shared" si="117"/>
        <v>154</v>
      </c>
      <c r="AS111" s="98">
        <f t="shared" si="118"/>
        <v>0</v>
      </c>
      <c r="AT111" s="98">
        <f t="shared" si="119"/>
        <v>0</v>
      </c>
      <c r="AU111" s="98">
        <f t="shared" si="120"/>
        <v>0</v>
      </c>
      <c r="AV111" s="98">
        <f t="array" ref="AV111">_xlfn.IFS(U111=0,AO111,U111&lt;0,AO111/-U111,U111&gt;0,AO111/U111)</f>
        <v>0</v>
      </c>
      <c r="AW111" s="234">
        <f t="shared" si="121"/>
        <v>0</v>
      </c>
      <c r="AX111" s="234">
        <f t="shared" si="122"/>
        <v>0</v>
      </c>
      <c r="AY111" s="99"/>
      <c r="AZ111" s="94">
        <f t="shared" si="123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4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3"/>
        <v>220</v>
      </c>
      <c r="M112" s="89"/>
      <c r="N112" s="89">
        <v>0</v>
      </c>
      <c r="O112" s="89">
        <v>0</v>
      </c>
      <c r="P112" s="89">
        <v>0</v>
      </c>
      <c r="Q112" s="233">
        <f t="shared" si="104"/>
        <v>0</v>
      </c>
      <c r="R112" s="92">
        <f t="shared" si="105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 t="shared" si="114"/>
        <v>0</v>
      </c>
      <c r="AO112" s="95">
        <f t="shared" si="115"/>
        <v>0</v>
      </c>
      <c r="AP112" s="96"/>
      <c r="AQ112" s="97">
        <f t="shared" si="116"/>
        <v>0</v>
      </c>
      <c r="AR112" s="98">
        <f t="shared" si="117"/>
        <v>220</v>
      </c>
      <c r="AS112" s="98">
        <f t="shared" si="118"/>
        <v>0</v>
      </c>
      <c r="AT112" s="98">
        <f t="shared" si="119"/>
        <v>0</v>
      </c>
      <c r="AU112" s="98">
        <f t="shared" si="120"/>
        <v>0</v>
      </c>
      <c r="AV112" s="98">
        <f t="array" ref="AV112">_xlfn.IFS(U112=0,AO112,U112&lt;0,AO112/-U112,U112&gt;0,AO112/U112)</f>
        <v>0</v>
      </c>
      <c r="AW112" s="234">
        <f t="shared" si="121"/>
        <v>0</v>
      </c>
      <c r="AX112" s="234">
        <f t="shared" si="122"/>
        <v>0</v>
      </c>
      <c r="AY112" s="99"/>
      <c r="AZ112" s="94">
        <f t="shared" si="123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4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3"/>
        <v>220</v>
      </c>
      <c r="M113" s="89"/>
      <c r="N113" s="89">
        <v>0</v>
      </c>
      <c r="O113" s="89">
        <v>0</v>
      </c>
      <c r="P113" s="89">
        <v>0</v>
      </c>
      <c r="Q113" s="233">
        <f t="shared" si="104"/>
        <v>0</v>
      </c>
      <c r="R113" s="92">
        <f t="shared" si="105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 t="shared" si="114"/>
        <v>0</v>
      </c>
      <c r="AO113" s="95">
        <f t="shared" si="115"/>
        <v>0</v>
      </c>
      <c r="AP113" s="96"/>
      <c r="AQ113" s="97">
        <f t="shared" si="116"/>
        <v>0</v>
      </c>
      <c r="AR113" s="98">
        <f t="shared" si="117"/>
        <v>220</v>
      </c>
      <c r="AS113" s="98">
        <f t="shared" si="118"/>
        <v>0</v>
      </c>
      <c r="AT113" s="98">
        <f t="shared" si="119"/>
        <v>0</v>
      </c>
      <c r="AU113" s="98">
        <f t="shared" si="120"/>
        <v>0</v>
      </c>
      <c r="AV113" s="98">
        <f t="array" ref="AV113">_xlfn.IFS(U113=0,AO113,U113&lt;0,AO113/-U113,U113&gt;0,AO113/U113)</f>
        <v>0</v>
      </c>
      <c r="AW113" s="234">
        <f t="shared" si="121"/>
        <v>0</v>
      </c>
      <c r="AX113" s="234">
        <f t="shared" si="122"/>
        <v>0</v>
      </c>
      <c r="AY113" s="99"/>
      <c r="AZ113" s="94">
        <f t="shared" si="123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4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3"/>
        <v>1320</v>
      </c>
      <c r="M114" s="89"/>
      <c r="N114" s="89">
        <v>0</v>
      </c>
      <c r="O114" s="89">
        <v>0</v>
      </c>
      <c r="P114" s="89">
        <v>0</v>
      </c>
      <c r="Q114" s="233">
        <f t="shared" si="104"/>
        <v>0</v>
      </c>
      <c r="R114" s="92">
        <f t="shared" si="105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 t="shared" si="114"/>
        <v>0</v>
      </c>
      <c r="AO114" s="95">
        <f t="shared" si="115"/>
        <v>0</v>
      </c>
      <c r="AP114" s="96"/>
      <c r="AQ114" s="97">
        <f t="shared" si="116"/>
        <v>0</v>
      </c>
      <c r="AR114" s="98">
        <f t="shared" si="117"/>
        <v>220</v>
      </c>
      <c r="AS114" s="98">
        <f t="shared" si="118"/>
        <v>0</v>
      </c>
      <c r="AT114" s="98">
        <f t="shared" si="119"/>
        <v>0</v>
      </c>
      <c r="AU114" s="98">
        <f t="shared" si="120"/>
        <v>0</v>
      </c>
      <c r="AV114" s="98">
        <f t="array" ref="AV114">_xlfn.IFS(U114=0,AO114,U114&lt;0,AO114/-U114,U114&gt;0,AO114/U114)</f>
        <v>0</v>
      </c>
      <c r="AW114" s="234">
        <f t="shared" si="121"/>
        <v>0</v>
      </c>
      <c r="AX114" s="234">
        <f t="shared" si="122"/>
        <v>0</v>
      </c>
      <c r="AY114" s="99"/>
      <c r="AZ114" s="94">
        <f t="shared" si="123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4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3"/>
        <v>205</v>
      </c>
      <c r="M115" s="89"/>
      <c r="N115" s="89">
        <v>0</v>
      </c>
      <c r="O115" s="89">
        <v>0</v>
      </c>
      <c r="P115" s="89">
        <v>0</v>
      </c>
      <c r="Q115" s="233">
        <f t="shared" si="104"/>
        <v>0</v>
      </c>
      <c r="R115" s="92">
        <f t="shared" si="105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 t="shared" si="114"/>
        <v>0</v>
      </c>
      <c r="AO115" s="95">
        <f t="shared" si="115"/>
        <v>0</v>
      </c>
      <c r="AP115" s="96"/>
      <c r="AQ115" s="97">
        <f t="shared" si="116"/>
        <v>0</v>
      </c>
      <c r="AR115" s="98">
        <f t="shared" si="117"/>
        <v>205</v>
      </c>
      <c r="AS115" s="98">
        <f t="shared" si="118"/>
        <v>0</v>
      </c>
      <c r="AT115" s="98">
        <f t="shared" si="119"/>
        <v>0</v>
      </c>
      <c r="AU115" s="98">
        <f t="shared" si="120"/>
        <v>0</v>
      </c>
      <c r="AV115" s="98">
        <f t="array" ref="AV115">_xlfn.IFS(U115=0,AO115,U115&lt;0,AO115/-U115,U115&gt;0,AO115/U115)</f>
        <v>0</v>
      </c>
      <c r="AW115" s="234">
        <f t="shared" si="121"/>
        <v>0</v>
      </c>
      <c r="AX115" s="234">
        <f t="shared" si="122"/>
        <v>0</v>
      </c>
      <c r="AY115" s="99"/>
      <c r="AZ115" s="94">
        <f t="shared" si="123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4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3"/>
        <v>205</v>
      </c>
      <c r="M116" s="89"/>
      <c r="N116" s="89">
        <v>0</v>
      </c>
      <c r="O116" s="89">
        <v>0</v>
      </c>
      <c r="P116" s="89">
        <v>0</v>
      </c>
      <c r="Q116" s="233">
        <f t="shared" si="104"/>
        <v>0</v>
      </c>
      <c r="R116" s="92">
        <f t="shared" si="105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 t="shared" si="114"/>
        <v>0</v>
      </c>
      <c r="AO116" s="95">
        <f t="shared" si="115"/>
        <v>0</v>
      </c>
      <c r="AP116" s="96"/>
      <c r="AQ116" s="97">
        <f t="shared" si="116"/>
        <v>0</v>
      </c>
      <c r="AR116" s="98">
        <f t="shared" si="117"/>
        <v>205</v>
      </c>
      <c r="AS116" s="98">
        <f t="shared" si="118"/>
        <v>0</v>
      </c>
      <c r="AT116" s="98">
        <f t="shared" si="119"/>
        <v>0</v>
      </c>
      <c r="AU116" s="98">
        <f t="shared" si="120"/>
        <v>0</v>
      </c>
      <c r="AV116" s="98">
        <f t="array" ref="AV116">_xlfn.IFS(U116=0,AO116,U116&lt;0,AO116/-U116,U116&gt;0,AO116/U116)</f>
        <v>0</v>
      </c>
      <c r="AW116" s="234">
        <f t="shared" si="121"/>
        <v>0</v>
      </c>
      <c r="AX116" s="234">
        <f t="shared" si="122"/>
        <v>0</v>
      </c>
      <c r="AY116" s="99"/>
      <c r="AZ116" s="94">
        <f t="shared" si="123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4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3"/>
        <v>453</v>
      </c>
      <c r="M117" s="89"/>
      <c r="N117" s="89">
        <v>0</v>
      </c>
      <c r="O117" s="89">
        <v>0</v>
      </c>
      <c r="P117" s="89">
        <v>0</v>
      </c>
      <c r="Q117" s="233">
        <f t="shared" si="104"/>
        <v>0</v>
      </c>
      <c r="R117" s="92">
        <f t="shared" si="105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 t="shared" si="114"/>
        <v>0</v>
      </c>
      <c r="AO117" s="95">
        <f t="shared" si="115"/>
        <v>0</v>
      </c>
      <c r="AP117" s="96"/>
      <c r="AQ117" s="97">
        <f t="shared" si="116"/>
        <v>0</v>
      </c>
      <c r="AR117" s="98">
        <f t="shared" si="117"/>
        <v>453</v>
      </c>
      <c r="AS117" s="98">
        <f t="shared" si="118"/>
        <v>0</v>
      </c>
      <c r="AT117" s="98">
        <f t="shared" si="119"/>
        <v>0</v>
      </c>
      <c r="AU117" s="98">
        <f t="shared" si="120"/>
        <v>0</v>
      </c>
      <c r="AV117" s="98">
        <f t="array" ref="AV117">_xlfn.IFS(U117=0,AO117,U117&lt;0,AO117/-U117,U117&gt;0,AO117/U117)</f>
        <v>0</v>
      </c>
      <c r="AW117" s="234">
        <f t="shared" si="121"/>
        <v>0</v>
      </c>
      <c r="AX117" s="234">
        <f t="shared" si="122"/>
        <v>0</v>
      </c>
      <c r="AY117" s="99"/>
      <c r="AZ117" s="94">
        <f t="shared" si="123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6">SUM(AH110:AH117)</f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94"/>
      <c r="AI120" s="594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4962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2362</v>
      </c>
      <c r="T121" s="267">
        <f t="shared" si="137"/>
        <v>-53</v>
      </c>
      <c r="U121" s="267">
        <f t="shared" si="137"/>
        <v>2309</v>
      </c>
      <c r="V121" s="267">
        <f t="shared" si="137"/>
        <v>1728382.78</v>
      </c>
      <c r="W121" s="267">
        <f t="shared" si="137"/>
        <v>-44657.88</v>
      </c>
      <c r="X121" s="267">
        <f t="shared" si="137"/>
        <v>1683724.9</v>
      </c>
      <c r="Y121" s="267">
        <f t="shared" si="137"/>
        <v>2303342.0599999991</v>
      </c>
      <c r="Z121" s="267">
        <f t="shared" si="137"/>
        <v>-58267.040000000001</v>
      </c>
      <c r="AA121" s="267">
        <f t="shared" si="137"/>
        <v>2245075.02</v>
      </c>
      <c r="AB121" s="267">
        <f t="shared" si="137"/>
        <v>2920148.8499999992</v>
      </c>
      <c r="AC121" s="267">
        <f t="shared" si="137"/>
        <v>1.0000000000000002</v>
      </c>
      <c r="AD121" s="267">
        <f t="shared" si="137"/>
        <v>292876.64000000007</v>
      </c>
      <c r="AE121" s="267">
        <f t="shared" si="137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94">
        <f>AH101+AH109+AH120</f>
        <v>0</v>
      </c>
      <c r="AI122" s="594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sheetPr codeName="Лист41"/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585" t="s">
        <v>42</v>
      </c>
      <c r="G1" s="585"/>
      <c r="H1" s="585"/>
      <c r="I1" s="586" t="s">
        <v>115</v>
      </c>
      <c r="J1" s="587"/>
      <c r="M1" s="223" t="s">
        <v>43</v>
      </c>
      <c r="N1" s="585" t="s">
        <v>116</v>
      </c>
      <c r="O1" s="585"/>
      <c r="P1" s="585"/>
      <c r="R1" s="224"/>
      <c r="S1" s="588"/>
      <c r="T1" s="588"/>
      <c r="U1" s="224"/>
      <c r="V1" s="589"/>
      <c r="W1" s="590"/>
      <c r="X1" s="224"/>
      <c r="Y1" s="588"/>
      <c r="Z1" s="588"/>
      <c r="AA1" s="224"/>
      <c r="AB1" s="224"/>
      <c r="AC1" s="224"/>
      <c r="AD1" s="224"/>
      <c r="AE1" s="225"/>
      <c r="AF1" s="224"/>
      <c r="AG1" s="225"/>
      <c r="AH1" s="581"/>
      <c r="AI1" s="581"/>
      <c r="AJ1" s="283" t="s">
        <v>248</v>
      </c>
      <c r="AK1" s="218"/>
      <c r="AL1" s="226" t="s">
        <v>44</v>
      </c>
      <c r="AM1" s="225"/>
      <c r="AQ1" s="582" t="s">
        <v>45</v>
      </c>
      <c r="AR1" s="583"/>
      <c r="AS1" s="583"/>
      <c r="AT1" s="583"/>
      <c r="AU1" s="583"/>
      <c r="AV1" s="583"/>
      <c r="AW1" s="583"/>
      <c r="AX1" s="58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 t="shared" ref="AN3:AN34" si="8"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9">IF(U3=0,0,AA3/U3)</f>
        <v>1611.9324999999999</v>
      </c>
      <c r="AR3" s="98">
        <f t="shared" ref="AR3:AR19" si="10">K3</f>
        <v>142.97999999999999</v>
      </c>
      <c r="AS3" s="98">
        <f t="shared" ref="AS3:AS97" si="11">IF(U3=0,0,AE3/U3)</f>
        <v>593.67499999999995</v>
      </c>
      <c r="AT3" s="98">
        <f t="shared" ref="AT3:AT97" si="12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3">IF(AQ3=0,0,AV3/AQ3)</f>
        <v>0.32734163619740991</v>
      </c>
      <c r="AX3" s="234">
        <f t="shared" ref="AX3" si="14">IF(AR3=0,0,AV3/AR3)</f>
        <v>3.6903946145599487</v>
      </c>
      <c r="AY3" s="99"/>
      <c r="AZ3" s="94">
        <f t="shared" ref="AZ3:AZ97" si="15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6">N4/3</f>
        <v>9.3333333333333339</v>
      </c>
      <c r="R4" s="92">
        <f t="shared" ref="R4:R67" si="17">U4/3</f>
        <v>13.333333333333334</v>
      </c>
      <c r="S4" s="93">
        <v>40</v>
      </c>
      <c r="T4" s="93">
        <v>0</v>
      </c>
      <c r="U4" s="92">
        <f t="shared" ref="U4:U67" si="18">S4+T4</f>
        <v>40</v>
      </c>
      <c r="V4" s="93">
        <v>22339.91</v>
      </c>
      <c r="W4" s="93">
        <v>0</v>
      </c>
      <c r="X4" s="92">
        <f t="shared" ref="X4:X67" si="19">V4+W4</f>
        <v>22339.91</v>
      </c>
      <c r="Y4" s="93">
        <v>26338.76</v>
      </c>
      <c r="Z4" s="93">
        <v>0</v>
      </c>
      <c r="AA4" s="92">
        <f t="shared" ref="AA4:AA67" si="20">Y4+Z4</f>
        <v>26338.76</v>
      </c>
      <c r="AB4" s="92">
        <f t="shared" ref="AB4:AB67" si="21">N4*O4*P4/100</f>
        <v>16422.28</v>
      </c>
      <c r="AC4" s="234">
        <f t="shared" ref="AC4:AC67" si="22">AA4/$AA$121</f>
        <v>0.20038836393305251</v>
      </c>
      <c r="AD4" s="92">
        <f t="shared" ref="AD4:AD67" si="23">U4*K4</f>
        <v>4923.6000000000004</v>
      </c>
      <c r="AE4" s="93">
        <v>9873.8299999999981</v>
      </c>
      <c r="AF4" s="234">
        <f t="shared" ref="AF4:AF67" si="24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5">IFERROR($AL$121*H4/$H$121,0)</f>
        <v>100.42657595289249</v>
      </c>
      <c r="AM4" s="93">
        <v>0</v>
      </c>
      <c r="AN4" s="325">
        <f t="shared" si="8"/>
        <v>1149.9591458628624</v>
      </c>
      <c r="AO4" s="95">
        <f t="shared" ref="AO4:AO67" si="26">AA4-AD4-AE4-AG4-AH4-AI4-AK4-AL4-AN4-AM4</f>
        <v>7028.1942781842426</v>
      </c>
      <c r="AP4" s="96"/>
      <c r="AQ4" s="97">
        <f t="shared" si="9"/>
        <v>658.46899999999994</v>
      </c>
      <c r="AR4" s="98">
        <f t="shared" si="10"/>
        <v>123.09</v>
      </c>
      <c r="AS4" s="98">
        <f t="shared" si="11"/>
        <v>246.84574999999995</v>
      </c>
      <c r="AT4" s="98">
        <f t="shared" si="12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5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6"/>
        <v>4.666666666666667</v>
      </c>
      <c r="R5" s="92">
        <f t="shared" si="17"/>
        <v>1.3333333333333333</v>
      </c>
      <c r="S5" s="93">
        <v>4</v>
      </c>
      <c r="T5" s="93">
        <v>0</v>
      </c>
      <c r="U5" s="92">
        <f t="shared" si="18"/>
        <v>4</v>
      </c>
      <c r="V5" s="93">
        <v>4437.1000000000004</v>
      </c>
      <c r="W5" s="93">
        <v>0</v>
      </c>
      <c r="X5" s="92">
        <f t="shared" si="19"/>
        <v>4437.1000000000004</v>
      </c>
      <c r="Y5" s="93">
        <v>5292.7800000000007</v>
      </c>
      <c r="Z5" s="93">
        <v>0</v>
      </c>
      <c r="AA5" s="92">
        <f t="shared" si="20"/>
        <v>5292.7800000000007</v>
      </c>
      <c r="AB5" s="92">
        <f t="shared" si="21"/>
        <v>8520.1200000000008</v>
      </c>
      <c r="AC5" s="234">
        <f t="shared" si="22"/>
        <v>4.0268088735292848E-2</v>
      </c>
      <c r="AD5" s="92">
        <f t="shared" si="23"/>
        <v>492.36</v>
      </c>
      <c r="AE5" s="93">
        <v>1957.9800000000005</v>
      </c>
      <c r="AF5" s="234">
        <f t="shared" si="24"/>
        <v>0.36993413669187086</v>
      </c>
      <c r="AG5" s="93">
        <v>746.67</v>
      </c>
      <c r="AH5" s="93"/>
      <c r="AI5" s="93"/>
      <c r="AJ5" s="93"/>
      <c r="AK5" s="93"/>
      <c r="AL5" s="122">
        <f t="shared" si="25"/>
        <v>209.48580886448633</v>
      </c>
      <c r="AM5" s="93">
        <v>0</v>
      </c>
      <c r="AN5" s="325">
        <f t="shared" si="8"/>
        <v>231.08456009470615</v>
      </c>
      <c r="AO5" s="95">
        <f t="shared" si="26"/>
        <v>1655.1996310408078</v>
      </c>
      <c r="AP5" s="96"/>
      <c r="AQ5" s="97">
        <f t="shared" si="9"/>
        <v>1323.1950000000002</v>
      </c>
      <c r="AR5" s="98">
        <f t="shared" si="10"/>
        <v>123.09</v>
      </c>
      <c r="AS5" s="98">
        <f t="shared" si="11"/>
        <v>489.49500000000012</v>
      </c>
      <c r="AT5" s="98">
        <f t="shared" si="12"/>
        <v>186.66749999999999</v>
      </c>
      <c r="AU5" s="98">
        <f t="shared" si="27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5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6"/>
        <v>2.6666666666666665</v>
      </c>
      <c r="R6" s="92">
        <f t="shared" si="17"/>
        <v>3.3333333333333335</v>
      </c>
      <c r="S6" s="93">
        <v>10</v>
      </c>
      <c r="T6" s="93">
        <v>0</v>
      </c>
      <c r="U6" s="92">
        <f t="shared" si="18"/>
        <v>10</v>
      </c>
      <c r="V6" s="93">
        <v>11415</v>
      </c>
      <c r="W6" s="93">
        <v>0</v>
      </c>
      <c r="X6" s="92">
        <f t="shared" si="19"/>
        <v>11415</v>
      </c>
      <c r="Y6" s="93">
        <v>13393</v>
      </c>
      <c r="Z6" s="93">
        <v>0</v>
      </c>
      <c r="AA6" s="92">
        <f t="shared" si="20"/>
        <v>13393</v>
      </c>
      <c r="AB6" s="92">
        <f t="shared" si="21"/>
        <v>5428</v>
      </c>
      <c r="AC6" s="234">
        <f t="shared" si="22"/>
        <v>0.10189550905795763</v>
      </c>
      <c r="AD6" s="92">
        <f t="shared" si="23"/>
        <v>1230.9000000000001</v>
      </c>
      <c r="AE6" s="93">
        <v>4937.93</v>
      </c>
      <c r="AF6" s="234">
        <f t="shared" si="24"/>
        <v>0.3686948405883671</v>
      </c>
      <c r="AG6" s="93">
        <v>1188.1600000000001</v>
      </c>
      <c r="AH6" s="93"/>
      <c r="AI6" s="93"/>
      <c r="AJ6" s="93"/>
      <c r="AK6" s="93"/>
      <c r="AL6" s="122">
        <f t="shared" si="25"/>
        <v>150.49598631336036</v>
      </c>
      <c r="AM6" s="93">
        <v>0</v>
      </c>
      <c r="AN6" s="325">
        <f t="shared" si="8"/>
        <v>584.74289756014775</v>
      </c>
      <c r="AO6" s="95">
        <f t="shared" si="26"/>
        <v>5300.7711161264924</v>
      </c>
      <c r="AP6" s="96"/>
      <c r="AQ6" s="97">
        <f t="shared" si="9"/>
        <v>1339.3</v>
      </c>
      <c r="AR6" s="98">
        <f t="shared" si="10"/>
        <v>123.09</v>
      </c>
      <c r="AS6" s="98">
        <f t="shared" si="11"/>
        <v>493.79300000000001</v>
      </c>
      <c r="AT6" s="98">
        <f t="shared" si="12"/>
        <v>118.816</v>
      </c>
      <c r="AU6" s="98">
        <f t="shared" si="27"/>
        <v>0</v>
      </c>
      <c r="AV6" s="98">
        <f t="array" ref="AV6">_xlfn.IFS(U6=0,AO6,U6&lt;0,AO6/-U6,U6&gt;0,AO6/U6)</f>
        <v>530.07711161264922</v>
      </c>
      <c r="AW6" s="234">
        <f t="shared" ref="AW6" si="30">IF(AQ6=0,0,AV6/AQ6)</f>
        <v>0.39578668827943647</v>
      </c>
      <c r="AX6" s="234">
        <f t="shared" ref="AX6" si="31">IF(AR6=0,0,AV6/AR6)</f>
        <v>4.3064189748366983</v>
      </c>
      <c r="AY6" s="99"/>
      <c r="AZ6" s="94">
        <f t="shared" si="15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6"/>
        <v>1.3333333333333333</v>
      </c>
      <c r="R7" s="92">
        <f t="shared" si="17"/>
        <v>0.66666666666666663</v>
      </c>
      <c r="S7" s="93">
        <v>2</v>
      </c>
      <c r="T7" s="93">
        <v>0</v>
      </c>
      <c r="U7" s="92">
        <f t="shared" si="18"/>
        <v>2</v>
      </c>
      <c r="V7" s="93">
        <v>2119</v>
      </c>
      <c r="W7" s="93">
        <v>0</v>
      </c>
      <c r="X7" s="92">
        <f t="shared" si="19"/>
        <v>2119</v>
      </c>
      <c r="Y7" s="93">
        <v>2548</v>
      </c>
      <c r="Z7" s="93">
        <v>0</v>
      </c>
      <c r="AA7" s="92">
        <f t="shared" si="20"/>
        <v>2548</v>
      </c>
      <c r="AB7" s="92">
        <f t="shared" si="21"/>
        <v>1274</v>
      </c>
      <c r="AC7" s="234">
        <f t="shared" si="22"/>
        <v>1.9385481750143811E-2</v>
      </c>
      <c r="AD7" s="92">
        <f t="shared" si="23"/>
        <v>234.48</v>
      </c>
      <c r="AE7" s="93">
        <v>938.44</v>
      </c>
      <c r="AF7" s="234">
        <f t="shared" si="24"/>
        <v>0.3683045525902669</v>
      </c>
      <c r="AG7" s="93">
        <v>478.27</v>
      </c>
      <c r="AH7" s="93"/>
      <c r="AI7" s="93"/>
      <c r="AJ7" s="93"/>
      <c r="AK7" s="93"/>
      <c r="AL7" s="122">
        <f t="shared" si="25"/>
        <v>126.90005729291001</v>
      </c>
      <c r="AM7" s="93">
        <v>0</v>
      </c>
      <c r="AN7" s="325">
        <f t="shared" si="8"/>
        <v>111.24653945966226</v>
      </c>
      <c r="AO7" s="95">
        <f t="shared" si="26"/>
        <v>658.66340324742771</v>
      </c>
      <c r="AP7" s="96"/>
      <c r="AQ7" s="97">
        <f t="shared" si="9"/>
        <v>1274</v>
      </c>
      <c r="AR7" s="98">
        <f t="shared" si="10"/>
        <v>117.24</v>
      </c>
      <c r="AS7" s="98">
        <f t="shared" si="11"/>
        <v>469.22</v>
      </c>
      <c r="AT7" s="98">
        <f t="shared" si="12"/>
        <v>239.13499999999999</v>
      </c>
      <c r="AU7" s="98">
        <f t="shared" si="27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5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6"/>
        <v>2.6666666666666665</v>
      </c>
      <c r="R8" s="92">
        <f t="shared" si="17"/>
        <v>0.66666666666666663</v>
      </c>
      <c r="S8" s="93">
        <v>4</v>
      </c>
      <c r="T8" s="93">
        <v>-2</v>
      </c>
      <c r="U8" s="92">
        <f t="shared" si="18"/>
        <v>2</v>
      </c>
      <c r="V8" s="93">
        <v>6147</v>
      </c>
      <c r="W8" s="93">
        <v>-3180</v>
      </c>
      <c r="X8" s="92">
        <f t="shared" si="19"/>
        <v>2967</v>
      </c>
      <c r="Y8" s="93">
        <v>7200</v>
      </c>
      <c r="Z8" s="93">
        <v>-3600</v>
      </c>
      <c r="AA8" s="92">
        <f t="shared" si="20"/>
        <v>3600</v>
      </c>
      <c r="AB8" s="92">
        <f t="shared" si="21"/>
        <v>7200</v>
      </c>
      <c r="AC8" s="234">
        <f t="shared" si="22"/>
        <v>2.7389220683091728E-2</v>
      </c>
      <c r="AD8" s="92">
        <f t="shared" si="23"/>
        <v>339.78</v>
      </c>
      <c r="AE8" s="93">
        <v>1325.38</v>
      </c>
      <c r="AF8" s="234">
        <f t="shared" si="24"/>
        <v>0.36816111111111116</v>
      </c>
      <c r="AG8" s="93">
        <v>632.66999999999996</v>
      </c>
      <c r="AH8" s="93"/>
      <c r="AI8" s="93"/>
      <c r="AJ8" s="93"/>
      <c r="AK8" s="93"/>
      <c r="AL8" s="122">
        <f t="shared" si="25"/>
        <v>143.01435028248585</v>
      </c>
      <c r="AM8" s="93">
        <v>0</v>
      </c>
      <c r="AN8" s="325">
        <f t="shared" si="8"/>
        <v>314.35442861443028</v>
      </c>
      <c r="AO8" s="95">
        <f t="shared" si="26"/>
        <v>844.801221103084</v>
      </c>
      <c r="AP8" s="96"/>
      <c r="AQ8" s="97">
        <f t="shared" si="9"/>
        <v>1800</v>
      </c>
      <c r="AR8" s="98">
        <f t="shared" si="10"/>
        <v>169.89</v>
      </c>
      <c r="AS8" s="98">
        <f t="shared" si="11"/>
        <v>662.69</v>
      </c>
      <c r="AT8" s="98">
        <f t="shared" si="12"/>
        <v>158.16749999999999</v>
      </c>
      <c r="AU8" s="98">
        <f t="shared" si="27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5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6"/>
        <v>5</v>
      </c>
      <c r="R9" s="92">
        <f t="shared" si="17"/>
        <v>3.6666666666666665</v>
      </c>
      <c r="S9" s="93">
        <v>11</v>
      </c>
      <c r="T9" s="93">
        <v>0</v>
      </c>
      <c r="U9" s="92">
        <f t="shared" si="18"/>
        <v>11</v>
      </c>
      <c r="V9" s="93">
        <v>12843</v>
      </c>
      <c r="W9" s="93">
        <v>0</v>
      </c>
      <c r="X9" s="92">
        <f t="shared" si="19"/>
        <v>12843</v>
      </c>
      <c r="Y9" s="93">
        <v>15015</v>
      </c>
      <c r="Z9" s="93">
        <v>0</v>
      </c>
      <c r="AA9" s="92">
        <f t="shared" si="20"/>
        <v>15015</v>
      </c>
      <c r="AB9" s="92">
        <f t="shared" si="21"/>
        <v>12285</v>
      </c>
      <c r="AC9" s="234">
        <f t="shared" si="22"/>
        <v>0.11423587459906175</v>
      </c>
      <c r="AD9" s="92">
        <f t="shared" si="23"/>
        <v>1353.99</v>
      </c>
      <c r="AE9" s="93">
        <v>5519.98</v>
      </c>
      <c r="AF9" s="234">
        <f t="shared" si="24"/>
        <v>0.36763103563103561</v>
      </c>
      <c r="AG9" s="93">
        <v>1089.07</v>
      </c>
      <c r="AH9" s="93"/>
      <c r="AI9" s="93"/>
      <c r="AJ9" s="93"/>
      <c r="AK9" s="93"/>
      <c r="AL9" s="122">
        <f t="shared" si="25"/>
        <v>118.26740033420863</v>
      </c>
      <c r="AM9" s="93">
        <v>0</v>
      </c>
      <c r="AN9" s="325">
        <f t="shared" si="8"/>
        <v>655.55996467300974</v>
      </c>
      <c r="AO9" s="95">
        <f t="shared" si="26"/>
        <v>6278.1326349927822</v>
      </c>
      <c r="AP9" s="96"/>
      <c r="AQ9" s="97">
        <f t="shared" si="9"/>
        <v>1365</v>
      </c>
      <c r="AR9" s="98">
        <f t="shared" si="10"/>
        <v>123.09</v>
      </c>
      <c r="AS9" s="98">
        <f t="shared" si="11"/>
        <v>501.81636363636358</v>
      </c>
      <c r="AT9" s="98">
        <f t="shared" si="12"/>
        <v>99.006363636363631</v>
      </c>
      <c r="AU9" s="98">
        <f t="shared" si="27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5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6"/>
        <v>0</v>
      </c>
      <c r="R10" s="92">
        <f t="shared" si="17"/>
        <v>0.33333333333333331</v>
      </c>
      <c r="S10" s="93">
        <v>1</v>
      </c>
      <c r="T10" s="93">
        <v>0</v>
      </c>
      <c r="U10" s="92">
        <f t="shared" si="18"/>
        <v>1</v>
      </c>
      <c r="V10" s="93">
        <v>1152.78</v>
      </c>
      <c r="W10" s="93">
        <v>0</v>
      </c>
      <c r="X10" s="92">
        <f t="shared" si="19"/>
        <v>1152.78</v>
      </c>
      <c r="Y10" s="93">
        <v>1339.96</v>
      </c>
      <c r="Z10" s="93">
        <v>0</v>
      </c>
      <c r="AA10" s="92">
        <f t="shared" si="20"/>
        <v>1339.96</v>
      </c>
      <c r="AB10" s="92">
        <f t="shared" si="21"/>
        <v>0</v>
      </c>
      <c r="AC10" s="234">
        <f t="shared" si="22"/>
        <v>1.0194572262920998E-2</v>
      </c>
      <c r="AD10" s="92">
        <f t="shared" si="23"/>
        <v>123.09</v>
      </c>
      <c r="AE10" s="93">
        <v>498.63</v>
      </c>
      <c r="AF10" s="234">
        <f t="shared" si="24"/>
        <v>0.37212304844920741</v>
      </c>
      <c r="AG10" s="93">
        <v>176.94</v>
      </c>
      <c r="AH10" s="93"/>
      <c r="AI10" s="93"/>
      <c r="AJ10" s="93"/>
      <c r="AK10" s="93"/>
      <c r="AL10" s="122">
        <f t="shared" si="25"/>
        <v>138.41026657117848</v>
      </c>
      <c r="AM10" s="93">
        <v>0</v>
      </c>
      <c r="AN10" s="325">
        <f t="shared" si="8"/>
        <v>58.503105578637772</v>
      </c>
      <c r="AO10" s="95">
        <f t="shared" si="26"/>
        <v>344.38662785018397</v>
      </c>
      <c r="AP10" s="96"/>
      <c r="AQ10" s="97">
        <f t="shared" si="9"/>
        <v>1339.96</v>
      </c>
      <c r="AR10" s="98">
        <f t="shared" si="10"/>
        <v>123.09</v>
      </c>
      <c r="AS10" s="98">
        <f t="shared" si="11"/>
        <v>498.63</v>
      </c>
      <c r="AT10" s="98">
        <f t="shared" si="12"/>
        <v>176.94</v>
      </c>
      <c r="AU10" s="98">
        <f t="shared" si="27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5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6"/>
        <v>0.66666666666666663</v>
      </c>
      <c r="R11" s="92">
        <f t="shared" si="17"/>
        <v>1.3333333333333333</v>
      </c>
      <c r="S11" s="93">
        <v>5</v>
      </c>
      <c r="T11" s="93">
        <v>-1</v>
      </c>
      <c r="U11" s="92">
        <f t="shared" si="18"/>
        <v>4</v>
      </c>
      <c r="V11" s="93">
        <v>5246</v>
      </c>
      <c r="W11" s="93">
        <v>-992</v>
      </c>
      <c r="X11" s="92">
        <f t="shared" si="19"/>
        <v>4254</v>
      </c>
      <c r="Y11" s="93">
        <v>5985</v>
      </c>
      <c r="Z11" s="93">
        <v>-1197</v>
      </c>
      <c r="AA11" s="92">
        <f t="shared" si="20"/>
        <v>4788</v>
      </c>
      <c r="AB11" s="92">
        <f t="shared" si="21"/>
        <v>0</v>
      </c>
      <c r="AC11" s="234">
        <f t="shared" si="22"/>
        <v>3.6427663508511995E-2</v>
      </c>
      <c r="AD11" s="92">
        <f t="shared" si="23"/>
        <v>492.36</v>
      </c>
      <c r="AE11" s="93">
        <v>1752.54</v>
      </c>
      <c r="AF11" s="234">
        <f t="shared" si="24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5"/>
        <v>145.02863690618284</v>
      </c>
      <c r="AM11" s="93">
        <v>0</v>
      </c>
      <c r="AN11" s="325">
        <f t="shared" si="8"/>
        <v>261.30711878574516</v>
      </c>
      <c r="AO11" s="95">
        <f t="shared" si="26"/>
        <v>1262.1442443080725</v>
      </c>
      <c r="AP11" s="96"/>
      <c r="AQ11" s="97">
        <f t="shared" si="9"/>
        <v>1197</v>
      </c>
      <c r="AR11" s="98">
        <f t="shared" si="10"/>
        <v>123.09</v>
      </c>
      <c r="AS11" s="98">
        <f t="shared" si="11"/>
        <v>438.13499999999999</v>
      </c>
      <c r="AT11" s="98">
        <f t="shared" si="12"/>
        <v>174.92399999999998</v>
      </c>
      <c r="AU11" s="98">
        <f t="shared" si="27"/>
        <v>0</v>
      </c>
      <c r="AV11" s="98">
        <f t="array" ref="AV11">_xlfn.IFS(U11=0,AO11,U11&lt;0,AO11/-U11,U11&gt;0,AO11/U11)</f>
        <v>315.53606107701813</v>
      </c>
      <c r="AW11" s="234">
        <f t="shared" ref="AW11:AW28" si="34">IF(AQ11=0,0,AV11/AQ11)</f>
        <v>0.26360573189391656</v>
      </c>
      <c r="AX11" s="234">
        <f t="shared" ref="AX11:AX28" si="35">IF(AR11=0,0,AV11/AR11)</f>
        <v>2.5634581288245846</v>
      </c>
      <c r="AY11" s="99"/>
      <c r="AZ11" s="94">
        <f t="shared" si="15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6"/>
        <v>1.6666666666666667</v>
      </c>
      <c r="R12" s="92">
        <f t="shared" si="17"/>
        <v>1.6666666666666667</v>
      </c>
      <c r="S12" s="93">
        <v>5</v>
      </c>
      <c r="T12" s="93">
        <v>0</v>
      </c>
      <c r="U12" s="92">
        <f t="shared" si="18"/>
        <v>5</v>
      </c>
      <c r="V12" s="93">
        <v>4676</v>
      </c>
      <c r="W12" s="93">
        <v>0</v>
      </c>
      <c r="X12" s="92">
        <f t="shared" si="19"/>
        <v>4676</v>
      </c>
      <c r="Y12" s="93">
        <v>5596.66</v>
      </c>
      <c r="Z12" s="93">
        <v>0</v>
      </c>
      <c r="AA12" s="92">
        <f t="shared" si="20"/>
        <v>5596.66</v>
      </c>
      <c r="AB12" s="92">
        <f t="shared" si="21"/>
        <v>3426</v>
      </c>
      <c r="AC12" s="234">
        <f t="shared" si="22"/>
        <v>4.2580043285620039E-2</v>
      </c>
      <c r="AD12" s="92">
        <f t="shared" si="23"/>
        <v>586.19999999999993</v>
      </c>
      <c r="AE12" s="93">
        <v>2061.6499999999996</v>
      </c>
      <c r="AF12" s="234">
        <f t="shared" si="24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5"/>
        <v>160.85517466380202</v>
      </c>
      <c r="AM12" s="93">
        <v>0</v>
      </c>
      <c r="AN12" s="325">
        <f t="shared" si="8"/>
        <v>244.35206339572738</v>
      </c>
      <c r="AO12" s="95">
        <f t="shared" si="26"/>
        <v>1738.2027619404714</v>
      </c>
      <c r="AP12" s="96"/>
      <c r="AQ12" s="97">
        <f t="shared" si="9"/>
        <v>1119.3319999999999</v>
      </c>
      <c r="AR12" s="98">
        <f t="shared" si="10"/>
        <v>117.24</v>
      </c>
      <c r="AS12" s="98">
        <f t="shared" si="11"/>
        <v>412.32999999999993</v>
      </c>
      <c r="AT12" s="98">
        <f t="shared" si="12"/>
        <v>161.07999999999998</v>
      </c>
      <c r="AU12" s="98">
        <f t="shared" si="27"/>
        <v>0</v>
      </c>
      <c r="AV12" s="98">
        <f t="array" ref="AV12">_xlfn.IFS(U12=0,AO12,U12&lt;0,AO12/-U12,U12&gt;0,AO12/U12)</f>
        <v>347.64055238809431</v>
      </c>
      <c r="AW12" s="234">
        <f t="shared" si="34"/>
        <v>0.31057858829024304</v>
      </c>
      <c r="AX12" s="234">
        <f t="shared" si="35"/>
        <v>2.9652043021843597</v>
      </c>
      <c r="AY12" s="99"/>
      <c r="AZ12" s="94">
        <f t="shared" si="15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6"/>
        <v>2.3333333333333335</v>
      </c>
      <c r="R13" s="92">
        <f t="shared" si="17"/>
        <v>0.66666666666666663</v>
      </c>
      <c r="S13" s="93">
        <v>2</v>
      </c>
      <c r="T13" s="93">
        <v>0</v>
      </c>
      <c r="U13" s="92">
        <f t="shared" si="18"/>
        <v>2</v>
      </c>
      <c r="V13" s="93">
        <v>2447</v>
      </c>
      <c r="W13" s="93">
        <v>0</v>
      </c>
      <c r="X13" s="92">
        <f t="shared" si="19"/>
        <v>2447</v>
      </c>
      <c r="Y13" s="93">
        <v>2772</v>
      </c>
      <c r="Z13" s="93">
        <v>0</v>
      </c>
      <c r="AA13" s="92">
        <f t="shared" si="20"/>
        <v>2772</v>
      </c>
      <c r="AB13" s="92">
        <f t="shared" si="21"/>
        <v>9702</v>
      </c>
      <c r="AC13" s="234">
        <f t="shared" si="22"/>
        <v>2.1089699925980629E-2</v>
      </c>
      <c r="AD13" s="92">
        <f t="shared" si="23"/>
        <v>246.18</v>
      </c>
      <c r="AE13" s="93">
        <v>1023.6199999999999</v>
      </c>
      <c r="AF13" s="234">
        <f t="shared" si="24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5"/>
        <v>183.875593220339</v>
      </c>
      <c r="AM13" s="93">
        <v>0</v>
      </c>
      <c r="AN13" s="325">
        <f t="shared" si="8"/>
        <v>121.02645501655566</v>
      </c>
      <c r="AO13" s="95">
        <f t="shared" si="26"/>
        <v>821.25795176310567</v>
      </c>
      <c r="AP13" s="96"/>
      <c r="AQ13" s="97">
        <f t="shared" si="9"/>
        <v>1386</v>
      </c>
      <c r="AR13" s="98">
        <f t="shared" si="10"/>
        <v>123.09</v>
      </c>
      <c r="AS13" s="98">
        <f t="shared" si="11"/>
        <v>511.80999999999995</v>
      </c>
      <c r="AT13" s="98">
        <f t="shared" si="12"/>
        <v>188.01999999999998</v>
      </c>
      <c r="AU13" s="98">
        <f t="shared" si="27"/>
        <v>0</v>
      </c>
      <c r="AV13" s="98">
        <f t="array" ref="AV13">_xlfn.IFS(U13=0,AO13,U13&lt;0,AO13/-U13,U13&gt;0,AO13/U13)</f>
        <v>410.62897588155283</v>
      </c>
      <c r="AW13" s="234">
        <f t="shared" si="34"/>
        <v>0.29626910236764276</v>
      </c>
      <c r="AX13" s="234">
        <f t="shared" si="35"/>
        <v>3.3360059784024112</v>
      </c>
      <c r="AY13" s="99"/>
      <c r="AZ13" s="94">
        <f t="shared" si="15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6"/>
        <v>0.33333333333333331</v>
      </c>
      <c r="R14" s="92">
        <f t="shared" si="17"/>
        <v>0.66666666666666663</v>
      </c>
      <c r="S14" s="93">
        <v>2</v>
      </c>
      <c r="T14" s="93">
        <v>0</v>
      </c>
      <c r="U14" s="92">
        <f t="shared" si="18"/>
        <v>2</v>
      </c>
      <c r="V14" s="93">
        <v>2249</v>
      </c>
      <c r="W14" s="93">
        <v>0</v>
      </c>
      <c r="X14" s="92">
        <f t="shared" si="19"/>
        <v>2249</v>
      </c>
      <c r="Y14" s="93">
        <v>2618</v>
      </c>
      <c r="Z14" s="93">
        <v>0</v>
      </c>
      <c r="AA14" s="92">
        <f t="shared" si="20"/>
        <v>2618</v>
      </c>
      <c r="AB14" s="92">
        <f t="shared" si="21"/>
        <v>0</v>
      </c>
      <c r="AC14" s="234">
        <f t="shared" si="22"/>
        <v>1.9918049930092819E-2</v>
      </c>
      <c r="AD14" s="92">
        <f t="shared" si="23"/>
        <v>246.18</v>
      </c>
      <c r="AE14" s="93">
        <v>965.57000000000016</v>
      </c>
      <c r="AF14" s="234">
        <f t="shared" si="24"/>
        <v>0.36881970970206268</v>
      </c>
      <c r="AG14" s="93">
        <v>215.76</v>
      </c>
      <c r="AH14" s="93"/>
      <c r="AI14" s="93"/>
      <c r="AJ14" s="93"/>
      <c r="AK14" s="93"/>
      <c r="AL14" s="122">
        <f t="shared" si="25"/>
        <v>148.76945492162011</v>
      </c>
      <c r="AM14" s="93">
        <v>0</v>
      </c>
      <c r="AN14" s="325">
        <f t="shared" si="8"/>
        <v>114.30276307119145</v>
      </c>
      <c r="AO14" s="95">
        <f t="shared" si="26"/>
        <v>927.41778200718852</v>
      </c>
      <c r="AP14" s="96"/>
      <c r="AQ14" s="97">
        <f t="shared" si="9"/>
        <v>1309</v>
      </c>
      <c r="AR14" s="98">
        <f t="shared" si="10"/>
        <v>123.09</v>
      </c>
      <c r="AS14" s="98">
        <f t="shared" si="11"/>
        <v>482.78500000000008</v>
      </c>
      <c r="AT14" s="98">
        <f t="shared" si="12"/>
        <v>107.88</v>
      </c>
      <c r="AU14" s="98">
        <f t="shared" si="27"/>
        <v>0</v>
      </c>
      <c r="AV14" s="98">
        <f t="array" ref="AV14">_xlfn.IFS(U14=0,AO14,U14&lt;0,AO14/-U14,U14&gt;0,AO14/U14)</f>
        <v>463.70889100359426</v>
      </c>
      <c r="AW14" s="234">
        <f t="shared" si="34"/>
        <v>0.35424666997982757</v>
      </c>
      <c r="AX14" s="234">
        <f t="shared" si="35"/>
        <v>3.7672344707416872</v>
      </c>
      <c r="AY14" s="99"/>
      <c r="AZ14" s="94">
        <f t="shared" si="15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6"/>
        <v>0</v>
      </c>
      <c r="R15" s="92">
        <f t="shared" si="17"/>
        <v>-0.33333333333333331</v>
      </c>
      <c r="S15" s="93">
        <v>0</v>
      </c>
      <c r="T15" s="93">
        <v>-1</v>
      </c>
      <c r="U15" s="92">
        <f t="shared" si="18"/>
        <v>-1</v>
      </c>
      <c r="V15" s="93">
        <v>0</v>
      </c>
      <c r="W15" s="93">
        <v>-1161</v>
      </c>
      <c r="X15" s="92">
        <f t="shared" si="19"/>
        <v>-1161</v>
      </c>
      <c r="Y15" s="93">
        <v>0</v>
      </c>
      <c r="Z15" s="93">
        <v>-1533</v>
      </c>
      <c r="AA15" s="92">
        <f t="shared" si="20"/>
        <v>-1533</v>
      </c>
      <c r="AB15" s="92">
        <f t="shared" si="21"/>
        <v>0</v>
      </c>
      <c r="AC15" s="234">
        <f t="shared" si="22"/>
        <v>-1.1663243140883227E-2</v>
      </c>
      <c r="AD15" s="92">
        <f t="shared" si="23"/>
        <v>-123.09</v>
      </c>
      <c r="AE15" s="93">
        <v>-562.42999999999995</v>
      </c>
      <c r="AF15" s="234">
        <f t="shared" si="24"/>
        <v>0.36688193085453358</v>
      </c>
      <c r="AG15" s="93">
        <v>245.58</v>
      </c>
      <c r="AH15" s="93"/>
      <c r="AI15" s="93"/>
      <c r="AJ15" s="93"/>
      <c r="AK15" s="93"/>
      <c r="AL15" s="122">
        <f t="shared" si="25"/>
        <v>177.25722288533461</v>
      </c>
      <c r="AM15" s="93">
        <v>0</v>
      </c>
      <c r="AN15" s="325">
        <f t="shared" si="8"/>
        <v>0</v>
      </c>
      <c r="AO15" s="95">
        <f t="shared" si="26"/>
        <v>-1270.3172228853348</v>
      </c>
      <c r="AP15" s="96"/>
      <c r="AQ15" s="97">
        <f t="shared" si="9"/>
        <v>1533</v>
      </c>
      <c r="AR15" s="98">
        <f t="shared" si="10"/>
        <v>123.09</v>
      </c>
      <c r="AS15" s="98">
        <f t="shared" si="11"/>
        <v>562.42999999999995</v>
      </c>
      <c r="AT15" s="98">
        <f t="shared" si="12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5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6"/>
        <v>0.66666666666666663</v>
      </c>
      <c r="R16" s="92">
        <f t="shared" si="17"/>
        <v>1.3333333333333333</v>
      </c>
      <c r="S16" s="93">
        <v>4</v>
      </c>
      <c r="T16" s="93">
        <v>0</v>
      </c>
      <c r="U16" s="92">
        <f t="shared" si="18"/>
        <v>4</v>
      </c>
      <c r="V16" s="93">
        <v>4322.38</v>
      </c>
      <c r="W16" s="93">
        <v>0</v>
      </c>
      <c r="X16" s="92">
        <f t="shared" si="19"/>
        <v>4322.38</v>
      </c>
      <c r="Y16" s="93">
        <v>5112.1099999999997</v>
      </c>
      <c r="Z16" s="93">
        <v>0</v>
      </c>
      <c r="AA16" s="92">
        <f t="shared" si="20"/>
        <v>5112.1099999999997</v>
      </c>
      <c r="AB16" s="92">
        <f t="shared" si="21"/>
        <v>1278</v>
      </c>
      <c r="AC16" s="234">
        <f t="shared" si="22"/>
        <v>3.8893530262844457E-2</v>
      </c>
      <c r="AD16" s="92">
        <f t="shared" si="23"/>
        <v>468.96</v>
      </c>
      <c r="AE16" s="93">
        <v>1881.9199999999996</v>
      </c>
      <c r="AF16" s="234">
        <f t="shared" si="24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5"/>
        <v>88.628611442667307</v>
      </c>
      <c r="AM16" s="93">
        <v>0</v>
      </c>
      <c r="AN16" s="325">
        <f t="shared" si="8"/>
        <v>223.19644695334929</v>
      </c>
      <c r="AO16" s="95">
        <f t="shared" si="26"/>
        <v>1781.1349416039834</v>
      </c>
      <c r="AP16" s="96"/>
      <c r="AQ16" s="97">
        <f t="shared" si="9"/>
        <v>1278.0274999999999</v>
      </c>
      <c r="AR16" s="98">
        <f t="shared" si="10"/>
        <v>117.24</v>
      </c>
      <c r="AS16" s="98">
        <f t="shared" si="11"/>
        <v>470.4799999999999</v>
      </c>
      <c r="AT16" s="98">
        <f t="shared" si="12"/>
        <v>167.06750000000002</v>
      </c>
      <c r="AU16" s="98">
        <f t="shared" si="27"/>
        <v>0</v>
      </c>
      <c r="AV16" s="98">
        <f t="array" ref="AV16">_xlfn.IFS(U16=0,AO16,U16&lt;0,AO16/-U16,U16&gt;0,AO16/U16)</f>
        <v>445.28373540099585</v>
      </c>
      <c r="AW16" s="234">
        <f t="shared" si="34"/>
        <v>0.34841483098055082</v>
      </c>
      <c r="AX16" s="234">
        <f t="shared" si="35"/>
        <v>3.7980530143380746</v>
      </c>
      <c r="AY16" s="99"/>
      <c r="AZ16" s="94">
        <f t="shared" si="15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6"/>
        <v>1.3333333333333333</v>
      </c>
      <c r="R17" s="92">
        <f t="shared" si="17"/>
        <v>2</v>
      </c>
      <c r="S17" s="93">
        <v>6</v>
      </c>
      <c r="T17" s="93">
        <v>0</v>
      </c>
      <c r="U17" s="92">
        <f t="shared" si="18"/>
        <v>6</v>
      </c>
      <c r="V17" s="93">
        <v>6242</v>
      </c>
      <c r="W17" s="93">
        <v>0</v>
      </c>
      <c r="X17" s="92">
        <f t="shared" si="19"/>
        <v>6242</v>
      </c>
      <c r="Y17" s="93">
        <v>7176</v>
      </c>
      <c r="Z17" s="93">
        <v>0</v>
      </c>
      <c r="AA17" s="92">
        <f t="shared" si="20"/>
        <v>7176</v>
      </c>
      <c r="AB17" s="92">
        <f t="shared" si="21"/>
        <v>2392</v>
      </c>
      <c r="AC17" s="234">
        <f t="shared" si="22"/>
        <v>5.459584656162951E-2</v>
      </c>
      <c r="AD17" s="92">
        <f t="shared" si="23"/>
        <v>738.54</v>
      </c>
      <c r="AE17" s="93">
        <v>2618.2299999999996</v>
      </c>
      <c r="AF17" s="234">
        <f t="shared" si="24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5"/>
        <v>27.33674703588764</v>
      </c>
      <c r="AM17" s="93">
        <v>0</v>
      </c>
      <c r="AN17" s="325">
        <f t="shared" si="8"/>
        <v>313.30658051904885</v>
      </c>
      <c r="AO17" s="95">
        <f t="shared" si="26"/>
        <v>2768.3166724450639</v>
      </c>
      <c r="AP17" s="96"/>
      <c r="AQ17" s="97">
        <f t="shared" si="9"/>
        <v>1196</v>
      </c>
      <c r="AR17" s="98">
        <f t="shared" si="10"/>
        <v>123.09</v>
      </c>
      <c r="AS17" s="98">
        <f t="shared" si="11"/>
        <v>436.37166666666661</v>
      </c>
      <c r="AT17" s="98">
        <f t="shared" si="12"/>
        <v>118.37833333333334</v>
      </c>
      <c r="AU17" s="98">
        <f t="shared" si="27"/>
        <v>0</v>
      </c>
      <c r="AV17" s="98">
        <f t="array" ref="AV17">_xlfn.IFS(U17=0,AO17,U17&lt;0,AO17/-U17,U17&gt;0,AO17/U17)</f>
        <v>461.38611207417733</v>
      </c>
      <c r="AW17" s="234">
        <f t="shared" si="34"/>
        <v>0.38577434119914494</v>
      </c>
      <c r="AX17" s="234">
        <f t="shared" si="35"/>
        <v>3.748363896938641</v>
      </c>
      <c r="AY17" s="99"/>
      <c r="AZ17" s="94">
        <f t="shared" si="15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6"/>
        <v>1</v>
      </c>
      <c r="R18" s="92">
        <f t="shared" si="17"/>
        <v>1.6666666666666667</v>
      </c>
      <c r="S18" s="93">
        <v>6</v>
      </c>
      <c r="T18" s="93">
        <v>-1</v>
      </c>
      <c r="U18" s="92">
        <f t="shared" si="18"/>
        <v>5</v>
      </c>
      <c r="V18" s="93">
        <v>6234.4</v>
      </c>
      <c r="W18" s="93">
        <v>-1076</v>
      </c>
      <c r="X18" s="92">
        <f t="shared" si="19"/>
        <v>5158.3999999999996</v>
      </c>
      <c r="Y18" s="93">
        <v>7140.84</v>
      </c>
      <c r="Z18" s="93">
        <v>-1196</v>
      </c>
      <c r="AA18" s="92">
        <f t="shared" si="20"/>
        <v>5944.84</v>
      </c>
      <c r="AB18" s="92">
        <f t="shared" si="21"/>
        <v>2403.96</v>
      </c>
      <c r="AC18" s="234">
        <f t="shared" si="22"/>
        <v>4.5229037412686399E-2</v>
      </c>
      <c r="AD18" s="92">
        <f t="shared" si="23"/>
        <v>615.45000000000005</v>
      </c>
      <c r="AE18" s="93">
        <v>2160.6900000000005</v>
      </c>
      <c r="AF18" s="234">
        <f t="shared" si="24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5"/>
        <v>105.03065966419987</v>
      </c>
      <c r="AM18" s="93">
        <v>0</v>
      </c>
      <c r="AN18" s="325">
        <f t="shared" si="8"/>
        <v>311.77148305931507</v>
      </c>
      <c r="AO18" s="95">
        <f t="shared" si="26"/>
        <v>2115.9778572764849</v>
      </c>
      <c r="AP18" s="96"/>
      <c r="AQ18" s="97">
        <f t="shared" si="9"/>
        <v>1188.9680000000001</v>
      </c>
      <c r="AR18" s="98">
        <f t="shared" si="10"/>
        <v>123.09</v>
      </c>
      <c r="AS18" s="98">
        <f t="shared" si="11"/>
        <v>432.13800000000009</v>
      </c>
      <c r="AT18" s="98">
        <f t="shared" si="12"/>
        <v>105.98666666666668</v>
      </c>
      <c r="AU18" s="98">
        <f t="shared" si="27"/>
        <v>0</v>
      </c>
      <c r="AV18" s="98">
        <f t="array" ref="AV18">_xlfn.IFS(U18=0,AO18,U18&lt;0,AO18/-U18,U18&gt;0,AO18/U18)</f>
        <v>423.195571455297</v>
      </c>
      <c r="AW18" s="234">
        <f t="shared" si="34"/>
        <v>0.3559352072177695</v>
      </c>
      <c r="AX18" s="234">
        <f t="shared" si="35"/>
        <v>3.4380987200852791</v>
      </c>
      <c r="AY18" s="99"/>
      <c r="AZ18" s="94">
        <f t="shared" si="15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0.33333333333333331</v>
      </c>
      <c r="S20" s="93">
        <v>1</v>
      </c>
      <c r="T20" s="93">
        <v>0</v>
      </c>
      <c r="U20" s="92">
        <f t="shared" si="18"/>
        <v>1</v>
      </c>
      <c r="V20" s="93">
        <v>781</v>
      </c>
      <c r="W20" s="93">
        <v>0</v>
      </c>
      <c r="X20" s="92">
        <f t="shared" si="19"/>
        <v>781</v>
      </c>
      <c r="Y20" s="93">
        <v>918</v>
      </c>
      <c r="Z20" s="93">
        <v>0</v>
      </c>
      <c r="AA20" s="92">
        <f t="shared" si="20"/>
        <v>918</v>
      </c>
      <c r="AB20" s="92">
        <f t="shared" si="21"/>
        <v>0</v>
      </c>
      <c r="AC20" s="234">
        <f t="shared" si="22"/>
        <v>6.9842512741883902E-3</v>
      </c>
      <c r="AD20" s="92">
        <f t="shared" si="23"/>
        <v>117.24</v>
      </c>
      <c r="AE20" s="93">
        <v>347.03</v>
      </c>
      <c r="AF20" s="234">
        <f t="shared" si="24"/>
        <v>0.37802832244008711</v>
      </c>
      <c r="AG20" s="93">
        <v>45.84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40.080189648339854</v>
      </c>
      <c r="AO20" s="95">
        <f t="shared" si="26"/>
        <v>367.80981035166013</v>
      </c>
      <c r="AP20" s="96"/>
      <c r="AQ20" s="97">
        <f t="shared" si="9"/>
        <v>918</v>
      </c>
      <c r="AR20" s="98">
        <f>K20</f>
        <v>117.24</v>
      </c>
      <c r="AS20" s="98">
        <f t="shared" si="11"/>
        <v>347.03</v>
      </c>
      <c r="AT20" s="98">
        <f t="shared" si="12"/>
        <v>45.84</v>
      </c>
      <c r="AU20" s="98">
        <f t="shared" si="27"/>
        <v>0</v>
      </c>
      <c r="AV20" s="98">
        <f t="array" ref="AV20">_xlfn.IFS(U20=0,AO20,U20&lt;0,AO20/-U20,U20&gt;0,AO20/U20)</f>
        <v>367.80981035166013</v>
      </c>
      <c r="AW20" s="234">
        <f t="shared" si="34"/>
        <v>0.40066428142882365</v>
      </c>
      <c r="AX20" s="234">
        <f t="shared" si="35"/>
        <v>3.1372382322727752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0.28775523195671199</v>
      </c>
      <c r="AM21" s="93">
        <v>0</v>
      </c>
      <c r="AN21" s="325">
        <f t="shared" si="8"/>
        <v>0</v>
      </c>
      <c r="AO21" s="95">
        <f t="shared" si="26"/>
        <v>-0.28775523195671199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5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6"/>
        <v>0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0</v>
      </c>
      <c r="AH22" s="93"/>
      <c r="AI22" s="93"/>
      <c r="AJ22" s="93"/>
      <c r="AK22" s="93"/>
      <c r="AL22" s="122">
        <f t="shared" si="25"/>
        <v>0.86326569587013602</v>
      </c>
      <c r="AM22" s="93">
        <v>0</v>
      </c>
      <c r="AN22" s="325">
        <f t="shared" si="8"/>
        <v>0</v>
      </c>
      <c r="AO22" s="95">
        <f t="shared" si="26"/>
        <v>-0.86326569587013602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5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6"/>
        <v>0.33333333333333331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958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97.789999999999992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0</v>
      </c>
      <c r="AO24" s="95">
        <f t="shared" si="26"/>
        <v>-97.789999999999992</v>
      </c>
      <c r="AP24" s="96"/>
      <c r="AQ24" s="97">
        <f t="shared" si="9"/>
        <v>0</v>
      </c>
      <c r="AR24" s="98">
        <f t="shared" si="37"/>
        <v>117.24</v>
      </c>
      <c r="AS24" s="98">
        <f t="shared" si="11"/>
        <v>0</v>
      </c>
      <c r="AT24" s="98">
        <f t="shared" si="12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6"/>
        <v>0</v>
      </c>
      <c r="R25" s="92">
        <f t="shared" si="17"/>
        <v>0</v>
      </c>
      <c r="S25" s="93">
        <v>0</v>
      </c>
      <c r="T25" s="93">
        <v>0</v>
      </c>
      <c r="U25" s="92">
        <f t="shared" si="18"/>
        <v>0</v>
      </c>
      <c r="V25" s="93">
        <v>0</v>
      </c>
      <c r="W25" s="93">
        <v>0</v>
      </c>
      <c r="X25" s="92">
        <f t="shared" si="19"/>
        <v>0</v>
      </c>
      <c r="Y25" s="93">
        <v>0</v>
      </c>
      <c r="Z25" s="93">
        <v>0</v>
      </c>
      <c r="AA25" s="92">
        <f t="shared" si="20"/>
        <v>0</v>
      </c>
      <c r="AB25" s="92">
        <f t="shared" si="21"/>
        <v>0</v>
      </c>
      <c r="AC25" s="234">
        <f t="shared" si="22"/>
        <v>0</v>
      </c>
      <c r="AD25" s="92">
        <f t="shared" si="23"/>
        <v>0</v>
      </c>
      <c r="AE25" s="93">
        <v>0</v>
      </c>
      <c r="AF25" s="234">
        <f t="shared" si="24"/>
        <v>0</v>
      </c>
      <c r="AG25" s="93">
        <v>0</v>
      </c>
      <c r="AH25" s="93"/>
      <c r="AI25" s="93"/>
      <c r="AJ25" s="93"/>
      <c r="AK25" s="93"/>
      <c r="AL25" s="122">
        <f t="shared" si="25"/>
        <v>3.1653075515238323</v>
      </c>
      <c r="AM25" s="93">
        <v>0</v>
      </c>
      <c r="AN25" s="325">
        <f t="shared" si="8"/>
        <v>0</v>
      </c>
      <c r="AO25" s="95">
        <f t="shared" si="26"/>
        <v>-3.1653075515238323</v>
      </c>
      <c r="AP25" s="96"/>
      <c r="AQ25" s="97">
        <f t="shared" si="9"/>
        <v>0</v>
      </c>
      <c r="AR25" s="98">
        <f t="shared" si="37"/>
        <v>117.24</v>
      </c>
      <c r="AS25" s="98">
        <f t="shared" si="11"/>
        <v>0</v>
      </c>
      <c r="AT25" s="98">
        <f t="shared" si="12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5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6"/>
        <v>0</v>
      </c>
      <c r="R26" s="92">
        <f t="shared" si="17"/>
        <v>0</v>
      </c>
      <c r="S26" s="93">
        <v>0</v>
      </c>
      <c r="T26" s="93">
        <v>0</v>
      </c>
      <c r="U26" s="92">
        <f t="shared" si="18"/>
        <v>0</v>
      </c>
      <c r="V26" s="93">
        <v>0</v>
      </c>
      <c r="W26" s="93">
        <v>0</v>
      </c>
      <c r="X26" s="92">
        <f t="shared" si="19"/>
        <v>0</v>
      </c>
      <c r="Y26" s="93">
        <v>0</v>
      </c>
      <c r="Z26" s="93">
        <v>0</v>
      </c>
      <c r="AA26" s="92">
        <f t="shared" si="20"/>
        <v>0</v>
      </c>
      <c r="AB26" s="92">
        <f t="shared" si="21"/>
        <v>0</v>
      </c>
      <c r="AC26" s="234">
        <f t="shared" si="22"/>
        <v>0</v>
      </c>
      <c r="AD26" s="92">
        <f t="shared" si="23"/>
        <v>0</v>
      </c>
      <c r="AE26" s="93">
        <v>0</v>
      </c>
      <c r="AF26" s="234">
        <f t="shared" si="24"/>
        <v>0</v>
      </c>
      <c r="AG26" s="93">
        <v>0</v>
      </c>
      <c r="AH26" s="93"/>
      <c r="AI26" s="93"/>
      <c r="AJ26" s="93"/>
      <c r="AK26" s="93"/>
      <c r="AL26" s="122">
        <f t="shared" si="25"/>
        <v>117.69188987029521</v>
      </c>
      <c r="AM26" s="93">
        <v>0</v>
      </c>
      <c r="AN26" s="325">
        <f t="shared" si="8"/>
        <v>0</v>
      </c>
      <c r="AO26" s="95">
        <f t="shared" si="26"/>
        <v>-117.69188987029521</v>
      </c>
      <c r="AP26" s="96"/>
      <c r="AQ26" s="97">
        <f t="shared" si="9"/>
        <v>0</v>
      </c>
      <c r="AR26" s="98">
        <f t="shared" si="37"/>
        <v>123.09</v>
      </c>
      <c r="AS26" s="98">
        <f t="shared" si="11"/>
        <v>0</v>
      </c>
      <c r="AT26" s="98">
        <f t="shared" si="12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5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6"/>
        <v>0</v>
      </c>
      <c r="R27" s="92">
        <f t="shared" si="17"/>
        <v>0</v>
      </c>
      <c r="S27" s="93">
        <v>0</v>
      </c>
      <c r="T27" s="93">
        <v>0</v>
      </c>
      <c r="U27" s="92">
        <f t="shared" si="18"/>
        <v>0</v>
      </c>
      <c r="V27" s="93">
        <v>0</v>
      </c>
      <c r="W27" s="93">
        <v>0</v>
      </c>
      <c r="X27" s="92">
        <f t="shared" si="19"/>
        <v>0</v>
      </c>
      <c r="Y27" s="93">
        <v>0</v>
      </c>
      <c r="Z27" s="93">
        <v>0</v>
      </c>
      <c r="AA27" s="92">
        <f t="shared" si="20"/>
        <v>0</v>
      </c>
      <c r="AB27" s="92">
        <f t="shared" si="21"/>
        <v>0</v>
      </c>
      <c r="AC27" s="234">
        <f t="shared" si="22"/>
        <v>0</v>
      </c>
      <c r="AD27" s="92">
        <f t="shared" si="23"/>
        <v>0</v>
      </c>
      <c r="AE27" s="93">
        <v>0</v>
      </c>
      <c r="AF27" s="234">
        <f t="shared" si="24"/>
        <v>0</v>
      </c>
      <c r="AG27" s="93">
        <v>0</v>
      </c>
      <c r="AH27" s="93"/>
      <c r="AI27" s="93"/>
      <c r="AJ27" s="93"/>
      <c r="AK27" s="93"/>
      <c r="AL27" s="122">
        <f t="shared" si="25"/>
        <v>21.293887164796686</v>
      </c>
      <c r="AM27" s="93">
        <v>0</v>
      </c>
      <c r="AN27" s="325">
        <f t="shared" si="8"/>
        <v>0</v>
      </c>
      <c r="AO27" s="95">
        <f t="shared" si="26"/>
        <v>-21.293887164796686</v>
      </c>
      <c r="AP27" s="96"/>
      <c r="AQ27" s="97">
        <f t="shared" si="9"/>
        <v>0</v>
      </c>
      <c r="AR27" s="98">
        <f t="shared" si="37"/>
        <v>181.59</v>
      </c>
      <c r="AS27" s="98">
        <f t="shared" si="11"/>
        <v>0</v>
      </c>
      <c r="AT27" s="98">
        <f t="shared" si="12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5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6"/>
        <v>2.3333333333333335</v>
      </c>
      <c r="R28" s="92">
        <f t="shared" si="17"/>
        <v>1.6666666666666667</v>
      </c>
      <c r="S28" s="93">
        <v>5</v>
      </c>
      <c r="T28" s="93">
        <v>0</v>
      </c>
      <c r="U28" s="92">
        <f t="shared" si="18"/>
        <v>5</v>
      </c>
      <c r="V28" s="93">
        <v>4502</v>
      </c>
      <c r="W28" s="93">
        <v>0</v>
      </c>
      <c r="X28" s="92">
        <f t="shared" si="19"/>
        <v>4502</v>
      </c>
      <c r="Y28" s="93">
        <v>5632</v>
      </c>
      <c r="Z28" s="93">
        <v>0</v>
      </c>
      <c r="AA28" s="92">
        <f t="shared" si="20"/>
        <v>5632</v>
      </c>
      <c r="AB28" s="92">
        <f t="shared" si="21"/>
        <v>1291.6400000000001</v>
      </c>
      <c r="AC28" s="234">
        <f t="shared" si="22"/>
        <v>4.2848914135325725E-2</v>
      </c>
      <c r="AD28" s="92">
        <f t="shared" si="23"/>
        <v>668.1</v>
      </c>
      <c r="AE28" s="93">
        <v>1630.96</v>
      </c>
      <c r="AF28" s="234">
        <f t="shared" si="24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5"/>
        <v>219.55724198297128</v>
      </c>
      <c r="AM28" s="93">
        <v>0</v>
      </c>
      <c r="AN28" s="325">
        <f t="shared" si="8"/>
        <v>245.89501971617656</v>
      </c>
      <c r="AO28" s="95">
        <f t="shared" si="26"/>
        <v>2204.6677383008519</v>
      </c>
      <c r="AP28" s="96"/>
      <c r="AQ28" s="97">
        <f t="shared" si="9"/>
        <v>1126.4000000000001</v>
      </c>
      <c r="AR28" s="98">
        <f t="shared" si="37"/>
        <v>133.62</v>
      </c>
      <c r="AS28" s="98">
        <f t="shared" si="11"/>
        <v>326.19200000000001</v>
      </c>
      <c r="AT28" s="98">
        <f t="shared" si="12"/>
        <v>132.56399999999999</v>
      </c>
      <c r="AU28" s="98">
        <f t="shared" si="27"/>
        <v>0</v>
      </c>
      <c r="AV28" s="98">
        <f>_xlfn.IFS(U28=0,AO28,U28&lt;0,AO28/-U28,U28&gt;0,AO28/U28)</f>
        <v>440.93354766017035</v>
      </c>
      <c r="AW28" s="234">
        <f t="shared" si="34"/>
        <v>0.39145378876080461</v>
      </c>
      <c r="AX28" s="234">
        <f t="shared" si="35"/>
        <v>3.2999068078144762</v>
      </c>
      <c r="AY28" s="99"/>
      <c r="AZ28" s="94">
        <f t="shared" si="15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6"/>
        <v>0</v>
      </c>
      <c r="R29" s="92">
        <f t="shared" si="17"/>
        <v>0</v>
      </c>
      <c r="S29" s="93">
        <v>0</v>
      </c>
      <c r="T29" s="93">
        <v>0</v>
      </c>
      <c r="U29" s="92">
        <f t="shared" si="18"/>
        <v>0</v>
      </c>
      <c r="V29" s="93">
        <v>0</v>
      </c>
      <c r="W29" s="93">
        <v>0</v>
      </c>
      <c r="X29" s="92">
        <f t="shared" si="19"/>
        <v>0</v>
      </c>
      <c r="Y29" s="93">
        <v>0</v>
      </c>
      <c r="Z29" s="93">
        <v>0</v>
      </c>
      <c r="AA29" s="92">
        <f t="shared" si="20"/>
        <v>0</v>
      </c>
      <c r="AB29" s="92">
        <f t="shared" si="21"/>
        <v>0</v>
      </c>
      <c r="AC29" s="234">
        <f t="shared" si="22"/>
        <v>0</v>
      </c>
      <c r="AD29" s="92">
        <f t="shared" si="23"/>
        <v>0</v>
      </c>
      <c r="AE29" s="93">
        <v>0</v>
      </c>
      <c r="AF29" s="234">
        <f t="shared" si="24"/>
        <v>0</v>
      </c>
      <c r="AG29" s="93">
        <v>0</v>
      </c>
      <c r="AH29" s="93"/>
      <c r="AI29" s="93"/>
      <c r="AJ29" s="93"/>
      <c r="AK29" s="93"/>
      <c r="AL29" s="122">
        <f t="shared" si="25"/>
        <v>0.57551046391342398</v>
      </c>
      <c r="AM29" s="93">
        <v>0</v>
      </c>
      <c r="AN29" s="325">
        <f t="shared" si="8"/>
        <v>0</v>
      </c>
      <c r="AO29" s="95">
        <f t="shared" si="26"/>
        <v>-0.57551046391342398</v>
      </c>
      <c r="AP29" s="96"/>
      <c r="AQ29" s="97">
        <f t="shared" si="9"/>
        <v>0</v>
      </c>
      <c r="AR29" s="98">
        <f t="shared" si="37"/>
        <v>111.39</v>
      </c>
      <c r="AS29" s="98">
        <f t="shared" si="11"/>
        <v>0</v>
      </c>
      <c r="AT29" s="98">
        <f t="shared" si="12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5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6"/>
        <v>0.66666666666666663</v>
      </c>
      <c r="R30" s="92">
        <f t="shared" si="17"/>
        <v>1</v>
      </c>
      <c r="S30" s="93">
        <v>3</v>
      </c>
      <c r="T30" s="93">
        <v>0</v>
      </c>
      <c r="U30" s="92">
        <f t="shared" si="18"/>
        <v>3</v>
      </c>
      <c r="V30" s="93">
        <v>1508</v>
      </c>
      <c r="W30" s="93">
        <v>0</v>
      </c>
      <c r="X30" s="92">
        <f t="shared" si="19"/>
        <v>1508</v>
      </c>
      <c r="Y30" s="93">
        <v>1779</v>
      </c>
      <c r="Z30" s="93">
        <v>0</v>
      </c>
      <c r="AA30" s="92">
        <f t="shared" si="20"/>
        <v>1779</v>
      </c>
      <c r="AB30" s="92">
        <f t="shared" si="21"/>
        <v>0</v>
      </c>
      <c r="AC30" s="234">
        <f t="shared" si="22"/>
        <v>1.3534839887561162E-2</v>
      </c>
      <c r="AD30" s="92">
        <f t="shared" si="23"/>
        <v>334.17</v>
      </c>
      <c r="AE30" s="93">
        <v>672.33000000000015</v>
      </c>
      <c r="AF30" s="234">
        <f t="shared" si="24"/>
        <v>0.37792580101180445</v>
      </c>
      <c r="AG30" s="93">
        <v>232.19</v>
      </c>
      <c r="AH30" s="93"/>
      <c r="AI30" s="93"/>
      <c r="AJ30" s="93"/>
      <c r="AK30" s="93"/>
      <c r="AL30" s="122">
        <f t="shared" si="25"/>
        <v>0</v>
      </c>
      <c r="AM30" s="93">
        <v>0</v>
      </c>
      <c r="AN30" s="325">
        <f t="shared" si="8"/>
        <v>77.6717400701488</v>
      </c>
      <c r="AO30" s="95">
        <f t="shared" si="26"/>
        <v>462.6382599298509</v>
      </c>
      <c r="AP30" s="96"/>
      <c r="AQ30" s="97">
        <f t="shared" si="9"/>
        <v>593</v>
      </c>
      <c r="AR30" s="98">
        <f t="shared" si="37"/>
        <v>111.39</v>
      </c>
      <c r="AS30" s="98">
        <f t="shared" si="11"/>
        <v>224.11000000000004</v>
      </c>
      <c r="AT30" s="98">
        <f t="shared" si="12"/>
        <v>77.396666666666661</v>
      </c>
      <c r="AU30" s="98">
        <f t="shared" si="27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6"/>
        <v>0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0</v>
      </c>
      <c r="AH31" s="93"/>
      <c r="AI31" s="93"/>
      <c r="AJ31" s="93"/>
      <c r="AK31" s="93"/>
      <c r="AL31" s="122">
        <f t="shared" si="25"/>
        <v>0.28775523195671199</v>
      </c>
      <c r="AM31" s="93">
        <v>0</v>
      </c>
      <c r="AN31" s="325">
        <f t="shared" si="8"/>
        <v>0</v>
      </c>
      <c r="AO31" s="95">
        <f t="shared" si="26"/>
        <v>-0.28775523195671199</v>
      </c>
      <c r="AP31" s="96"/>
      <c r="AQ31" s="97">
        <f t="shared" si="9"/>
        <v>0</v>
      </c>
      <c r="AR31" s="98">
        <f t="shared" si="37"/>
        <v>105.54</v>
      </c>
      <c r="AS31" s="98">
        <f t="shared" si="11"/>
        <v>0</v>
      </c>
      <c r="AT31" s="98">
        <f t="shared" si="12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5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6"/>
        <v>0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85.490000000000009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0</v>
      </c>
      <c r="AO32" s="95">
        <f t="shared" si="26"/>
        <v>-85.490000000000009</v>
      </c>
      <c r="AP32" s="96"/>
      <c r="AQ32" s="97">
        <f t="shared" si="9"/>
        <v>0</v>
      </c>
      <c r="AR32" s="98">
        <f t="shared" si="37"/>
        <v>140.63999999999999</v>
      </c>
      <c r="AS32" s="98">
        <f t="shared" si="11"/>
        <v>0</v>
      </c>
      <c r="AT32" s="98">
        <f t="shared" si="12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6"/>
        <v>0</v>
      </c>
      <c r="R33" s="92">
        <f t="shared" si="17"/>
        <v>0</v>
      </c>
      <c r="S33" s="93">
        <v>0</v>
      </c>
      <c r="T33" s="93">
        <v>0</v>
      </c>
      <c r="U33" s="92">
        <f t="shared" si="18"/>
        <v>0</v>
      </c>
      <c r="V33" s="93">
        <v>0</v>
      </c>
      <c r="W33" s="93">
        <v>0</v>
      </c>
      <c r="X33" s="92">
        <f t="shared" si="19"/>
        <v>0</v>
      </c>
      <c r="Y33" s="93">
        <v>0</v>
      </c>
      <c r="Z33" s="93">
        <v>0</v>
      </c>
      <c r="AA33" s="92">
        <f t="shared" si="20"/>
        <v>0</v>
      </c>
      <c r="AB33" s="92">
        <f t="shared" si="21"/>
        <v>0</v>
      </c>
      <c r="AC33" s="234">
        <f t="shared" si="22"/>
        <v>0</v>
      </c>
      <c r="AD33" s="92">
        <f t="shared" si="23"/>
        <v>0</v>
      </c>
      <c r="AE33" s="93">
        <v>0</v>
      </c>
      <c r="AF33" s="234">
        <f t="shared" si="24"/>
        <v>0</v>
      </c>
      <c r="AG33" s="93">
        <v>0</v>
      </c>
      <c r="AH33" s="93"/>
      <c r="AI33" s="93"/>
      <c r="AJ33" s="93"/>
      <c r="AK33" s="93"/>
      <c r="AL33" s="122">
        <f t="shared" si="25"/>
        <v>45.177571417203779</v>
      </c>
      <c r="AM33" s="93">
        <v>0</v>
      </c>
      <c r="AN33" s="325">
        <f t="shared" si="8"/>
        <v>0</v>
      </c>
      <c r="AO33" s="95">
        <f t="shared" si="26"/>
        <v>-45.177571417203779</v>
      </c>
      <c r="AP33" s="96"/>
      <c r="AQ33" s="97">
        <f t="shared" si="9"/>
        <v>0</v>
      </c>
      <c r="AR33" s="98">
        <f t="shared" si="37"/>
        <v>123.09</v>
      </c>
      <c r="AS33" s="98">
        <f t="shared" si="11"/>
        <v>0</v>
      </c>
      <c r="AT33" s="98">
        <f t="shared" si="12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5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6"/>
        <v>0</v>
      </c>
      <c r="R34" s="92">
        <f t="shared" si="17"/>
        <v>0</v>
      </c>
      <c r="S34" s="93">
        <v>0</v>
      </c>
      <c r="T34" s="93">
        <v>0</v>
      </c>
      <c r="U34" s="92">
        <f t="shared" si="18"/>
        <v>0</v>
      </c>
      <c r="V34" s="93">
        <v>0</v>
      </c>
      <c r="W34" s="93">
        <v>0</v>
      </c>
      <c r="X34" s="92">
        <f t="shared" si="19"/>
        <v>0</v>
      </c>
      <c r="Y34" s="93">
        <v>0</v>
      </c>
      <c r="Z34" s="93">
        <v>0</v>
      </c>
      <c r="AA34" s="92">
        <f t="shared" si="20"/>
        <v>0</v>
      </c>
      <c r="AB34" s="92">
        <f t="shared" si="21"/>
        <v>0</v>
      </c>
      <c r="AC34" s="234">
        <f t="shared" si="22"/>
        <v>0</v>
      </c>
      <c r="AD34" s="92">
        <f t="shared" si="23"/>
        <v>0</v>
      </c>
      <c r="AE34" s="93">
        <v>0</v>
      </c>
      <c r="AF34" s="234">
        <f t="shared" si="24"/>
        <v>0</v>
      </c>
      <c r="AG34" s="93">
        <v>0</v>
      </c>
      <c r="AH34" s="93"/>
      <c r="AI34" s="93"/>
      <c r="AJ34" s="93"/>
      <c r="AK34" s="93"/>
      <c r="AL34" s="122">
        <f t="shared" si="25"/>
        <v>6.6183703350043768</v>
      </c>
      <c r="AM34" s="93">
        <v>0</v>
      </c>
      <c r="AN34" s="325">
        <f t="shared" si="8"/>
        <v>0</v>
      </c>
      <c r="AO34" s="95">
        <f t="shared" si="26"/>
        <v>-6.6183703350043768</v>
      </c>
      <c r="AP34" s="96"/>
      <c r="AQ34" s="97">
        <f t="shared" si="9"/>
        <v>0</v>
      </c>
      <c r="AR34" s="98">
        <f t="shared" si="37"/>
        <v>117.24</v>
      </c>
      <c r="AS34" s="98">
        <f t="shared" si="11"/>
        <v>0</v>
      </c>
      <c r="AT34" s="98">
        <f t="shared" si="12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5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6067.24*Y35/Y$121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6"/>
        <v>0</v>
      </c>
      <c r="R37" s="92">
        <f t="shared" si="17"/>
        <v>0</v>
      </c>
      <c r="S37" s="93">
        <v>0</v>
      </c>
      <c r="T37" s="93">
        <v>0</v>
      </c>
      <c r="U37" s="92">
        <f t="shared" si="18"/>
        <v>0</v>
      </c>
      <c r="V37" s="93">
        <v>0</v>
      </c>
      <c r="W37" s="93">
        <v>0</v>
      </c>
      <c r="X37" s="92">
        <f t="shared" si="19"/>
        <v>0</v>
      </c>
      <c r="Y37" s="93">
        <v>0</v>
      </c>
      <c r="Z37" s="93">
        <v>0</v>
      </c>
      <c r="AA37" s="92">
        <f t="shared" si="20"/>
        <v>0</v>
      </c>
      <c r="AB37" s="92">
        <f t="shared" si="21"/>
        <v>0</v>
      </c>
      <c r="AC37" s="234">
        <f t="shared" si="22"/>
        <v>0</v>
      </c>
      <c r="AD37" s="92">
        <f t="shared" si="23"/>
        <v>0</v>
      </c>
      <c r="AE37" s="93">
        <v>0</v>
      </c>
      <c r="AF37" s="234">
        <f t="shared" si="24"/>
        <v>0</v>
      </c>
      <c r="AG37" s="93">
        <v>0</v>
      </c>
      <c r="AH37" s="93"/>
      <c r="AI37" s="93"/>
      <c r="AJ37" s="93"/>
      <c r="AK37" s="93"/>
      <c r="AL37" s="122">
        <f t="shared" si="25"/>
        <v>4.6040837113073918</v>
      </c>
      <c r="AM37" s="93">
        <v>0</v>
      </c>
      <c r="AN37" s="325">
        <f t="shared" si="45"/>
        <v>0</v>
      </c>
      <c r="AO37" s="95">
        <f t="shared" si="26"/>
        <v>-4.6040837113073918</v>
      </c>
      <c r="AP37" s="96"/>
      <c r="AQ37" s="97">
        <f t="shared" si="9"/>
        <v>0</v>
      </c>
      <c r="AR37" s="98">
        <f t="shared" si="37"/>
        <v>169.89</v>
      </c>
      <c r="AS37" s="98">
        <f t="shared" si="11"/>
        <v>0</v>
      </c>
      <c r="AT37" s="98">
        <f t="shared" si="12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6"/>
        <v>0</v>
      </c>
      <c r="AX37" s="234">
        <f t="shared" si="47"/>
        <v>-2.7100380901214857E-2</v>
      </c>
      <c r="AY37" s="99"/>
      <c r="AZ37" s="94">
        <f t="shared" si="15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13.524495901965464</v>
      </c>
      <c r="AM38" s="93">
        <v>0</v>
      </c>
      <c r="AN38" s="325">
        <f t="shared" si="45"/>
        <v>0</v>
      </c>
      <c r="AO38" s="95">
        <f t="shared" si="26"/>
        <v>-13.524495901965464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6"/>
        <v>0</v>
      </c>
      <c r="AX38" s="234">
        <f t="shared" si="47"/>
        <v>-0.12814568790947001</v>
      </c>
      <c r="AY38" s="99"/>
      <c r="AZ38" s="94">
        <f t="shared" si="15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6"/>
        <v>0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14.100006365878889</v>
      </c>
      <c r="AM39" s="93">
        <v>0</v>
      </c>
      <c r="AN39" s="325">
        <f t="shared" si="45"/>
        <v>0</v>
      </c>
      <c r="AO39" s="95">
        <f t="shared" si="26"/>
        <v>-14.100006365878889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6"/>
        <v>0</v>
      </c>
      <c r="AX39" s="234">
        <f t="shared" si="47"/>
        <v>-0.13359869590561765</v>
      </c>
      <c r="AY39" s="99"/>
      <c r="AZ39" s="94">
        <f t="shared" si="15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6"/>
        <v>0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13.524495901965464</v>
      </c>
      <c r="AM40" s="93">
        <v>0</v>
      </c>
      <c r="AN40" s="325">
        <f t="shared" si="45"/>
        <v>0</v>
      </c>
      <c r="AO40" s="95">
        <f t="shared" si="26"/>
        <v>-13.524495901965464</v>
      </c>
      <c r="AP40" s="96"/>
      <c r="AQ40" s="97">
        <f t="shared" si="9"/>
        <v>0</v>
      </c>
      <c r="AR40" s="98">
        <f t="shared" si="37"/>
        <v>105.54</v>
      </c>
      <c r="AS40" s="98">
        <f t="shared" si="11"/>
        <v>0</v>
      </c>
      <c r="AT40" s="98">
        <f t="shared" si="12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6"/>
        <v>0</v>
      </c>
      <c r="AX40" s="234">
        <f t="shared" si="47"/>
        <v>-0.12814568790947001</v>
      </c>
      <c r="AY40" s="99"/>
      <c r="AZ40" s="94">
        <f t="shared" si="15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6"/>
        <v>0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0</v>
      </c>
      <c r="AH41" s="93"/>
      <c r="AI41" s="93"/>
      <c r="AJ41" s="93"/>
      <c r="AK41" s="93"/>
      <c r="AL41" s="122">
        <f t="shared" si="25"/>
        <v>13.524495901965464</v>
      </c>
      <c r="AM41" s="93">
        <v>0</v>
      </c>
      <c r="AN41" s="325">
        <f t="shared" si="45"/>
        <v>0</v>
      </c>
      <c r="AO41" s="95">
        <f t="shared" si="26"/>
        <v>-13.524495901965464</v>
      </c>
      <c r="AP41" s="96"/>
      <c r="AQ41" s="97">
        <f t="shared" si="9"/>
        <v>0</v>
      </c>
      <c r="AR41" s="98">
        <f t="shared" si="37"/>
        <v>123.09</v>
      </c>
      <c r="AS41" s="98">
        <f t="shared" si="11"/>
        <v>0</v>
      </c>
      <c r="AT41" s="98">
        <f t="shared" si="12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6"/>
        <v>0</v>
      </c>
      <c r="AX41" s="234">
        <f t="shared" si="47"/>
        <v>-0.10987485500012563</v>
      </c>
      <c r="AY41" s="99"/>
      <c r="AZ41" s="94">
        <f t="shared" si="15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6"/>
        <v>0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0</v>
      </c>
      <c r="AH42" s="93"/>
      <c r="AI42" s="93"/>
      <c r="AJ42" s="93"/>
      <c r="AK42" s="93"/>
      <c r="AL42" s="122">
        <f t="shared" si="25"/>
        <v>13.812251133922176</v>
      </c>
      <c r="AM42" s="93">
        <v>0</v>
      </c>
      <c r="AN42" s="325">
        <f t="shared" si="45"/>
        <v>0</v>
      </c>
      <c r="AO42" s="95">
        <f t="shared" si="26"/>
        <v>-13.812251133922176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6"/>
        <v>0</v>
      </c>
      <c r="AX42" s="234">
        <f t="shared" si="47"/>
        <v>-0.11221261787246872</v>
      </c>
      <c r="AY42" s="99"/>
      <c r="AZ42" s="94">
        <f t="shared" si="15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6"/>
        <v>0</v>
      </c>
      <c r="R43" s="92">
        <f t="shared" si="17"/>
        <v>0</v>
      </c>
      <c r="S43" s="93">
        <v>0</v>
      </c>
      <c r="T43" s="93">
        <v>0</v>
      </c>
      <c r="U43" s="92">
        <f t="shared" si="18"/>
        <v>0</v>
      </c>
      <c r="V43" s="93">
        <v>0</v>
      </c>
      <c r="W43" s="93">
        <v>0</v>
      </c>
      <c r="X43" s="92">
        <f t="shared" si="19"/>
        <v>0</v>
      </c>
      <c r="Y43" s="93">
        <v>0</v>
      </c>
      <c r="Z43" s="93">
        <v>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0</v>
      </c>
      <c r="AH43" s="93"/>
      <c r="AI43" s="93"/>
      <c r="AJ43" s="93"/>
      <c r="AK43" s="93"/>
      <c r="AL43" s="122">
        <f t="shared" si="25"/>
        <v>13.812251133922176</v>
      </c>
      <c r="AM43" s="93">
        <v>0</v>
      </c>
      <c r="AN43" s="325">
        <f t="shared" si="45"/>
        <v>0</v>
      </c>
      <c r="AO43" s="95">
        <f t="shared" si="26"/>
        <v>-13.812251133922176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6"/>
        <v>0</v>
      </c>
      <c r="AX43" s="234">
        <f t="shared" si="47"/>
        <v>-0.11221261787246872</v>
      </c>
      <c r="AY43" s="99"/>
      <c r="AZ43" s="94">
        <f t="shared" si="15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6"/>
        <v>0</v>
      </c>
      <c r="R44" s="92">
        <f t="shared" si="17"/>
        <v>0</v>
      </c>
      <c r="S44" s="93">
        <v>0</v>
      </c>
      <c r="T44" s="93">
        <v>0</v>
      </c>
      <c r="U44" s="92">
        <f t="shared" si="18"/>
        <v>0</v>
      </c>
      <c r="V44" s="93">
        <v>0</v>
      </c>
      <c r="W44" s="93">
        <v>0</v>
      </c>
      <c r="X44" s="92">
        <f t="shared" si="19"/>
        <v>0</v>
      </c>
      <c r="Y44" s="93">
        <v>0</v>
      </c>
      <c r="Z44" s="93">
        <v>0</v>
      </c>
      <c r="AA44" s="92">
        <f t="shared" si="20"/>
        <v>0</v>
      </c>
      <c r="AB44" s="92">
        <f t="shared" si="21"/>
        <v>0</v>
      </c>
      <c r="AC44" s="234">
        <f t="shared" si="22"/>
        <v>0</v>
      </c>
      <c r="AD44" s="92">
        <f t="shared" si="23"/>
        <v>0</v>
      </c>
      <c r="AE44" s="93">
        <v>0</v>
      </c>
      <c r="AF44" s="234">
        <f t="shared" si="24"/>
        <v>0</v>
      </c>
      <c r="AG44" s="93">
        <v>202.48</v>
      </c>
      <c r="AH44" s="93"/>
      <c r="AI44" s="93"/>
      <c r="AJ44" s="93"/>
      <c r="AK44" s="93"/>
      <c r="AL44" s="122">
        <f t="shared" si="25"/>
        <v>63.018395798519926</v>
      </c>
      <c r="AM44" s="93">
        <v>0</v>
      </c>
      <c r="AN44" s="325">
        <f t="shared" si="45"/>
        <v>0</v>
      </c>
      <c r="AO44" s="95">
        <f t="shared" si="26"/>
        <v>-265.49839579851994</v>
      </c>
      <c r="AP44" s="96"/>
      <c r="AQ44" s="97">
        <f t="shared" si="9"/>
        <v>0</v>
      </c>
      <c r="AR44" s="98">
        <f t="shared" si="37"/>
        <v>111.39</v>
      </c>
      <c r="AS44" s="98">
        <f t="shared" si="11"/>
        <v>0</v>
      </c>
      <c r="AT44" s="98">
        <f t="shared" si="12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6"/>
        <v>0</v>
      </c>
      <c r="AX44" s="234">
        <f t="shared" si="47"/>
        <v>-2.3835029697326506</v>
      </c>
      <c r="AY44" s="99"/>
      <c r="AZ44" s="94">
        <f t="shared" si="15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6"/>
        <v>0</v>
      </c>
      <c r="R45" s="92">
        <f t="shared" si="17"/>
        <v>0</v>
      </c>
      <c r="S45" s="93">
        <v>0</v>
      </c>
      <c r="T45" s="93">
        <v>0</v>
      </c>
      <c r="U45" s="92">
        <f t="shared" si="18"/>
        <v>0</v>
      </c>
      <c r="V45" s="93">
        <v>0</v>
      </c>
      <c r="W45" s="93">
        <v>0</v>
      </c>
      <c r="X45" s="92">
        <f t="shared" si="19"/>
        <v>0</v>
      </c>
      <c r="Y45" s="93">
        <v>0</v>
      </c>
      <c r="Z45" s="93">
        <v>0</v>
      </c>
      <c r="AA45" s="92">
        <f t="shared" si="20"/>
        <v>0</v>
      </c>
      <c r="AB45" s="92">
        <f t="shared" si="21"/>
        <v>0</v>
      </c>
      <c r="AC45" s="234">
        <f t="shared" si="22"/>
        <v>0</v>
      </c>
      <c r="AD45" s="92">
        <f t="shared" si="23"/>
        <v>0</v>
      </c>
      <c r="AE45" s="93">
        <v>0</v>
      </c>
      <c r="AF45" s="234">
        <f t="shared" si="24"/>
        <v>0</v>
      </c>
      <c r="AG45" s="93">
        <v>117.2</v>
      </c>
      <c r="AH45" s="93"/>
      <c r="AI45" s="93"/>
      <c r="AJ45" s="93"/>
      <c r="AK45" s="93"/>
      <c r="AL45" s="122">
        <f t="shared" si="25"/>
        <v>85.175548659186745</v>
      </c>
      <c r="AM45" s="93">
        <v>0</v>
      </c>
      <c r="AN45" s="325">
        <f t="shared" si="45"/>
        <v>0</v>
      </c>
      <c r="AO45" s="95">
        <f t="shared" si="26"/>
        <v>-202.37554865918673</v>
      </c>
      <c r="AP45" s="96"/>
      <c r="AQ45" s="97">
        <f t="shared" si="9"/>
        <v>0</v>
      </c>
      <c r="AR45" s="98">
        <f t="shared" si="37"/>
        <v>107.88</v>
      </c>
      <c r="AS45" s="98">
        <f t="shared" si="11"/>
        <v>0</v>
      </c>
      <c r="AT45" s="98">
        <f t="shared" si="12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6"/>
        <v>0</v>
      </c>
      <c r="AX45" s="234">
        <f t="shared" si="47"/>
        <v>-1.8759320417054759</v>
      </c>
      <c r="AY45" s="99"/>
      <c r="AZ45" s="94">
        <f t="shared" si="15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6"/>
        <v>0.33333333333333331</v>
      </c>
      <c r="R47" s="92">
        <f t="shared" si="17"/>
        <v>0.33333333333333331</v>
      </c>
      <c r="S47" s="93">
        <v>1</v>
      </c>
      <c r="T47" s="93">
        <v>0</v>
      </c>
      <c r="U47" s="92">
        <f t="shared" si="18"/>
        <v>1</v>
      </c>
      <c r="V47" s="93">
        <v>771</v>
      </c>
      <c r="W47" s="93">
        <v>0</v>
      </c>
      <c r="X47" s="92">
        <f t="shared" si="19"/>
        <v>771</v>
      </c>
      <c r="Y47" s="93">
        <v>998</v>
      </c>
      <c r="Z47" s="93">
        <v>0</v>
      </c>
      <c r="AA47" s="92">
        <f t="shared" si="20"/>
        <v>998</v>
      </c>
      <c r="AB47" s="92">
        <f t="shared" si="21"/>
        <v>0</v>
      </c>
      <c r="AC47" s="234">
        <f t="shared" si="22"/>
        <v>7.5929006227015402E-3</v>
      </c>
      <c r="AD47" s="92">
        <f t="shared" si="23"/>
        <v>123.09</v>
      </c>
      <c r="AE47" s="93">
        <v>374.92999999999995</v>
      </c>
      <c r="AF47" s="234">
        <f t="shared" si="24"/>
        <v>0.37568136272545083</v>
      </c>
      <c r="AG47" s="93">
        <v>47.79</v>
      </c>
      <c r="AH47" s="93"/>
      <c r="AI47" s="93"/>
      <c r="AJ47" s="93"/>
      <c r="AK47" s="93"/>
      <c r="AL47" s="122">
        <f t="shared" si="25"/>
        <v>48.918389432641042</v>
      </c>
      <c r="AM47" s="93">
        <v>0</v>
      </c>
      <c r="AN47" s="325">
        <f t="shared" si="45"/>
        <v>43.573016632944636</v>
      </c>
      <c r="AO47" s="95">
        <f t="shared" si="26"/>
        <v>359.6985939344143</v>
      </c>
      <c r="AP47" s="96"/>
      <c r="AQ47" s="97">
        <f t="shared" si="9"/>
        <v>998</v>
      </c>
      <c r="AR47" s="98">
        <f t="shared" si="37"/>
        <v>123.09</v>
      </c>
      <c r="AS47" s="98">
        <f t="shared" si="11"/>
        <v>374.92999999999995</v>
      </c>
      <c r="AT47" s="98">
        <f t="shared" si="12"/>
        <v>47.79</v>
      </c>
      <c r="AU47" s="98">
        <f t="shared" si="27"/>
        <v>0</v>
      </c>
      <c r="AV47" s="98">
        <f t="array" ref="AV47">_xlfn.IFS(U47=0,AO47,U47&lt;0,AO47/-U47,U47&gt;0,AO47/U47)</f>
        <v>359.6985939344143</v>
      </c>
      <c r="AW47" s="234">
        <f t="shared" si="46"/>
        <v>0.36041943280001432</v>
      </c>
      <c r="AX47" s="234">
        <f t="shared" si="47"/>
        <v>2.9222405876546778</v>
      </c>
      <c r="AY47" s="99"/>
      <c r="AZ47" s="94">
        <f t="shared" si="15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6"/>
        <v>0</v>
      </c>
      <c r="R48" s="92">
        <f t="shared" si="17"/>
        <v>0.33333333333333331</v>
      </c>
      <c r="S48" s="93">
        <v>1</v>
      </c>
      <c r="T48" s="93">
        <v>0</v>
      </c>
      <c r="U48" s="92">
        <f t="shared" si="18"/>
        <v>1</v>
      </c>
      <c r="V48" s="93">
        <v>1050</v>
      </c>
      <c r="W48" s="93">
        <v>0</v>
      </c>
      <c r="X48" s="92">
        <f t="shared" si="19"/>
        <v>1050</v>
      </c>
      <c r="Y48" s="93">
        <v>1157</v>
      </c>
      <c r="Z48" s="93">
        <v>0</v>
      </c>
      <c r="AA48" s="92">
        <f t="shared" si="20"/>
        <v>1157</v>
      </c>
      <c r="AB48" s="92">
        <f t="shared" si="21"/>
        <v>0</v>
      </c>
      <c r="AC48" s="234">
        <f t="shared" si="22"/>
        <v>8.8025912028714248E-3</v>
      </c>
      <c r="AD48" s="92">
        <f t="shared" si="23"/>
        <v>107.88</v>
      </c>
      <c r="AE48" s="93">
        <v>427.78999999999996</v>
      </c>
      <c r="AF48" s="234">
        <f t="shared" si="24"/>
        <v>0.36974070872947273</v>
      </c>
      <c r="AG48" s="93">
        <v>47.79</v>
      </c>
      <c r="AH48" s="93"/>
      <c r="AI48" s="93"/>
      <c r="AJ48" s="93"/>
      <c r="AK48" s="93"/>
      <c r="AL48" s="122">
        <f t="shared" si="25"/>
        <v>117.4041346383385</v>
      </c>
      <c r="AM48" s="93">
        <v>0</v>
      </c>
      <c r="AN48" s="325">
        <f t="shared" si="45"/>
        <v>50.515010264846637</v>
      </c>
      <c r="AO48" s="95">
        <f t="shared" si="26"/>
        <v>405.62085509681481</v>
      </c>
      <c r="AP48" s="96"/>
      <c r="AQ48" s="97">
        <f t="shared" si="9"/>
        <v>1157</v>
      </c>
      <c r="AR48" s="98">
        <f t="shared" si="37"/>
        <v>107.88</v>
      </c>
      <c r="AS48" s="98">
        <f t="shared" si="11"/>
        <v>427.78999999999996</v>
      </c>
      <c r="AT48" s="98">
        <f t="shared" si="12"/>
        <v>47.79</v>
      </c>
      <c r="AU48" s="98">
        <f t="shared" si="27"/>
        <v>0</v>
      </c>
      <c r="AV48" s="98">
        <f t="array" ref="AV48">_xlfn.IFS(U48=0,AO48,U48&lt;0,AO48/-U48,U48&gt;0,AO48/U48)</f>
        <v>405.62085509681481</v>
      </c>
      <c r="AW48" s="234">
        <f t="shared" si="46"/>
        <v>0.35057982290130923</v>
      </c>
      <c r="AX48" s="234">
        <f t="shared" si="47"/>
        <v>3.759926354253011</v>
      </c>
      <c r="AY48" s="99"/>
      <c r="AZ48" s="94">
        <f t="shared" si="15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6"/>
        <v>0.33333333333333331</v>
      </c>
      <c r="R49" s="92">
        <f t="shared" si="17"/>
        <v>1.3333333333333333</v>
      </c>
      <c r="S49" s="93">
        <v>4</v>
      </c>
      <c r="T49" s="93">
        <v>0</v>
      </c>
      <c r="U49" s="92">
        <f t="shared" si="18"/>
        <v>4</v>
      </c>
      <c r="V49" s="93">
        <v>4704</v>
      </c>
      <c r="W49" s="93">
        <v>0</v>
      </c>
      <c r="X49" s="92">
        <f t="shared" si="19"/>
        <v>4704</v>
      </c>
      <c r="Y49" s="93">
        <v>5512</v>
      </c>
      <c r="Z49" s="93">
        <v>0</v>
      </c>
      <c r="AA49" s="92">
        <f t="shared" si="20"/>
        <v>5512</v>
      </c>
      <c r="AB49" s="92">
        <f t="shared" si="21"/>
        <v>1378</v>
      </c>
      <c r="AC49" s="234">
        <f t="shared" si="22"/>
        <v>4.1935940112555997E-2</v>
      </c>
      <c r="AD49" s="92">
        <f t="shared" si="23"/>
        <v>492.36</v>
      </c>
      <c r="AE49" s="93">
        <v>2032.38</v>
      </c>
      <c r="AF49" s="234">
        <f t="shared" si="24"/>
        <v>0.36871915820029028</v>
      </c>
      <c r="AG49" s="93">
        <v>386.27</v>
      </c>
      <c r="AH49" s="93"/>
      <c r="AI49" s="93"/>
      <c r="AJ49" s="93"/>
      <c r="AK49" s="93"/>
      <c r="AL49" s="122">
        <f t="shared" si="25"/>
        <v>61.291864406779659</v>
      </c>
      <c r="AM49" s="93">
        <v>0</v>
      </c>
      <c r="AN49" s="325">
        <f t="shared" si="45"/>
        <v>240.65577923926938</v>
      </c>
      <c r="AO49" s="95">
        <f t="shared" si="26"/>
        <v>2299.0423563539512</v>
      </c>
      <c r="AP49" s="96"/>
      <c r="AQ49" s="97">
        <f t="shared" si="9"/>
        <v>1378</v>
      </c>
      <c r="AR49" s="98">
        <f t="shared" si="37"/>
        <v>123.09</v>
      </c>
      <c r="AS49" s="98">
        <f t="shared" si="11"/>
        <v>508.09500000000003</v>
      </c>
      <c r="AT49" s="98">
        <f t="shared" si="12"/>
        <v>96.567499999999995</v>
      </c>
      <c r="AU49" s="98">
        <f t="shared" si="27"/>
        <v>0</v>
      </c>
      <c r="AV49" s="98">
        <f t="array" ref="AV49">_xlfn.IFS(U49=0,AO49,U49&lt;0,AO49/-U49,U49&gt;0,AO49/U49)</f>
        <v>574.76058908848779</v>
      </c>
      <c r="AW49" s="234">
        <f t="shared" si="46"/>
        <v>0.41709766987553543</v>
      </c>
      <c r="AX49" s="234">
        <f t="shared" si="47"/>
        <v>4.6694336590176926</v>
      </c>
      <c r="AY49" s="99"/>
      <c r="AZ49" s="94">
        <f t="shared" si="15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6"/>
        <v>0.33333333333333331</v>
      </c>
      <c r="R50" s="92">
        <f t="shared" si="17"/>
        <v>0.33333333333333331</v>
      </c>
      <c r="S50" s="93">
        <v>1</v>
      </c>
      <c r="T50" s="93">
        <v>0</v>
      </c>
      <c r="U50" s="92">
        <f t="shared" si="18"/>
        <v>1</v>
      </c>
      <c r="V50" s="93">
        <v>988</v>
      </c>
      <c r="W50" s="93">
        <v>0</v>
      </c>
      <c r="X50" s="92">
        <f t="shared" si="19"/>
        <v>988</v>
      </c>
      <c r="Y50" s="93">
        <v>1198</v>
      </c>
      <c r="Z50" s="93">
        <v>0</v>
      </c>
      <c r="AA50" s="92">
        <f t="shared" si="20"/>
        <v>1198</v>
      </c>
      <c r="AB50" s="92">
        <f t="shared" si="21"/>
        <v>0</v>
      </c>
      <c r="AC50" s="234">
        <f t="shared" si="22"/>
        <v>9.1145239939844132E-3</v>
      </c>
      <c r="AD50" s="92">
        <f t="shared" si="23"/>
        <v>134.79</v>
      </c>
      <c r="AE50" s="93">
        <v>441.07000000000005</v>
      </c>
      <c r="AF50" s="234">
        <f t="shared" si="24"/>
        <v>0.36817195325542573</v>
      </c>
      <c r="AG50" s="93">
        <v>329.21</v>
      </c>
      <c r="AH50" s="93"/>
      <c r="AI50" s="93"/>
      <c r="AJ50" s="93"/>
      <c r="AK50" s="93"/>
      <c r="AL50" s="122">
        <f t="shared" si="25"/>
        <v>71.938807989178002</v>
      </c>
      <c r="AM50" s="93">
        <v>0</v>
      </c>
      <c r="AN50" s="325">
        <f t="shared" si="45"/>
        <v>52.305084094456589</v>
      </c>
      <c r="AO50" s="95">
        <f t="shared" si="26"/>
        <v>168.68610791636542</v>
      </c>
      <c r="AP50" s="96"/>
      <c r="AQ50" s="97">
        <f t="shared" si="9"/>
        <v>1198</v>
      </c>
      <c r="AR50" s="98">
        <f t="shared" si="37"/>
        <v>134.79</v>
      </c>
      <c r="AS50" s="98">
        <f t="shared" si="11"/>
        <v>441.07000000000005</v>
      </c>
      <c r="AT50" s="98">
        <f t="shared" si="12"/>
        <v>329.21</v>
      </c>
      <c r="AU50" s="98">
        <f t="shared" si="27"/>
        <v>0</v>
      </c>
      <c r="AV50" s="98">
        <f t="array" ref="AV50">_xlfn.IFS(U50=0,AO50,U50&lt;0,AO50/-U50,U50&gt;0,AO50/U50)</f>
        <v>168.68610791636542</v>
      </c>
      <c r="AW50" s="234">
        <f t="shared" si="46"/>
        <v>0.14080643398694942</v>
      </c>
      <c r="AX50" s="234">
        <f t="shared" si="47"/>
        <v>1.2514734618025478</v>
      </c>
      <c r="AY50" s="99"/>
      <c r="AZ50" s="94">
        <f t="shared" si="15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6"/>
        <v>0</v>
      </c>
      <c r="R51" s="92">
        <f t="shared" si="17"/>
        <v>0</v>
      </c>
      <c r="S51" s="93">
        <v>0</v>
      </c>
      <c r="T51" s="93">
        <v>0</v>
      </c>
      <c r="U51" s="92">
        <f t="shared" si="18"/>
        <v>0</v>
      </c>
      <c r="V51" s="93">
        <v>0</v>
      </c>
      <c r="W51" s="93">
        <v>0</v>
      </c>
      <c r="X51" s="92">
        <f t="shared" si="19"/>
        <v>0</v>
      </c>
      <c r="Y51" s="93">
        <v>0</v>
      </c>
      <c r="Z51" s="93">
        <v>0</v>
      </c>
      <c r="AA51" s="92">
        <f t="shared" si="20"/>
        <v>0</v>
      </c>
      <c r="AB51" s="92">
        <f t="shared" si="21"/>
        <v>0</v>
      </c>
      <c r="AC51" s="234">
        <f t="shared" si="22"/>
        <v>0</v>
      </c>
      <c r="AD51" s="92">
        <f t="shared" si="23"/>
        <v>0</v>
      </c>
      <c r="AE51" s="93">
        <v>0</v>
      </c>
      <c r="AF51" s="234">
        <f t="shared" si="24"/>
        <v>0</v>
      </c>
      <c r="AG51" s="93">
        <v>88.83</v>
      </c>
      <c r="AH51" s="93"/>
      <c r="AI51" s="93"/>
      <c r="AJ51" s="93"/>
      <c r="AK51" s="93"/>
      <c r="AL51" s="122">
        <f t="shared" si="25"/>
        <v>9.2081674226147836</v>
      </c>
      <c r="AM51" s="93">
        <v>0</v>
      </c>
      <c r="AN51" s="325">
        <f t="shared" si="45"/>
        <v>0</v>
      </c>
      <c r="AO51" s="95">
        <f t="shared" si="26"/>
        <v>-98.038167422614777</v>
      </c>
      <c r="AP51" s="96"/>
      <c r="AQ51" s="97">
        <f t="shared" si="9"/>
        <v>0</v>
      </c>
      <c r="AR51" s="98">
        <f t="shared" si="37"/>
        <v>144.15</v>
      </c>
      <c r="AS51" s="98">
        <f t="shared" si="11"/>
        <v>0</v>
      </c>
      <c r="AT51" s="98">
        <f t="shared" si="12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6"/>
        <v>0</v>
      </c>
      <c r="AX51" s="234">
        <f t="shared" si="47"/>
        <v>-0.68011215693801441</v>
      </c>
      <c r="AY51" s="99"/>
      <c r="AZ51" s="94">
        <f t="shared" si="15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6"/>
        <v>0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14.100006365878889</v>
      </c>
      <c r="AM52" s="93">
        <v>0</v>
      </c>
      <c r="AN52" s="325">
        <f t="shared" si="45"/>
        <v>0</v>
      </c>
      <c r="AO52" s="95">
        <f t="shared" si="26"/>
        <v>-14.100006365878889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6"/>
        <v>0</v>
      </c>
      <c r="AX52" s="234">
        <f t="shared" si="47"/>
        <v>-0.14660019095320115</v>
      </c>
      <c r="AY52" s="99"/>
      <c r="AZ52" s="94">
        <f t="shared" si="15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6"/>
        <v>0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0</v>
      </c>
      <c r="AH53" s="93"/>
      <c r="AI53" s="93"/>
      <c r="AJ53" s="93"/>
      <c r="AK53" s="93"/>
      <c r="AL53" s="122">
        <f t="shared" si="25"/>
        <v>14.100006365878889</v>
      </c>
      <c r="AM53" s="93">
        <v>0</v>
      </c>
      <c r="AN53" s="325">
        <f t="shared" si="45"/>
        <v>0</v>
      </c>
      <c r="AO53" s="95">
        <f t="shared" si="26"/>
        <v>-14.100006365878889</v>
      </c>
      <c r="AP53" s="96"/>
      <c r="AQ53" s="97">
        <f t="shared" si="9"/>
        <v>0</v>
      </c>
      <c r="AR53" s="98">
        <f t="shared" si="37"/>
        <v>96.18</v>
      </c>
      <c r="AS53" s="98">
        <f t="shared" si="11"/>
        <v>0</v>
      </c>
      <c r="AT53" s="98">
        <f t="shared" si="12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6"/>
        <v>0</v>
      </c>
      <c r="AX53" s="234">
        <f t="shared" si="47"/>
        <v>-0.14660019095320115</v>
      </c>
      <c r="AY53" s="99"/>
      <c r="AZ53" s="94">
        <f t="shared" si="15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</v>
      </c>
      <c r="S54" s="93">
        <v>0</v>
      </c>
      <c r="T54" s="93">
        <v>0</v>
      </c>
      <c r="U54" s="92">
        <f t="shared" si="18"/>
        <v>0</v>
      </c>
      <c r="V54" s="93">
        <v>0</v>
      </c>
      <c r="W54" s="93">
        <v>0</v>
      </c>
      <c r="X54" s="92">
        <f t="shared" si="19"/>
        <v>0</v>
      </c>
      <c r="Y54" s="93">
        <v>0</v>
      </c>
      <c r="Z54" s="93">
        <v>0</v>
      </c>
      <c r="AA54" s="92">
        <f t="shared" si="20"/>
        <v>0</v>
      </c>
      <c r="AB54" s="92">
        <f t="shared" si="21"/>
        <v>0</v>
      </c>
      <c r="AC54" s="234">
        <f t="shared" si="22"/>
        <v>0</v>
      </c>
      <c r="AD54" s="92">
        <f t="shared" si="23"/>
        <v>0</v>
      </c>
      <c r="AE54" s="93">
        <v>0</v>
      </c>
      <c r="AF54" s="234">
        <f t="shared" si="24"/>
        <v>0</v>
      </c>
      <c r="AG54" s="93">
        <v>0</v>
      </c>
      <c r="AH54" s="93"/>
      <c r="AI54" s="93"/>
      <c r="AJ54" s="93"/>
      <c r="AK54" s="93"/>
      <c r="AL54" s="122">
        <f t="shared" si="25"/>
        <v>15.826537757619159</v>
      </c>
      <c r="AM54" s="93">
        <v>0</v>
      </c>
      <c r="AN54" s="325">
        <f t="shared" si="45"/>
        <v>0</v>
      </c>
      <c r="AO54" s="95">
        <f t="shared" si="26"/>
        <v>-15.826537757619159</v>
      </c>
      <c r="AP54" s="96"/>
      <c r="AQ54" s="97">
        <f t="shared" si="9"/>
        <v>0</v>
      </c>
      <c r="AR54" s="98">
        <f t="shared" si="37"/>
        <v>123.09</v>
      </c>
      <c r="AS54" s="98">
        <f t="shared" si="11"/>
        <v>0</v>
      </c>
      <c r="AT54" s="98">
        <f t="shared" si="12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6"/>
        <v>0</v>
      </c>
      <c r="AX54" s="234">
        <f t="shared" si="47"/>
        <v>-0.12857695797887039</v>
      </c>
      <c r="AY54" s="99"/>
      <c r="AZ54" s="94">
        <f t="shared" si="15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0.28775523195671199</v>
      </c>
      <c r="AM55" s="93">
        <v>0</v>
      </c>
      <c r="AN55" s="325">
        <f t="shared" si="45"/>
        <v>0</v>
      </c>
      <c r="AO55" s="95">
        <f t="shared" si="26"/>
        <v>-0.28775523195671199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6"/>
        <v>0</v>
      </c>
      <c r="AX55" s="234">
        <f t="shared" si="47"/>
        <v>-1.819048182291624E-3</v>
      </c>
      <c r="AY55" s="99"/>
      <c r="AZ55" s="94">
        <f t="shared" si="15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6"/>
        <v>0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0</v>
      </c>
      <c r="AH56" s="93"/>
      <c r="AI56" s="93"/>
      <c r="AJ56" s="93"/>
      <c r="AK56" s="93"/>
      <c r="AL56" s="122">
        <f t="shared" si="25"/>
        <v>0.57551046391342398</v>
      </c>
      <c r="AM56" s="93">
        <v>0</v>
      </c>
      <c r="AN56" s="325">
        <f t="shared" si="45"/>
        <v>0</v>
      </c>
      <c r="AO56" s="95">
        <f t="shared" si="26"/>
        <v>-0.57551046391342398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6"/>
        <v>0</v>
      </c>
      <c r="AX56" s="234">
        <f t="shared" si="47"/>
        <v>-3.7778027039085203E-3</v>
      </c>
      <c r="AY56" s="99"/>
      <c r="AZ56" s="94">
        <f t="shared" si="15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6"/>
        <v>0</v>
      </c>
      <c r="R58" s="92">
        <f t="shared" si="17"/>
        <v>0</v>
      </c>
      <c r="S58" s="93">
        <v>0</v>
      </c>
      <c r="T58" s="93">
        <v>0</v>
      </c>
      <c r="U58" s="92">
        <f t="shared" si="18"/>
        <v>0</v>
      </c>
      <c r="V58" s="93">
        <v>0</v>
      </c>
      <c r="W58" s="93">
        <v>0</v>
      </c>
      <c r="X58" s="92">
        <f t="shared" si="19"/>
        <v>0</v>
      </c>
      <c r="Y58" s="93">
        <v>0</v>
      </c>
      <c r="Z58" s="93">
        <v>0</v>
      </c>
      <c r="AA58" s="92">
        <f t="shared" si="20"/>
        <v>0</v>
      </c>
      <c r="AB58" s="92">
        <f t="shared" si="21"/>
        <v>0</v>
      </c>
      <c r="AC58" s="234">
        <f t="shared" si="22"/>
        <v>0</v>
      </c>
      <c r="AD58" s="92">
        <f t="shared" si="23"/>
        <v>0</v>
      </c>
      <c r="AE58" s="93">
        <v>0</v>
      </c>
      <c r="AF58" s="234">
        <f t="shared" si="24"/>
        <v>0</v>
      </c>
      <c r="AG58" s="93">
        <v>0</v>
      </c>
      <c r="AH58" s="93"/>
      <c r="AI58" s="93"/>
      <c r="AJ58" s="93"/>
      <c r="AK58" s="93"/>
      <c r="AL58" s="122">
        <f t="shared" si="25"/>
        <v>14.387761597835601</v>
      </c>
      <c r="AM58" s="93">
        <v>0</v>
      </c>
      <c r="AN58" s="325">
        <f t="shared" si="45"/>
        <v>0</v>
      </c>
      <c r="AO58" s="95">
        <f t="shared" si="26"/>
        <v>-14.387761597835601</v>
      </c>
      <c r="AP58" s="96"/>
      <c r="AQ58" s="97">
        <f t="shared" si="9"/>
        <v>0</v>
      </c>
      <c r="AR58" s="98">
        <f t="shared" si="37"/>
        <v>169.89</v>
      </c>
      <c r="AS58" s="98">
        <f t="shared" si="11"/>
        <v>0</v>
      </c>
      <c r="AT58" s="98">
        <f t="shared" si="12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6"/>
        <v>0</v>
      </c>
      <c r="AX58" s="234">
        <f t="shared" si="47"/>
        <v>-8.4688690316296444E-2</v>
      </c>
      <c r="AY58" s="99"/>
      <c r="AZ58" s="94">
        <f t="shared" si="15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6"/>
        <v>0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0</v>
      </c>
      <c r="AH60" s="93"/>
      <c r="AI60" s="93"/>
      <c r="AJ60" s="93"/>
      <c r="AK60" s="93"/>
      <c r="AL60" s="122">
        <f t="shared" si="25"/>
        <v>8.0571464947879363</v>
      </c>
      <c r="AM60" s="93">
        <v>0</v>
      </c>
      <c r="AN60" s="325">
        <f t="shared" si="45"/>
        <v>0</v>
      </c>
      <c r="AO60" s="95">
        <f t="shared" si="26"/>
        <v>-8.0571464947879363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6"/>
        <v>0</v>
      </c>
      <c r="AX60" s="234">
        <f t="shared" si="47"/>
        <v>-5.0933349104165478E-2</v>
      </c>
      <c r="AY60" s="99"/>
      <c r="AZ60" s="94">
        <f t="shared" si="15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6"/>
        <v>0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46.90410280894406</v>
      </c>
      <c r="AM61" s="93">
        <v>0</v>
      </c>
      <c r="AN61" s="325">
        <f t="shared" si="45"/>
        <v>0</v>
      </c>
      <c r="AO61" s="95">
        <f t="shared" si="26"/>
        <v>-46.90410280894406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6"/>
        <v>0</v>
      </c>
      <c r="AX61" s="234">
        <f t="shared" si="47"/>
        <v>-0.36376689009573493</v>
      </c>
      <c r="AY61" s="99"/>
      <c r="AZ61" s="94">
        <f t="shared" si="15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6"/>
        <v>0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0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6"/>
        <v>0</v>
      </c>
      <c r="AX65" s="234">
        <f t="shared" si="47"/>
        <v>0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6"/>
        <v>0.33333333333333331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0.57551046391342398</v>
      </c>
      <c r="AM66" s="93">
        <v>0</v>
      </c>
      <c r="AN66" s="325">
        <f t="shared" si="45"/>
        <v>0</v>
      </c>
      <c r="AO66" s="95">
        <f t="shared" si="26"/>
        <v>-0.57551046391342398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6"/>
        <v>0</v>
      </c>
      <c r="AX66" s="234">
        <f t="shared" si="47"/>
        <v>-5.9117664500608529E-3</v>
      </c>
      <c r="AY66" s="99"/>
      <c r="AZ66" s="94">
        <f t="shared" si="15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6"/>
        <v>0</v>
      </c>
      <c r="R67" s="92">
        <f t="shared" si="17"/>
        <v>0</v>
      </c>
      <c r="S67" s="93">
        <v>0</v>
      </c>
      <c r="T67" s="93">
        <v>0</v>
      </c>
      <c r="U67" s="92">
        <f t="shared" si="18"/>
        <v>0</v>
      </c>
      <c r="V67" s="93">
        <v>0</v>
      </c>
      <c r="W67" s="93">
        <v>0</v>
      </c>
      <c r="X67" s="92">
        <f t="shared" si="19"/>
        <v>0</v>
      </c>
      <c r="Y67" s="93">
        <v>0</v>
      </c>
      <c r="Z67" s="93">
        <v>0</v>
      </c>
      <c r="AA67" s="92">
        <f t="shared" si="20"/>
        <v>0</v>
      </c>
      <c r="AB67" s="92">
        <f t="shared" si="21"/>
        <v>0</v>
      </c>
      <c r="AC67" s="234">
        <f t="shared" si="22"/>
        <v>0</v>
      </c>
      <c r="AD67" s="92">
        <f t="shared" si="23"/>
        <v>0</v>
      </c>
      <c r="AE67" s="93">
        <v>0</v>
      </c>
      <c r="AF67" s="234">
        <f t="shared" si="24"/>
        <v>0</v>
      </c>
      <c r="AG67" s="93">
        <v>0</v>
      </c>
      <c r="AH67" s="93"/>
      <c r="AI67" s="93"/>
      <c r="AJ67" s="93"/>
      <c r="AK67" s="93"/>
      <c r="AL67" s="122">
        <f t="shared" si="25"/>
        <v>2.87755231956712</v>
      </c>
      <c r="AM67" s="93">
        <v>0</v>
      </c>
      <c r="AN67" s="325">
        <f t="shared" ref="AN67:AN98" si="49">6067.24*Y67/Y$121</f>
        <v>0</v>
      </c>
      <c r="AO67" s="95">
        <f t="shared" si="26"/>
        <v>-2.87755231956712</v>
      </c>
      <c r="AP67" s="96"/>
      <c r="AQ67" s="97">
        <f t="shared" si="9"/>
        <v>0</v>
      </c>
      <c r="AR67" s="98">
        <f t="shared" si="37"/>
        <v>161.69999999999999</v>
      </c>
      <c r="AS67" s="98">
        <f t="shared" si="11"/>
        <v>0</v>
      </c>
      <c r="AT67" s="98">
        <f t="shared" si="12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6"/>
        <v>0</v>
      </c>
      <c r="AX67" s="234">
        <f t="shared" si="47"/>
        <v>-1.7795623497632161E-2</v>
      </c>
      <c r="AY67" s="99"/>
      <c r="AZ67" s="94">
        <f t="shared" si="15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</f>
        <v>0</v>
      </c>
      <c r="R68" s="92">
        <f t="shared" ref="R68:R98" si="51">U68/3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3.4530627834805441</v>
      </c>
      <c r="AM69" s="93">
        <v>0</v>
      </c>
      <c r="AN69" s="325">
        <f t="shared" si="49"/>
        <v>0</v>
      </c>
      <c r="AO69" s="95">
        <f t="shared" si="60"/>
        <v>-3.4530627834805441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6"/>
        <v>0</v>
      </c>
      <c r="AX69" s="234">
        <f t="shared" si="47"/>
        <v>-2.4552494194258707E-2</v>
      </c>
      <c r="AY69" s="99"/>
      <c r="AZ69" s="94">
        <f t="shared" si="15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50"/>
        <v>0</v>
      </c>
      <c r="R70" s="92">
        <f t="shared" si="51"/>
        <v>0</v>
      </c>
      <c r="S70" s="93">
        <v>0</v>
      </c>
      <c r="T70" s="93">
        <v>0</v>
      </c>
      <c r="U70" s="92">
        <f t="shared" si="52"/>
        <v>0</v>
      </c>
      <c r="V70" s="93">
        <v>0</v>
      </c>
      <c r="W70" s="93">
        <v>0</v>
      </c>
      <c r="X70" s="92">
        <f t="shared" si="53"/>
        <v>0</v>
      </c>
      <c r="Y70" s="93">
        <v>0</v>
      </c>
      <c r="Z70" s="93">
        <v>0</v>
      </c>
      <c r="AA70" s="92">
        <f t="shared" si="54"/>
        <v>0</v>
      </c>
      <c r="AB70" s="92">
        <f t="shared" si="55"/>
        <v>0</v>
      </c>
      <c r="AC70" s="234">
        <f t="shared" si="56"/>
        <v>0</v>
      </c>
      <c r="AD70" s="92">
        <f t="shared" si="57"/>
        <v>0</v>
      </c>
      <c r="AE70" s="93">
        <v>0</v>
      </c>
      <c r="AF70" s="234">
        <f t="shared" si="58"/>
        <v>0</v>
      </c>
      <c r="AG70" s="93">
        <v>0</v>
      </c>
      <c r="AH70" s="93"/>
      <c r="AI70" s="93"/>
      <c r="AJ70" s="93"/>
      <c r="AK70" s="93"/>
      <c r="AL70" s="122">
        <f t="shared" si="59"/>
        <v>2.5897970876104082</v>
      </c>
      <c r="AM70" s="93">
        <v>0</v>
      </c>
      <c r="AN70" s="325">
        <f t="shared" si="49"/>
        <v>0</v>
      </c>
      <c r="AO70" s="95">
        <f t="shared" si="60"/>
        <v>-2.5897970876104082</v>
      </c>
      <c r="AP70" s="96"/>
      <c r="AQ70" s="97">
        <f t="shared" si="9"/>
        <v>0</v>
      </c>
      <c r="AR70" s="98">
        <f t="shared" si="37"/>
        <v>117.24</v>
      </c>
      <c r="AS70" s="98">
        <f t="shared" si="11"/>
        <v>0</v>
      </c>
      <c r="AT70" s="98">
        <f t="shared" si="12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6"/>
        <v>0</v>
      </c>
      <c r="AX70" s="234">
        <f t="shared" si="47"/>
        <v>-2.2089705626154966E-2</v>
      </c>
      <c r="AY70" s="99"/>
      <c r="AZ70" s="94">
        <f t="shared" si="15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50"/>
        <v>0</v>
      </c>
      <c r="R71" s="92">
        <f t="shared" si="51"/>
        <v>0</v>
      </c>
      <c r="S71" s="93">
        <v>0</v>
      </c>
      <c r="T71" s="93">
        <v>0</v>
      </c>
      <c r="U71" s="92">
        <f t="shared" si="52"/>
        <v>0</v>
      </c>
      <c r="V71" s="93">
        <v>0</v>
      </c>
      <c r="W71" s="93">
        <v>0</v>
      </c>
      <c r="X71" s="92">
        <f t="shared" si="53"/>
        <v>0</v>
      </c>
      <c r="Y71" s="93">
        <v>0</v>
      </c>
      <c r="Z71" s="93">
        <v>0</v>
      </c>
      <c r="AA71" s="92">
        <f t="shared" si="54"/>
        <v>0</v>
      </c>
      <c r="AB71" s="92">
        <f t="shared" si="55"/>
        <v>0</v>
      </c>
      <c r="AC71" s="234">
        <f t="shared" si="56"/>
        <v>0</v>
      </c>
      <c r="AD71" s="92">
        <f t="shared" si="57"/>
        <v>0</v>
      </c>
      <c r="AE71" s="93">
        <v>0</v>
      </c>
      <c r="AF71" s="234">
        <f t="shared" si="58"/>
        <v>0</v>
      </c>
      <c r="AG71" s="93">
        <v>0</v>
      </c>
      <c r="AH71" s="93"/>
      <c r="AI71" s="93"/>
      <c r="AJ71" s="93"/>
      <c r="AK71" s="93"/>
      <c r="AL71" s="122">
        <f t="shared" si="59"/>
        <v>6.0428598710909522</v>
      </c>
      <c r="AM71" s="93">
        <v>0</v>
      </c>
      <c r="AN71" s="325">
        <f t="shared" si="49"/>
        <v>0</v>
      </c>
      <c r="AO71" s="95">
        <f t="shared" si="60"/>
        <v>-6.0428598710909522</v>
      </c>
      <c r="AP71" s="96"/>
      <c r="AQ71" s="97">
        <f t="shared" si="9"/>
        <v>0</v>
      </c>
      <c r="AR71" s="98">
        <f t="shared" si="37"/>
        <v>123.09</v>
      </c>
      <c r="AS71" s="98">
        <f t="shared" si="11"/>
        <v>0</v>
      </c>
      <c r="AT71" s="98">
        <f t="shared" si="12"/>
        <v>0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6"/>
        <v>0</v>
      </c>
      <c r="AX71" s="234">
        <f t="shared" si="47"/>
        <v>-4.9093020319205073E-2</v>
      </c>
      <c r="AY71" s="99"/>
      <c r="AZ71" s="94">
        <f t="shared" si="15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50"/>
        <v>0</v>
      </c>
      <c r="R72" s="92">
        <f t="shared" si="51"/>
        <v>0</v>
      </c>
      <c r="S72" s="93">
        <v>0</v>
      </c>
      <c r="T72" s="93">
        <v>0</v>
      </c>
      <c r="U72" s="92">
        <f t="shared" si="52"/>
        <v>0</v>
      </c>
      <c r="V72" s="93">
        <v>0</v>
      </c>
      <c r="W72" s="93">
        <v>0</v>
      </c>
      <c r="X72" s="92">
        <f t="shared" si="53"/>
        <v>0</v>
      </c>
      <c r="Y72" s="93">
        <v>0</v>
      </c>
      <c r="Z72" s="93">
        <v>0</v>
      </c>
      <c r="AA72" s="92">
        <f t="shared" si="54"/>
        <v>0</v>
      </c>
      <c r="AB72" s="92">
        <f t="shared" si="55"/>
        <v>0</v>
      </c>
      <c r="AC72" s="234">
        <f t="shared" si="56"/>
        <v>0</v>
      </c>
      <c r="AD72" s="92">
        <f t="shared" si="57"/>
        <v>0</v>
      </c>
      <c r="AE72" s="93">
        <v>0</v>
      </c>
      <c r="AF72" s="234">
        <f t="shared" si="58"/>
        <v>0</v>
      </c>
      <c r="AG72" s="93">
        <v>0</v>
      </c>
      <c r="AH72" s="93"/>
      <c r="AI72" s="93"/>
      <c r="AJ72" s="93"/>
      <c r="AK72" s="93"/>
      <c r="AL72" s="122">
        <f t="shared" si="59"/>
        <v>3.7408180154372563</v>
      </c>
      <c r="AM72" s="93">
        <v>0</v>
      </c>
      <c r="AN72" s="325">
        <f t="shared" si="49"/>
        <v>0</v>
      </c>
      <c r="AO72" s="95">
        <f t="shared" si="60"/>
        <v>-3.7408180154372563</v>
      </c>
      <c r="AP72" s="96"/>
      <c r="AQ72" s="97">
        <f t="shared" si="9"/>
        <v>0</v>
      </c>
      <c r="AR72" s="98">
        <f t="shared" si="37"/>
        <v>123.09</v>
      </c>
      <c r="AS72" s="98">
        <f t="shared" si="11"/>
        <v>0</v>
      </c>
      <c r="AT72" s="98">
        <f t="shared" si="12"/>
        <v>0</v>
      </c>
      <c r="AU72" s="98">
        <f t="shared" si="61"/>
        <v>0</v>
      </c>
      <c r="AV72" s="98">
        <f t="array" ref="AV72">_xlfn.IFS(U72=0,AO72,U72&lt;0,AO72/-U72,U72&gt;0,AO72/U72)</f>
        <v>-3.7408180154372563</v>
      </c>
      <c r="AW72" s="234">
        <f t="shared" si="46"/>
        <v>0</v>
      </c>
      <c r="AX72" s="234">
        <f t="shared" si="47"/>
        <v>-3.0390917340460281E-2</v>
      </c>
      <c r="AY72" s="99"/>
      <c r="AZ72" s="94">
        <f t="shared" si="15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50"/>
        <v>0</v>
      </c>
      <c r="R73" s="92">
        <f t="shared" si="51"/>
        <v>0</v>
      </c>
      <c r="S73" s="93">
        <v>0</v>
      </c>
      <c r="T73" s="93">
        <v>0</v>
      </c>
      <c r="U73" s="92">
        <f t="shared" si="52"/>
        <v>0</v>
      </c>
      <c r="V73" s="93">
        <v>0</v>
      </c>
      <c r="W73" s="93">
        <v>0</v>
      </c>
      <c r="X73" s="92">
        <f t="shared" si="53"/>
        <v>0</v>
      </c>
      <c r="Y73" s="93">
        <v>0</v>
      </c>
      <c r="Z73" s="93">
        <v>0</v>
      </c>
      <c r="AA73" s="92">
        <f t="shared" si="54"/>
        <v>0</v>
      </c>
      <c r="AB73" s="92">
        <f t="shared" si="55"/>
        <v>0</v>
      </c>
      <c r="AC73" s="234">
        <f t="shared" si="56"/>
        <v>0</v>
      </c>
      <c r="AD73" s="92">
        <f t="shared" si="57"/>
        <v>0</v>
      </c>
      <c r="AE73" s="93">
        <v>0</v>
      </c>
      <c r="AF73" s="234">
        <f t="shared" si="58"/>
        <v>0</v>
      </c>
      <c r="AG73" s="93">
        <v>0</v>
      </c>
      <c r="AH73" s="93"/>
      <c r="AI73" s="93"/>
      <c r="AJ73" s="93"/>
      <c r="AK73" s="93"/>
      <c r="AL73" s="122">
        <f t="shared" si="59"/>
        <v>4.6040837113073918</v>
      </c>
      <c r="AM73" s="93">
        <v>0</v>
      </c>
      <c r="AN73" s="325">
        <f t="shared" si="49"/>
        <v>0</v>
      </c>
      <c r="AO73" s="95">
        <f t="shared" si="60"/>
        <v>-4.6040837113073918</v>
      </c>
      <c r="AP73" s="96"/>
      <c r="AQ73" s="97">
        <f t="shared" si="9"/>
        <v>0</v>
      </c>
      <c r="AR73" s="98">
        <f t="shared" si="37"/>
        <v>123.09</v>
      </c>
      <c r="AS73" s="98">
        <f t="shared" si="11"/>
        <v>0</v>
      </c>
      <c r="AT73" s="98">
        <f t="shared" si="12"/>
        <v>0</v>
      </c>
      <c r="AU73" s="98">
        <f t="shared" si="61"/>
        <v>0</v>
      </c>
      <c r="AV73" s="98">
        <f t="array" ref="AV73">_xlfn.IFS(U73=0,AO73,U73&lt;0,AO73/-U73,U73&gt;0,AO73/U73)</f>
        <v>-4.6040837113073918</v>
      </c>
      <c r="AW73" s="234">
        <f t="shared" si="46"/>
        <v>0</v>
      </c>
      <c r="AX73" s="234">
        <f t="shared" si="47"/>
        <v>-3.7404205957489577E-2</v>
      </c>
      <c r="AY73" s="99"/>
      <c r="AZ73" s="94">
        <f t="shared" si="15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50"/>
        <v>0</v>
      </c>
      <c r="R74" s="92">
        <f t="shared" si="51"/>
        <v>0</v>
      </c>
      <c r="S74" s="93">
        <v>0</v>
      </c>
      <c r="T74" s="93">
        <v>0</v>
      </c>
      <c r="U74" s="92">
        <f t="shared" si="52"/>
        <v>0</v>
      </c>
      <c r="V74" s="93">
        <v>0</v>
      </c>
      <c r="W74" s="93">
        <v>0</v>
      </c>
      <c r="X74" s="92">
        <f t="shared" si="53"/>
        <v>0</v>
      </c>
      <c r="Y74" s="93">
        <v>0</v>
      </c>
      <c r="Z74" s="93">
        <v>0</v>
      </c>
      <c r="AA74" s="92">
        <f t="shared" si="54"/>
        <v>0</v>
      </c>
      <c r="AB74" s="92">
        <f t="shared" si="55"/>
        <v>0</v>
      </c>
      <c r="AC74" s="234">
        <f t="shared" si="56"/>
        <v>0</v>
      </c>
      <c r="AD74" s="92">
        <f t="shared" si="57"/>
        <v>0</v>
      </c>
      <c r="AE74" s="93">
        <v>0</v>
      </c>
      <c r="AF74" s="234">
        <f t="shared" si="58"/>
        <v>0</v>
      </c>
      <c r="AG74" s="93">
        <v>0</v>
      </c>
      <c r="AH74" s="93"/>
      <c r="AI74" s="93"/>
      <c r="AJ74" s="93"/>
      <c r="AK74" s="93"/>
      <c r="AL74" s="122">
        <f t="shared" si="59"/>
        <v>0.57551046391342398</v>
      </c>
      <c r="AM74" s="93">
        <v>0</v>
      </c>
      <c r="AN74" s="325">
        <f t="shared" si="49"/>
        <v>0</v>
      </c>
      <c r="AO74" s="95">
        <f t="shared" si="60"/>
        <v>-0.57551046391342398</v>
      </c>
      <c r="AP74" s="96"/>
      <c r="AQ74" s="97">
        <f t="shared" si="9"/>
        <v>0</v>
      </c>
      <c r="AR74" s="98">
        <f t="shared" si="37"/>
        <v>134.79</v>
      </c>
      <c r="AS74" s="98">
        <f t="shared" si="11"/>
        <v>0</v>
      </c>
      <c r="AT74" s="98">
        <f t="shared" si="12"/>
        <v>0</v>
      </c>
      <c r="AU74" s="98">
        <f t="shared" si="61"/>
        <v>0</v>
      </c>
      <c r="AV74" s="98">
        <f t="array" ref="AV74">_xlfn.IFS(U74=0,AO74,U74&lt;0,AO74/-U74,U74&gt;0,AO74/U74)</f>
        <v>-0.57551046391342398</v>
      </c>
      <c r="AW74" s="234">
        <f t="shared" si="46"/>
        <v>0</v>
      </c>
      <c r="AX74" s="234">
        <f t="shared" si="47"/>
        <v>-4.2696822013014619E-3</v>
      </c>
      <c r="AY74" s="99"/>
      <c r="AZ74" s="94">
        <f t="shared" si="15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50"/>
        <v>0.33333333333333331</v>
      </c>
      <c r="R75" s="92">
        <f t="shared" si="51"/>
        <v>0</v>
      </c>
      <c r="S75" s="93">
        <v>0</v>
      </c>
      <c r="T75" s="93">
        <v>0</v>
      </c>
      <c r="U75" s="92">
        <f t="shared" si="52"/>
        <v>0</v>
      </c>
      <c r="V75" s="93">
        <v>0</v>
      </c>
      <c r="W75" s="93">
        <v>0</v>
      </c>
      <c r="X75" s="92">
        <f t="shared" si="53"/>
        <v>0</v>
      </c>
      <c r="Y75" s="93">
        <v>0</v>
      </c>
      <c r="Z75" s="93">
        <v>0</v>
      </c>
      <c r="AA75" s="92">
        <f t="shared" si="54"/>
        <v>0</v>
      </c>
      <c r="AB75" s="92">
        <f t="shared" si="55"/>
        <v>1347</v>
      </c>
      <c r="AC75" s="234">
        <f t="shared" si="56"/>
        <v>0</v>
      </c>
      <c r="AD75" s="92">
        <f t="shared" si="57"/>
        <v>0</v>
      </c>
      <c r="AE75" s="93">
        <v>0</v>
      </c>
      <c r="AF75" s="234">
        <f t="shared" si="58"/>
        <v>0</v>
      </c>
      <c r="AG75" s="93">
        <v>378.34</v>
      </c>
      <c r="AH75" s="93"/>
      <c r="AI75" s="93"/>
      <c r="AJ75" s="93"/>
      <c r="AK75" s="93"/>
      <c r="AL75" s="122">
        <f t="shared" si="59"/>
        <v>0</v>
      </c>
      <c r="AM75" s="93">
        <v>0</v>
      </c>
      <c r="AN75" s="325">
        <f t="shared" si="49"/>
        <v>0</v>
      </c>
      <c r="AO75" s="95">
        <f t="shared" si="60"/>
        <v>-378.34</v>
      </c>
      <c r="AP75" s="96"/>
      <c r="AQ75" s="97">
        <f t="shared" si="9"/>
        <v>0</v>
      </c>
      <c r="AR75" s="98">
        <f t="shared" si="37"/>
        <v>134.79</v>
      </c>
      <c r="AS75" s="98">
        <f t="shared" si="11"/>
        <v>0</v>
      </c>
      <c r="AT75" s="98">
        <f t="shared" si="12"/>
        <v>378.34</v>
      </c>
      <c r="AU75" s="98">
        <f t="shared" si="61"/>
        <v>0</v>
      </c>
      <c r="AV75" s="98">
        <f t="array" ref="AV75">_xlfn.IFS(U75=0,AO75,U75&lt;0,AO75/-U75,U75&gt;0,AO75/U75)</f>
        <v>-378.34</v>
      </c>
      <c r="AW75" s="234">
        <f t="shared" si="46"/>
        <v>0</v>
      </c>
      <c r="AX75" s="234">
        <f t="shared" si="47"/>
        <v>-2.806884783737666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14.387761597835601</v>
      </c>
      <c r="AM76" s="93">
        <v>0</v>
      </c>
      <c r="AN76" s="325">
        <f t="shared" si="49"/>
        <v>0</v>
      </c>
      <c r="AO76" s="95">
        <f t="shared" si="60"/>
        <v>-14.387761597835601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-14.387761597835601</v>
      </c>
      <c r="AW76" s="234">
        <f t="shared" si="46"/>
        <v>0</v>
      </c>
      <c r="AX76" s="234">
        <f t="shared" si="47"/>
        <v>-0.11688814361715492</v>
      </c>
      <c r="AY76" s="99"/>
      <c r="AZ76" s="94">
        <f t="shared" si="15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11.222454046311768</v>
      </c>
      <c r="AM77" s="93">
        <v>0</v>
      </c>
      <c r="AN77" s="325">
        <f t="shared" si="49"/>
        <v>0</v>
      </c>
      <c r="AO77" s="95">
        <f t="shared" si="60"/>
        <v>-11.222454046311768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-11.222454046311768</v>
      </c>
      <c r="AW77" s="234">
        <f t="shared" si="46"/>
        <v>0</v>
      </c>
      <c r="AX77" s="234">
        <f t="shared" si="47"/>
        <v>-9.1172752021380837E-2</v>
      </c>
      <c r="AY77" s="99"/>
      <c r="AZ77" s="94">
        <f t="shared" si="15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50"/>
        <v>0</v>
      </c>
      <c r="R78" s="92">
        <f t="shared" si="51"/>
        <v>0</v>
      </c>
      <c r="S78" s="93">
        <v>0</v>
      </c>
      <c r="T78" s="93">
        <v>0</v>
      </c>
      <c r="U78" s="92">
        <f t="shared" si="52"/>
        <v>0</v>
      </c>
      <c r="V78" s="93">
        <v>0</v>
      </c>
      <c r="W78" s="93">
        <v>0</v>
      </c>
      <c r="X78" s="92">
        <f t="shared" si="53"/>
        <v>0</v>
      </c>
      <c r="Y78" s="93">
        <v>0</v>
      </c>
      <c r="Z78" s="93">
        <v>0</v>
      </c>
      <c r="AA78" s="92">
        <f t="shared" si="54"/>
        <v>0</v>
      </c>
      <c r="AB78" s="92">
        <f t="shared" si="55"/>
        <v>0</v>
      </c>
      <c r="AC78" s="234">
        <f t="shared" si="56"/>
        <v>0</v>
      </c>
      <c r="AD78" s="92">
        <f t="shared" si="57"/>
        <v>0</v>
      </c>
      <c r="AE78" s="93">
        <v>0</v>
      </c>
      <c r="AF78" s="234">
        <f t="shared" si="58"/>
        <v>0</v>
      </c>
      <c r="AG78" s="93">
        <v>0</v>
      </c>
      <c r="AH78" s="93"/>
      <c r="AI78" s="93"/>
      <c r="AJ78" s="93"/>
      <c r="AK78" s="93"/>
      <c r="AL78" s="122">
        <f t="shared" si="59"/>
        <v>8.6326569587013608</v>
      </c>
      <c r="AM78" s="93">
        <v>0</v>
      </c>
      <c r="AN78" s="325">
        <f t="shared" si="49"/>
        <v>0</v>
      </c>
      <c r="AO78" s="95">
        <f t="shared" si="60"/>
        <v>-8.6326569587013608</v>
      </c>
      <c r="AP78" s="96"/>
      <c r="AQ78" s="97">
        <f t="shared" si="9"/>
        <v>0</v>
      </c>
      <c r="AR78" s="98">
        <f t="shared" si="37"/>
        <v>123.09</v>
      </c>
      <c r="AS78" s="98">
        <f t="shared" si="11"/>
        <v>0</v>
      </c>
      <c r="AT78" s="98">
        <f t="shared" si="12"/>
        <v>0</v>
      </c>
      <c r="AU78" s="98">
        <f t="shared" si="61"/>
        <v>0</v>
      </c>
      <c r="AV78" s="98">
        <f t="array" ref="AV78">_xlfn.IFS(U78=0,AO78,U78&lt;0,AO78/-U78,U78&gt;0,AO78/U78)</f>
        <v>-8.6326569587013608</v>
      </c>
      <c r="AW78" s="234">
        <f t="shared" si="46"/>
        <v>0</v>
      </c>
      <c r="AX78" s="234">
        <f t="shared" si="47"/>
        <v>-7.0132886170292966E-2</v>
      </c>
      <c r="AY78" s="99"/>
      <c r="AZ78" s="94">
        <f t="shared" si="15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50"/>
        <v>0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0</v>
      </c>
      <c r="AH79" s="93"/>
      <c r="AI79" s="93"/>
      <c r="AJ79" s="93"/>
      <c r="AK79" s="93"/>
      <c r="AL79" s="122">
        <f t="shared" si="59"/>
        <v>14.100006365878889</v>
      </c>
      <c r="AM79" s="93">
        <v>0</v>
      </c>
      <c r="AN79" s="325">
        <f t="shared" si="49"/>
        <v>0</v>
      </c>
      <c r="AO79" s="95">
        <f t="shared" si="60"/>
        <v>-14.100006365878889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0</v>
      </c>
      <c r="AU79" s="98">
        <f t="shared" si="61"/>
        <v>0</v>
      </c>
      <c r="AV79" s="98">
        <f t="array" ref="AV79">_xlfn.IFS(U79=0,AO79,U79&lt;0,AO79/-U79,U79&gt;0,AO79/U79)</f>
        <v>-14.100006365878889</v>
      </c>
      <c r="AW79" s="234">
        <f t="shared" si="46"/>
        <v>0</v>
      </c>
      <c r="AX79" s="234">
        <f t="shared" si="47"/>
        <v>-8.5954684015355332E-2</v>
      </c>
      <c r="AY79" s="99"/>
      <c r="AZ79" s="94">
        <f t="shared" si="15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14.100006365878889</v>
      </c>
      <c r="AM80" s="93">
        <v>0</v>
      </c>
      <c r="AN80" s="325">
        <f t="shared" si="49"/>
        <v>0</v>
      </c>
      <c r="AO80" s="95">
        <f t="shared" si="60"/>
        <v>-14.100006365878889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-14.100006365878889</v>
      </c>
      <c r="AW80" s="234">
        <f t="shared" si="46"/>
        <v>0</v>
      </c>
      <c r="AX80" s="234">
        <f t="shared" si="47"/>
        <v>-8.5954684015355332E-2</v>
      </c>
      <c r="AY80" s="99"/>
      <c r="AZ80" s="94">
        <f t="shared" si="15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50"/>
        <v>0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0</v>
      </c>
      <c r="AH81" s="93"/>
      <c r="AI81" s="93"/>
      <c r="AJ81" s="93"/>
      <c r="AK81" s="93"/>
      <c r="AL81" s="122">
        <f t="shared" si="59"/>
        <v>14.100006365878889</v>
      </c>
      <c r="AM81" s="93">
        <v>0</v>
      </c>
      <c r="AN81" s="325">
        <f t="shared" si="49"/>
        <v>0</v>
      </c>
      <c r="AO81" s="95">
        <f t="shared" si="60"/>
        <v>-14.100006365878889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0</v>
      </c>
      <c r="AU81" s="98">
        <f t="shared" si="61"/>
        <v>0</v>
      </c>
      <c r="AV81" s="98">
        <f t="array" ref="AV81">_xlfn.IFS(U81=0,AO81,U81&lt;0,AO81/-U81,U81&gt;0,AO81/U81)</f>
        <v>-14.100006365878889</v>
      </c>
      <c r="AW81" s="234">
        <f t="shared" si="46"/>
        <v>0</v>
      </c>
      <c r="AX81" s="234">
        <f t="shared" si="47"/>
        <v>-0.10935323689994485</v>
      </c>
      <c r="AY81" s="99"/>
      <c r="AZ81" s="94">
        <f t="shared" si="15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14.100006365878889</v>
      </c>
      <c r="AM82" s="93">
        <v>0</v>
      </c>
      <c r="AN82" s="325">
        <f t="shared" si="49"/>
        <v>0</v>
      </c>
      <c r="AO82" s="95">
        <f t="shared" si="60"/>
        <v>-14.100006365878889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-14.100006365878889</v>
      </c>
      <c r="AW82" s="234">
        <f t="shared" si="46"/>
        <v>0</v>
      </c>
      <c r="AX82" s="234">
        <f t="shared" si="47"/>
        <v>-0.10935323689994485</v>
      </c>
      <c r="AY82" s="99"/>
      <c r="AZ82" s="94">
        <f t="shared" si="15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50"/>
        <v>0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0</v>
      </c>
      <c r="AH83" s="93"/>
      <c r="AI83" s="93"/>
      <c r="AJ83" s="93"/>
      <c r="AK83" s="93"/>
      <c r="AL83" s="122">
        <f t="shared" si="59"/>
        <v>13.812251133922176</v>
      </c>
      <c r="AM83" s="93">
        <v>0</v>
      </c>
      <c r="AN83" s="325">
        <f t="shared" si="49"/>
        <v>0</v>
      </c>
      <c r="AO83" s="95">
        <f t="shared" si="60"/>
        <v>-13.812251133922176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0</v>
      </c>
      <c r="AU83" s="98">
        <f t="shared" si="61"/>
        <v>0</v>
      </c>
      <c r="AV83" s="98">
        <f t="array" ref="AV83">_xlfn.IFS(U83=0,AO83,U83&lt;0,AO83/-U83,U83&gt;0,AO83/U83)</f>
        <v>-13.812251133922176</v>
      </c>
      <c r="AW83" s="234">
        <f t="shared" si="46"/>
        <v>0</v>
      </c>
      <c r="AX83" s="234">
        <f t="shared" si="47"/>
        <v>-0.11221261787246872</v>
      </c>
      <c r="AY83" s="99"/>
      <c r="AZ83" s="94">
        <f t="shared" si="15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50"/>
        <v>0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0</v>
      </c>
      <c r="AH84" s="93"/>
      <c r="AI84" s="93"/>
      <c r="AJ84" s="93"/>
      <c r="AK84" s="93"/>
      <c r="AL84" s="122">
        <f t="shared" si="59"/>
        <v>13.236740670008754</v>
      </c>
      <c r="AM84" s="93">
        <v>0</v>
      </c>
      <c r="AN84" s="325">
        <f t="shared" si="49"/>
        <v>0</v>
      </c>
      <c r="AO84" s="95">
        <f t="shared" si="60"/>
        <v>-13.236740670008754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0</v>
      </c>
      <c r="AU84" s="98">
        <f t="shared" si="61"/>
        <v>0</v>
      </c>
      <c r="AV84" s="98">
        <f t="array" ref="AV84">_xlfn.IFS(U84=0,AO84,U84&lt;0,AO84/-U84,U84&gt;0,AO84/U84)</f>
        <v>-13.236740670008754</v>
      </c>
      <c r="AW84" s="234">
        <f t="shared" si="46"/>
        <v>0</v>
      </c>
      <c r="AX84" s="234">
        <f t="shared" si="47"/>
        <v>-9.0359346508353824E-2</v>
      </c>
      <c r="AY84" s="99"/>
      <c r="AZ84" s="94">
        <f t="shared" si="15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50"/>
        <v>0.33333333333333331</v>
      </c>
      <c r="R85" s="92">
        <f t="shared" si="51"/>
        <v>0</v>
      </c>
      <c r="S85" s="93">
        <v>0</v>
      </c>
      <c r="T85" s="93">
        <v>0</v>
      </c>
      <c r="U85" s="92">
        <f t="shared" si="52"/>
        <v>0</v>
      </c>
      <c r="V85" s="93">
        <v>0</v>
      </c>
      <c r="W85" s="93">
        <v>0</v>
      </c>
      <c r="X85" s="92">
        <f t="shared" si="53"/>
        <v>0</v>
      </c>
      <c r="Y85" s="93">
        <v>0</v>
      </c>
      <c r="Z85" s="93">
        <v>0</v>
      </c>
      <c r="AA85" s="92">
        <f t="shared" si="54"/>
        <v>0</v>
      </c>
      <c r="AB85" s="92">
        <f t="shared" si="55"/>
        <v>0</v>
      </c>
      <c r="AC85" s="234">
        <f t="shared" si="56"/>
        <v>0</v>
      </c>
      <c r="AD85" s="92">
        <f t="shared" si="57"/>
        <v>0</v>
      </c>
      <c r="AE85" s="93">
        <v>0</v>
      </c>
      <c r="AF85" s="234">
        <f t="shared" si="58"/>
        <v>0</v>
      </c>
      <c r="AG85" s="93">
        <v>91.81</v>
      </c>
      <c r="AH85" s="93"/>
      <c r="AI85" s="93"/>
      <c r="AJ85" s="93"/>
      <c r="AK85" s="93"/>
      <c r="AL85" s="122">
        <f t="shared" si="59"/>
        <v>12.085719742181904</v>
      </c>
      <c r="AM85" s="93">
        <v>0</v>
      </c>
      <c r="AN85" s="325">
        <f t="shared" si="49"/>
        <v>0</v>
      </c>
      <c r="AO85" s="95">
        <f t="shared" si="60"/>
        <v>-103.89571974218191</v>
      </c>
      <c r="AP85" s="96"/>
      <c r="AQ85" s="97">
        <f t="shared" si="9"/>
        <v>0</v>
      </c>
      <c r="AR85" s="98">
        <f t="shared" si="37"/>
        <v>103.2</v>
      </c>
      <c r="AS85" s="98">
        <f t="shared" si="11"/>
        <v>0</v>
      </c>
      <c r="AT85" s="98">
        <f t="shared" si="12"/>
        <v>91.81</v>
      </c>
      <c r="AU85" s="98">
        <f t="shared" si="61"/>
        <v>0</v>
      </c>
      <c r="AV85" s="98">
        <f t="array" ref="AV85">_xlfn.IFS(U85=0,AO85,U85&lt;0,AO85/-U85,U85&gt;0,AO85/U85)</f>
        <v>-103.89571974218191</v>
      </c>
      <c r="AW85" s="234">
        <f t="shared" si="46"/>
        <v>0</v>
      </c>
      <c r="AX85" s="234">
        <f t="shared" si="47"/>
        <v>-1.0067414703699797</v>
      </c>
      <c r="AY85" s="99"/>
      <c r="AZ85" s="94">
        <f t="shared" si="15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50"/>
        <v>0</v>
      </c>
      <c r="R86" s="92">
        <f t="shared" si="51"/>
        <v>0</v>
      </c>
      <c r="S86" s="93">
        <v>0</v>
      </c>
      <c r="T86" s="93">
        <v>0</v>
      </c>
      <c r="U86" s="92">
        <f t="shared" si="52"/>
        <v>0</v>
      </c>
      <c r="V86" s="93">
        <v>0</v>
      </c>
      <c r="W86" s="93">
        <v>0</v>
      </c>
      <c r="X86" s="92">
        <f t="shared" si="53"/>
        <v>0</v>
      </c>
      <c r="Y86" s="93">
        <v>0</v>
      </c>
      <c r="Z86" s="93">
        <v>0</v>
      </c>
      <c r="AA86" s="92">
        <f t="shared" si="54"/>
        <v>0</v>
      </c>
      <c r="AB86" s="92">
        <f t="shared" si="55"/>
        <v>0</v>
      </c>
      <c r="AC86" s="234">
        <f t="shared" si="56"/>
        <v>0</v>
      </c>
      <c r="AD86" s="92">
        <f t="shared" si="57"/>
        <v>0</v>
      </c>
      <c r="AE86" s="93">
        <v>0</v>
      </c>
      <c r="AF86" s="234">
        <f t="shared" si="58"/>
        <v>0</v>
      </c>
      <c r="AG86" s="93">
        <v>0</v>
      </c>
      <c r="AH86" s="93"/>
      <c r="AI86" s="93"/>
      <c r="AJ86" s="93"/>
      <c r="AK86" s="93"/>
      <c r="AL86" s="122">
        <f t="shared" si="59"/>
        <v>14.100006365878889</v>
      </c>
      <c r="AM86" s="93">
        <v>0</v>
      </c>
      <c r="AN86" s="325">
        <f t="shared" si="49"/>
        <v>0</v>
      </c>
      <c r="AO86" s="95">
        <f t="shared" si="60"/>
        <v>-14.100006365878889</v>
      </c>
      <c r="AP86" s="96"/>
      <c r="AQ86" s="97">
        <f t="shared" si="9"/>
        <v>0</v>
      </c>
      <c r="AR86" s="98">
        <f t="shared" si="37"/>
        <v>150</v>
      </c>
      <c r="AS86" s="98">
        <f t="shared" si="11"/>
        <v>0</v>
      </c>
      <c r="AT86" s="98">
        <f t="shared" si="12"/>
        <v>0</v>
      </c>
      <c r="AU86" s="98">
        <f t="shared" si="61"/>
        <v>0</v>
      </c>
      <c r="AV86" s="98">
        <f t="array" ref="AV86">_xlfn.IFS(U86=0,AO86,U86&lt;0,AO86/-U86,U86&gt;0,AO86/U86)</f>
        <v>-14.100006365878889</v>
      </c>
      <c r="AW86" s="234">
        <f t="shared" si="46"/>
        <v>0</v>
      </c>
      <c r="AX86" s="234">
        <f t="shared" si="47"/>
        <v>-9.4000042439192591E-2</v>
      </c>
      <c r="AY86" s="99"/>
      <c r="AZ86" s="94">
        <f t="shared" si="15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50"/>
        <v>0</v>
      </c>
      <c r="R87" s="92">
        <f t="shared" si="51"/>
        <v>0</v>
      </c>
      <c r="S87" s="93">
        <v>0</v>
      </c>
      <c r="T87" s="93">
        <v>0</v>
      </c>
      <c r="U87" s="92">
        <f t="shared" si="52"/>
        <v>0</v>
      </c>
      <c r="V87" s="93">
        <v>0</v>
      </c>
      <c r="W87" s="93">
        <v>0</v>
      </c>
      <c r="X87" s="92">
        <f t="shared" si="53"/>
        <v>0</v>
      </c>
      <c r="Y87" s="93">
        <v>0</v>
      </c>
      <c r="Z87" s="93">
        <v>0</v>
      </c>
      <c r="AA87" s="92">
        <f t="shared" si="54"/>
        <v>0</v>
      </c>
      <c r="AB87" s="92">
        <f t="shared" si="55"/>
        <v>0</v>
      </c>
      <c r="AC87" s="234">
        <f t="shared" si="56"/>
        <v>0</v>
      </c>
      <c r="AD87" s="92">
        <f t="shared" si="57"/>
        <v>0</v>
      </c>
      <c r="AE87" s="93">
        <v>0</v>
      </c>
      <c r="AF87" s="234">
        <f t="shared" si="58"/>
        <v>0</v>
      </c>
      <c r="AG87" s="93">
        <v>0</v>
      </c>
      <c r="AH87" s="93"/>
      <c r="AI87" s="93"/>
      <c r="AJ87" s="93"/>
      <c r="AK87" s="93"/>
      <c r="AL87" s="122">
        <f t="shared" si="59"/>
        <v>13.236740670008754</v>
      </c>
      <c r="AM87" s="93">
        <v>0</v>
      </c>
      <c r="AN87" s="325">
        <f t="shared" si="49"/>
        <v>0</v>
      </c>
      <c r="AO87" s="95">
        <f t="shared" si="60"/>
        <v>-13.236740670008754</v>
      </c>
      <c r="AP87" s="96"/>
      <c r="AQ87" s="97">
        <f t="shared" si="9"/>
        <v>0</v>
      </c>
      <c r="AR87" s="98">
        <f t="shared" si="37"/>
        <v>150</v>
      </c>
      <c r="AS87" s="98">
        <f t="shared" si="11"/>
        <v>0</v>
      </c>
      <c r="AT87" s="98">
        <f t="shared" si="12"/>
        <v>0</v>
      </c>
      <c r="AU87" s="98">
        <f t="shared" si="61"/>
        <v>0</v>
      </c>
      <c r="AV87" s="98">
        <f t="array" ref="AV87">_xlfn.IFS(U87=0,AO87,U87&lt;0,AO87/-U87,U87&gt;0,AO87/U87)</f>
        <v>-13.236740670008754</v>
      </c>
      <c r="AW87" s="234">
        <f t="shared" si="46"/>
        <v>0</v>
      </c>
      <c r="AX87" s="234">
        <f t="shared" si="47"/>
        <v>-8.8244937800058362E-2</v>
      </c>
      <c r="AY87" s="99"/>
      <c r="AZ87" s="94">
        <f t="shared" si="15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50"/>
        <v>1.6666666666666667</v>
      </c>
      <c r="R88" s="92">
        <f t="shared" si="51"/>
        <v>0.33333333333333331</v>
      </c>
      <c r="S88" s="93">
        <v>1</v>
      </c>
      <c r="T88" s="93">
        <v>0</v>
      </c>
      <c r="U88" s="92">
        <f t="shared" si="52"/>
        <v>1</v>
      </c>
      <c r="V88" s="93">
        <v>1152</v>
      </c>
      <c r="W88" s="93">
        <v>0</v>
      </c>
      <c r="X88" s="92">
        <f t="shared" si="53"/>
        <v>1152</v>
      </c>
      <c r="Y88" s="93">
        <v>1347</v>
      </c>
      <c r="Z88" s="93">
        <v>0</v>
      </c>
      <c r="AA88" s="92">
        <f t="shared" si="54"/>
        <v>1347</v>
      </c>
      <c r="AB88" s="92">
        <f t="shared" si="55"/>
        <v>2694</v>
      </c>
      <c r="AC88" s="234">
        <f t="shared" si="56"/>
        <v>1.0248133405590155E-2</v>
      </c>
      <c r="AD88" s="92">
        <f t="shared" si="57"/>
        <v>150</v>
      </c>
      <c r="AE88" s="93">
        <v>496.69000000000005</v>
      </c>
      <c r="AF88" s="234">
        <f t="shared" si="58"/>
        <v>0.36873793615441725</v>
      </c>
      <c r="AG88" s="93">
        <v>498.12</v>
      </c>
      <c r="AH88" s="93"/>
      <c r="AI88" s="93"/>
      <c r="AJ88" s="93"/>
      <c r="AK88" s="93"/>
      <c r="AL88" s="122">
        <f t="shared" si="59"/>
        <v>8.9204121906580713</v>
      </c>
      <c r="AM88" s="93">
        <v>0</v>
      </c>
      <c r="AN88" s="325">
        <f t="shared" si="49"/>
        <v>58.810474353282991</v>
      </c>
      <c r="AO88" s="95">
        <f t="shared" si="60"/>
        <v>134.45911345605887</v>
      </c>
      <c r="AP88" s="96"/>
      <c r="AQ88" s="97">
        <f t="shared" si="9"/>
        <v>1347</v>
      </c>
      <c r="AR88" s="98">
        <f t="shared" si="37"/>
        <v>150</v>
      </c>
      <c r="AS88" s="98">
        <f t="shared" si="11"/>
        <v>496.69000000000005</v>
      </c>
      <c r="AT88" s="98">
        <f t="shared" si="12"/>
        <v>498.12</v>
      </c>
      <c r="AU88" s="98">
        <f t="shared" si="61"/>
        <v>0</v>
      </c>
      <c r="AV88" s="98">
        <f t="array" ref="AV88">_xlfn.IFS(U88=0,AO88,U88&lt;0,AO88/-U88,U88&gt;0,AO88/U88)</f>
        <v>134.45911345605887</v>
      </c>
      <c r="AW88" s="234">
        <f t="shared" si="46"/>
        <v>9.9821168118826187E-2</v>
      </c>
      <c r="AX88" s="234">
        <f t="shared" si="47"/>
        <v>0.89639408970705914</v>
      </c>
      <c r="AY88" s="99"/>
      <c r="AZ88" s="94">
        <f t="shared" si="15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50"/>
        <v>0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0</v>
      </c>
      <c r="AH89" s="93"/>
      <c r="AI89" s="93"/>
      <c r="AJ89" s="93"/>
      <c r="AK89" s="93"/>
      <c r="AL89" s="122">
        <f t="shared" si="59"/>
        <v>13.236740670008754</v>
      </c>
      <c r="AM89" s="93">
        <v>0</v>
      </c>
      <c r="AN89" s="325">
        <f t="shared" si="49"/>
        <v>0</v>
      </c>
      <c r="AO89" s="95">
        <f t="shared" si="60"/>
        <v>-13.236740670008754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0</v>
      </c>
      <c r="AU89" s="98">
        <f t="shared" si="61"/>
        <v>0</v>
      </c>
      <c r="AV89" s="98">
        <f t="array" ref="AV89">_xlfn.IFS(U89=0,AO89,U89&lt;0,AO89/-U89,U89&gt;0,AO89/U89)</f>
        <v>-13.236740670008754</v>
      </c>
      <c r="AW89" s="234">
        <f t="shared" si="46"/>
        <v>0</v>
      </c>
      <c r="AX89" s="234">
        <f t="shared" si="47"/>
        <v>-7.7913595090992729E-2</v>
      </c>
      <c r="AY89" s="99"/>
      <c r="AZ89" s="94">
        <f t="shared" si="15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14.387761597835601</v>
      </c>
      <c r="AM90" s="93">
        <v>0</v>
      </c>
      <c r="AN90" s="325">
        <f t="shared" si="49"/>
        <v>0</v>
      </c>
      <c r="AO90" s="95">
        <f t="shared" si="60"/>
        <v>-14.387761597835601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-14.387761597835601</v>
      </c>
      <c r="AW90" s="234">
        <f t="shared" si="46"/>
        <v>0</v>
      </c>
      <c r="AX90" s="234">
        <f t="shared" si="47"/>
        <v>-0.13336820168553579</v>
      </c>
      <c r="AY90" s="99"/>
      <c r="AZ90" s="94">
        <f t="shared" si="15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50"/>
        <v>0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10.646943582398343</v>
      </c>
      <c r="AM91" s="93">
        <v>0</v>
      </c>
      <c r="AN91" s="325">
        <f t="shared" si="49"/>
        <v>0</v>
      </c>
      <c r="AO91" s="95">
        <f t="shared" si="60"/>
        <v>-10.646943582398343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-10.646943582398343</v>
      </c>
      <c r="AW91" s="234">
        <f t="shared" si="46"/>
        <v>0</v>
      </c>
      <c r="AX91" s="234">
        <f t="shared" si="47"/>
        <v>-0.11345847807329862</v>
      </c>
      <c r="AY91" s="99"/>
      <c r="AZ91" s="94">
        <f t="shared" si="15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50"/>
        <v>0</v>
      </c>
      <c r="R92" s="92">
        <f t="shared" si="51"/>
        <v>0</v>
      </c>
      <c r="S92" s="93">
        <v>0</v>
      </c>
      <c r="T92" s="93">
        <v>0</v>
      </c>
      <c r="U92" s="92">
        <f t="shared" si="52"/>
        <v>0</v>
      </c>
      <c r="V92" s="93">
        <v>0</v>
      </c>
      <c r="W92" s="93">
        <v>0</v>
      </c>
      <c r="X92" s="92">
        <f t="shared" si="53"/>
        <v>0</v>
      </c>
      <c r="Y92" s="93">
        <v>0</v>
      </c>
      <c r="Z92" s="93">
        <v>0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0</v>
      </c>
      <c r="AH92" s="93"/>
      <c r="AI92" s="93"/>
      <c r="AJ92" s="93"/>
      <c r="AK92" s="93"/>
      <c r="AL92" s="122">
        <f t="shared" si="59"/>
        <v>14.100006365878889</v>
      </c>
      <c r="AM92" s="93">
        <v>0</v>
      </c>
      <c r="AN92" s="325">
        <f t="shared" si="49"/>
        <v>0</v>
      </c>
      <c r="AO92" s="95">
        <f t="shared" si="60"/>
        <v>-14.100006365878889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0</v>
      </c>
      <c r="AU92" s="98">
        <f t="shared" si="61"/>
        <v>0</v>
      </c>
      <c r="AV92" s="98">
        <f t="array" ref="AV92">_xlfn.IFS(U92=0,AO92,U92&lt;0,AO92/-U92,U92&gt;0,AO92/U92)</f>
        <v>-14.100006365878889</v>
      </c>
      <c r="AW92" s="234">
        <f t="shared" si="46"/>
        <v>0</v>
      </c>
      <c r="AX92" s="234">
        <f t="shared" si="47"/>
        <v>-0.10109705575305721</v>
      </c>
      <c r="AY92" s="99"/>
      <c r="AZ92" s="94">
        <f t="shared" si="15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50"/>
        <v>0</v>
      </c>
      <c r="R93" s="92">
        <f t="shared" si="51"/>
        <v>0</v>
      </c>
      <c r="S93" s="93">
        <v>0</v>
      </c>
      <c r="T93" s="93">
        <v>0</v>
      </c>
      <c r="U93" s="92">
        <f t="shared" si="52"/>
        <v>0</v>
      </c>
      <c r="V93" s="93">
        <v>0</v>
      </c>
      <c r="W93" s="93">
        <v>0</v>
      </c>
      <c r="X93" s="92">
        <f t="shared" si="53"/>
        <v>0</v>
      </c>
      <c r="Y93" s="93">
        <v>0</v>
      </c>
      <c r="Z93" s="93">
        <v>0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0</v>
      </c>
      <c r="AH93" s="93"/>
      <c r="AI93" s="93"/>
      <c r="AJ93" s="93"/>
      <c r="AK93" s="93"/>
      <c r="AL93" s="122">
        <f t="shared" si="59"/>
        <v>13.524495901965464</v>
      </c>
      <c r="AM93" s="93">
        <v>0</v>
      </c>
      <c r="AN93" s="325">
        <f t="shared" si="49"/>
        <v>0</v>
      </c>
      <c r="AO93" s="95">
        <f t="shared" si="60"/>
        <v>-13.524495901965464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0</v>
      </c>
      <c r="AU93" s="98">
        <f t="shared" si="61"/>
        <v>0</v>
      </c>
      <c r="AV93" s="98">
        <f t="array" ref="AV93">_xlfn.IFS(U93=0,AO93,U93&lt;0,AO93/-U93,U93&gt;0,AO93/U93)</f>
        <v>-13.524495901965464</v>
      </c>
      <c r="AW93" s="234">
        <f t="shared" si="46"/>
        <v>0</v>
      </c>
      <c r="AX93" s="234">
        <f t="shared" si="47"/>
        <v>-9.6970645314156903E-2</v>
      </c>
      <c r="AY93" s="99"/>
      <c r="AZ93" s="94">
        <f t="shared" si="15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0.57551046391342398</v>
      </c>
      <c r="AM94" s="93">
        <v>0</v>
      </c>
      <c r="AN94" s="325">
        <f t="shared" si="49"/>
        <v>0</v>
      </c>
      <c r="AO94" s="95">
        <f t="shared" si="60"/>
        <v>-0.57551046391342398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-0.57551046391342398</v>
      </c>
      <c r="AW94" s="234">
        <f t="shared" si="46"/>
        <v>0</v>
      </c>
      <c r="AX94" s="234">
        <f t="shared" si="47"/>
        <v>-1.4384884620911417E-3</v>
      </c>
      <c r="AY94" s="99"/>
      <c r="AZ94" s="94">
        <f t="shared" si="15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0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0.28775523195671199</v>
      </c>
      <c r="AM95" s="93">
        <v>0</v>
      </c>
      <c r="AN95" s="325">
        <f t="shared" si="49"/>
        <v>0</v>
      </c>
      <c r="AO95" s="95">
        <f t="shared" si="60"/>
        <v>-0.28775523195671199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-0.28775523195671199</v>
      </c>
      <c r="AW95" s="234">
        <f t="shared" si="46"/>
        <v>0</v>
      </c>
      <c r="AX95" s="234">
        <f t="shared" si="47"/>
        <v>-7.1924423104557087E-4</v>
      </c>
      <c r="AY95" s="99"/>
      <c r="AZ95" s="94">
        <f t="shared" si="15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v>0</v>
      </c>
      <c r="T96" s="93">
        <v>0</v>
      </c>
      <c r="U96" s="92">
        <f t="shared" si="52"/>
        <v>0</v>
      </c>
      <c r="V96" s="93">
        <v>0</v>
      </c>
      <c r="W96" s="93">
        <v>0</v>
      </c>
      <c r="X96" s="92">
        <f t="shared" si="53"/>
        <v>0</v>
      </c>
      <c r="Y96" s="93">
        <v>0</v>
      </c>
      <c r="Z96" s="93">
        <v>0</v>
      </c>
      <c r="AA96" s="92">
        <f t="shared" si="54"/>
        <v>0</v>
      </c>
      <c r="AB96" s="92">
        <f t="shared" si="55"/>
        <v>0</v>
      </c>
      <c r="AC96" s="234">
        <f t="shared" si="56"/>
        <v>0</v>
      </c>
      <c r="AD96" s="92">
        <f t="shared" si="57"/>
        <v>0</v>
      </c>
      <c r="AE96" s="93">
        <v>0</v>
      </c>
      <c r="AF96" s="234">
        <f t="shared" si="58"/>
        <v>0</v>
      </c>
      <c r="AG96" s="93">
        <v>0</v>
      </c>
      <c r="AH96" s="93"/>
      <c r="AI96" s="93"/>
      <c r="AJ96" s="93"/>
      <c r="AK96" s="93"/>
      <c r="AL96" s="122">
        <f t="shared" si="59"/>
        <v>0.28775523195671199</v>
      </c>
      <c r="AM96" s="93">
        <v>0</v>
      </c>
      <c r="AN96" s="325">
        <f t="shared" si="49"/>
        <v>0</v>
      </c>
      <c r="AO96" s="95">
        <f t="shared" si="60"/>
        <v>-0.28775523195671199</v>
      </c>
      <c r="AP96" s="96"/>
      <c r="AQ96" s="97">
        <f t="shared" si="9"/>
        <v>0</v>
      </c>
      <c r="AR96" s="98">
        <f t="shared" si="37"/>
        <v>300.08</v>
      </c>
      <c r="AS96" s="98">
        <f t="shared" si="11"/>
        <v>0</v>
      </c>
      <c r="AT96" s="98">
        <f t="shared" si="12"/>
        <v>0</v>
      </c>
      <c r="AU96" s="98">
        <f t="shared" si="61"/>
        <v>0</v>
      </c>
      <c r="AV96" s="98">
        <f t="array" ref="AV96">_xlfn.IFS(U96=0,AO96,U96&lt;0,AO96/-U96,U96&gt;0,AO96/U96)</f>
        <v>-0.28775523195671199</v>
      </c>
      <c r="AW96" s="234">
        <f t="shared" si="46"/>
        <v>0</v>
      </c>
      <c r="AX96" s="234">
        <f t="shared" si="47"/>
        <v>-9.589283922844308E-4</v>
      </c>
      <c r="AY96" s="99"/>
      <c r="AZ96" s="94">
        <f t="shared" si="15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1.151020927826848</v>
      </c>
      <c r="AM97" s="93">
        <v>0</v>
      </c>
      <c r="AN97" s="325">
        <f t="shared" si="49"/>
        <v>0</v>
      </c>
      <c r="AO97" s="95">
        <f t="shared" si="60"/>
        <v>-1.151020927826848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-1.151020927826848</v>
      </c>
      <c r="AW97" s="234">
        <f t="shared" si="46"/>
        <v>0</v>
      </c>
      <c r="AX97" s="234">
        <f t="shared" si="47"/>
        <v>-2.8769769241822835E-3</v>
      </c>
      <c r="AY97" s="99"/>
      <c r="AZ97" s="94">
        <f t="shared" si="15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4.6040837113073918</v>
      </c>
      <c r="AM98" s="93">
        <v>0</v>
      </c>
      <c r="AN98" s="325">
        <f t="shared" si="49"/>
        <v>0</v>
      </c>
      <c r="AO98" s="95">
        <f t="shared" si="60"/>
        <v>-4.6040837113073918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-4.6040837113073918</v>
      </c>
      <c r="AW98" s="234">
        <f t="shared" si="46"/>
        <v>0</v>
      </c>
      <c r="AX98" s="234">
        <f t="shared" si="47"/>
        <v>-1.5342854276550893E-2</v>
      </c>
      <c r="AY98" s="99"/>
      <c r="AZ98" s="94">
        <f t="shared" ref="AZ98" si="65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268.49660326086956</v>
      </c>
      <c r="AR99" s="111">
        <f t="shared" si="66"/>
        <v>141.22217391304349</v>
      </c>
      <c r="AS99" s="111">
        <f t="shared" si="66"/>
        <v>98.095032938076415</v>
      </c>
      <c r="AT99" s="111">
        <f t="shared" si="66"/>
        <v>46.515038372859024</v>
      </c>
      <c r="AU99" s="111">
        <f t="shared" si="66"/>
        <v>0</v>
      </c>
      <c r="AV99" s="111">
        <f t="shared" si="66"/>
        <v>43.470460441938364</v>
      </c>
      <c r="AW99" s="112">
        <f t="shared" si="66"/>
        <v>5.5167176134481355E-2</v>
      </c>
      <c r="AX99" s="112">
        <f t="shared" si="66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8">SUM(S3:S98)</f>
        <v>127</v>
      </c>
      <c r="T100" s="116">
        <f t="shared" si="68"/>
        <v>-5</v>
      </c>
      <c r="U100" s="116">
        <f t="shared" si="68"/>
        <v>122</v>
      </c>
      <c r="V100" s="116">
        <f t="shared" si="68"/>
        <v>118047.57</v>
      </c>
      <c r="W100" s="116">
        <f t="shared" si="68"/>
        <v>-6409</v>
      </c>
      <c r="X100" s="116">
        <f t="shared" si="68"/>
        <v>111638.57</v>
      </c>
      <c r="Y100" s="116">
        <f t="shared" si="68"/>
        <v>138964.57</v>
      </c>
      <c r="Z100" s="116">
        <f t="shared" si="68"/>
        <v>-7526</v>
      </c>
      <c r="AA100" s="116">
        <f t="shared" si="68"/>
        <v>131438.57</v>
      </c>
      <c r="AB100" s="116">
        <f t="shared" si="68"/>
        <v>82870.180000000008</v>
      </c>
      <c r="AC100" s="239">
        <f t="shared" si="68"/>
        <v>1</v>
      </c>
      <c r="AD100" s="117">
        <f t="shared" si="68"/>
        <v>15240.450000000004</v>
      </c>
      <c r="AE100" s="116">
        <f t="shared" si="68"/>
        <v>48126.54</v>
      </c>
      <c r="AF100" s="239">
        <f>AE100/AA100</f>
        <v>0.3661523402149004</v>
      </c>
      <c r="AG100" s="116">
        <f t="shared" ref="AG100:AO100" si="69">SUM(AG3:AG98)</f>
        <v>17381.100000000002</v>
      </c>
      <c r="AH100" s="117">
        <f t="shared" si="69"/>
        <v>0</v>
      </c>
      <c r="AI100" s="117">
        <f t="shared" si="69"/>
        <v>0</v>
      </c>
      <c r="AJ100" s="117">
        <f>SUM(AJ3:AJ98)</f>
        <v>0</v>
      </c>
      <c r="AK100" s="117">
        <f t="shared" si="69"/>
        <v>0</v>
      </c>
      <c r="AL100" s="117">
        <f t="shared" si="69"/>
        <v>3615.932244768042</v>
      </c>
      <c r="AM100" s="116">
        <f t="shared" si="69"/>
        <v>0</v>
      </c>
      <c r="AN100" s="117">
        <f t="shared" si="69"/>
        <v>6067.2400000000016</v>
      </c>
      <c r="AO100" s="117">
        <f t="shared" si="69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91"/>
      <c r="AI101" s="591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1">N102/3</f>
        <v>0</v>
      </c>
      <c r="R102" s="92">
        <f t="shared" ref="R102" si="72">U102/3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80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>6067.24*Y104/Y$121</f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>6067.24*Y105/Y$121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>6067.24*Y106/Y$121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92"/>
      <c r="AI109" s="593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6067.24*Y110/Y$121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94"/>
      <c r="AI120" s="594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94">
        <f>AH101+AH109+AH120</f>
        <v>0</v>
      </c>
      <c r="AI122" s="594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Реклама</vt:lpstr>
      <vt:lpstr>Сводная_план</vt:lpstr>
      <vt:lpstr>Сводная</vt:lpstr>
      <vt:lpstr>АВС 20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20</vt:lpstr>
      <vt:lpstr>Юнит 19</vt:lpstr>
      <vt:lpstr>АПРЕЛЬ</vt:lpstr>
      <vt:lpstr>Юнит 18</vt:lpstr>
      <vt:lpstr>Юнит 17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2026-05-12T04:48:05Z</dcterms:modified>
</cp:coreProperties>
</file>