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4 нед\"/>
    </mc:Choice>
  </mc:AlternateContent>
  <xr:revisionPtr revIDLastSave="0" documentId="13_ncr:1_{296EA23D-637E-40D3-B07F-6EF0D945F5D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06-12.04" sheetId="65" state="hidden" r:id="rId2"/>
    <sheet name="АВС 30.03-05.04" sheetId="62" r:id="rId3"/>
    <sheet name="АВС МАРТ" sheetId="63" r:id="rId4"/>
    <sheet name="АВС 23-29.03" sheetId="61" state="hidden" r:id="rId5"/>
    <sheet name="АВС 16-22.03" sheetId="51" state="hidden" r:id="rId6"/>
    <sheet name="АВС 09-15.03" sheetId="47" state="hidden" r:id="rId7"/>
    <sheet name="АВС 02-08.03" sheetId="45" state="hidden" r:id="rId8"/>
    <sheet name="АВС ФЕВРАЛЬ" sheetId="44" state="hidden" r:id="rId9"/>
    <sheet name="АВС 23.02-01.03" sheetId="34" state="hidden" r:id="rId10"/>
    <sheet name="АВС 16-22.02" sheetId="32" state="hidden" r:id="rId11"/>
    <sheet name="АВС 09-15.02" sheetId="28" state="hidden" r:id="rId12"/>
    <sheet name="АВС 02-08.02" sheetId="23" state="hidden" r:id="rId13"/>
    <sheet name="АВС ЯНВАРЬ" sheetId="22" state="hidden" r:id="rId14"/>
    <sheet name="АВС 26.01-01.02" sheetId="21" state="hidden" r:id="rId15"/>
    <sheet name="АВС 19-25.01" sheetId="20" state="hidden" r:id="rId16"/>
    <sheet name="АВС 12-18.01" sheetId="19" state="hidden" r:id="rId17"/>
    <sheet name="АВС 05-11.01" sheetId="18" state="hidden" r:id="rId18"/>
    <sheet name="АВС 01-04.01" sheetId="17" state="hidden" r:id="rId19"/>
    <sheet name="2026" sheetId="60" r:id="rId20"/>
    <sheet name="Юнит 30.03-05.04" sheetId="58" r:id="rId21"/>
    <sheet name="Юнит 01-05.04" sheetId="57" state="hidden" r:id="rId22"/>
    <sheet name="Остатки на 02.04" sheetId="64" state="hidden" r:id="rId23"/>
    <sheet name="МАРТ" sheetId="59" r:id="rId24"/>
    <sheet name="Юнит 30-31.03" sheetId="53" state="hidden" r:id="rId25"/>
    <sheet name="Юнит 23-29.03" sheetId="52" state="hidden" r:id="rId26"/>
    <sheet name="Юнит 16-22.03" sheetId="50" state="hidden" r:id="rId27"/>
    <sheet name="Юнит 09-15.03" sheetId="46" state="hidden" r:id="rId28"/>
    <sheet name="Юнит 02-08.03" sheetId="40" state="hidden" r:id="rId29"/>
    <sheet name="Юнит 01.03" sheetId="39" state="hidden" r:id="rId30"/>
    <sheet name="ФЕВРАЛЬ" sheetId="36" state="hidden" r:id="rId31"/>
    <sheet name="Юнит 23.02-01.03" sheetId="43" state="hidden" r:id="rId32"/>
    <sheet name="Юнит 23-28.02" sheetId="33" state="hidden" r:id="rId33"/>
    <sheet name="Юнит 16-22.02" sheetId="31" state="hidden" r:id="rId34"/>
    <sheet name="Юнит 09-15.02" sheetId="27" state="hidden" r:id="rId35"/>
    <sheet name="Юнит 02-08.02" sheetId="25" state="hidden" r:id="rId36"/>
    <sheet name="Юнит 01.02" sheetId="15" state="hidden" r:id="rId37"/>
    <sheet name="ЯНВАРЬ" sheetId="16" state="hidden" r:id="rId38"/>
    <sheet name="Юнит 26.01-01.02" sheetId="24" state="hidden" r:id="rId39"/>
    <sheet name="Юнит 26-31.01" sheetId="14" state="hidden" r:id="rId40"/>
    <sheet name="Юнит 19-25.01" sheetId="4" state="hidden" r:id="rId41"/>
    <sheet name="Юнит 12-18.01" sheetId="3" state="hidden" r:id="rId42"/>
    <sheet name="Юнит 05-11.01" sheetId="13" state="hidden" r:id="rId43"/>
    <sheet name="Юнит 01-04.01" sheetId="12" state="hidden" r:id="rId44"/>
    <sheet name="Отчет 01-05.04" sheetId="56" state="hidden" r:id="rId45"/>
    <sheet name="Отчет 30-31.03" sheetId="55" state="hidden" r:id="rId46"/>
    <sheet name="Отчет 23-29.03" sheetId="54" state="hidden" r:id="rId47"/>
    <sheet name="Отчет 16-22.03" sheetId="49" state="hidden" r:id="rId48"/>
    <sheet name="Отчет 09-15.03" sheetId="48" state="hidden" r:id="rId49"/>
    <sheet name="Отчет 02-08.03" sheetId="42" state="hidden" r:id="rId50"/>
    <sheet name="Отчет 01.03" sheetId="38" state="hidden" r:id="rId51"/>
    <sheet name="Отчет 23-28.02" sheetId="37" state="hidden" r:id="rId52"/>
    <sheet name="Отчет 16-22.02" sheetId="35" state="hidden" r:id="rId53"/>
    <sheet name="Отчет 09-15.02" sheetId="29" state="hidden" r:id="rId54"/>
    <sheet name="Отчет 02-08.02" sheetId="26" state="hidden" r:id="rId55"/>
    <sheet name="Отчет 01.02" sheetId="9" state="hidden" r:id="rId56"/>
    <sheet name="Отчет 26-31.01" sheetId="8" state="hidden" r:id="rId57"/>
    <sheet name="Отчет 19-25.01" sheetId="6" state="hidden" r:id="rId58"/>
    <sheet name="Отчет 12-18.01" sheetId="5" state="hidden" r:id="rId59"/>
    <sheet name="Отчет 05-11.01" sheetId="10" state="hidden" r:id="rId60"/>
    <sheet name="Отчет 01-04.01" sheetId="11" state="hidden" r:id="rId61"/>
  </sheets>
  <definedNames>
    <definedName name="_xlnm._FilterDatabase" localSheetId="55" hidden="1">'Отчет 01.02'!$A$1:$P$166</definedName>
    <definedName name="_xlnm._FilterDatabase" localSheetId="50" hidden="1">'Отчет 01.03'!$A$1:$P$191</definedName>
    <definedName name="_xlnm._FilterDatabase" localSheetId="44" hidden="1">'Отчет 01-05.04'!$A$1:$P$625</definedName>
    <definedName name="_xlnm._FilterDatabase" localSheetId="54" hidden="1">'Отчет 02-08.02'!$A$1:$P$1626</definedName>
    <definedName name="_xlnm._FilterDatabase" localSheetId="49" hidden="1">'Отчет 02-08.03'!$A$1:$P$1165</definedName>
    <definedName name="_xlnm._FilterDatabase" localSheetId="53" hidden="1">'Отчет 09-15.02'!$A$1:$P$1325</definedName>
    <definedName name="_xlnm._FilterDatabase" localSheetId="48" hidden="1">'Отчет 09-15.03'!$A$1:$P$1254</definedName>
    <definedName name="_xlnm._FilterDatabase" localSheetId="52" hidden="1">'Отчет 16-22.02'!$A$1:$P$1790</definedName>
    <definedName name="_xlnm._FilterDatabase" localSheetId="47" hidden="1">'Отчет 16-22.03'!$A$1:$P$872</definedName>
    <definedName name="_xlnm._FilterDatabase" localSheetId="51" hidden="1">'Отчет 23-28.02'!$A$1:$P$1405</definedName>
    <definedName name="_xlnm._FilterDatabase" localSheetId="46" hidden="1">'Отчет 23-29.03'!$A$1:$P$768</definedName>
    <definedName name="_xlnm._FilterDatabase" localSheetId="45" hidden="1">'Отчет 30-31.03'!$A$1:$P$309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8" i="7" l="1"/>
  <c r="AB18" i="7"/>
  <c r="AB12" i="7"/>
  <c r="T24" i="7"/>
  <c r="S24" i="7"/>
  <c r="R24" i="7"/>
  <c r="X19" i="7"/>
  <c r="Q19" i="7"/>
  <c r="M19" i="7"/>
  <c r="L19" i="7"/>
  <c r="K19" i="7"/>
  <c r="I19" i="7"/>
  <c r="J19" i="7" s="1"/>
  <c r="H19" i="7"/>
  <c r="G19" i="7"/>
  <c r="F19" i="7"/>
  <c r="E19" i="7"/>
  <c r="J42" i="65"/>
  <c r="C42" i="65"/>
  <c r="D39" i="65" s="1"/>
  <c r="K41" i="65"/>
  <c r="G41" i="65"/>
  <c r="K40" i="65"/>
  <c r="G40" i="65"/>
  <c r="D40" i="65"/>
  <c r="K39" i="65"/>
  <c r="G39" i="65"/>
  <c r="K38" i="65"/>
  <c r="G38" i="65"/>
  <c r="D38" i="65"/>
  <c r="K37" i="65"/>
  <c r="G37" i="65"/>
  <c r="D37" i="65"/>
  <c r="K36" i="65"/>
  <c r="G36" i="65"/>
  <c r="D36" i="65"/>
  <c r="K35" i="65"/>
  <c r="G35" i="65"/>
  <c r="D35" i="65"/>
  <c r="K34" i="65"/>
  <c r="G34" i="65"/>
  <c r="D34" i="65"/>
  <c r="K33" i="65"/>
  <c r="G33" i="65"/>
  <c r="D33" i="65"/>
  <c r="K32" i="65"/>
  <c r="G32" i="65"/>
  <c r="D32" i="65"/>
  <c r="K31" i="65"/>
  <c r="G31" i="65"/>
  <c r="D31" i="65"/>
  <c r="K30" i="65"/>
  <c r="G30" i="65"/>
  <c r="D30" i="65"/>
  <c r="K29" i="65"/>
  <c r="G29" i="65"/>
  <c r="D29" i="65"/>
  <c r="K28" i="65"/>
  <c r="G28" i="65"/>
  <c r="D28" i="65"/>
  <c r="K27" i="65"/>
  <c r="G27" i="65"/>
  <c r="D27" i="65"/>
  <c r="K26" i="65"/>
  <c r="G26" i="65"/>
  <c r="D26" i="65"/>
  <c r="K25" i="65"/>
  <c r="G25" i="65"/>
  <c r="D25" i="65"/>
  <c r="K24" i="65"/>
  <c r="G24" i="65"/>
  <c r="D24" i="65"/>
  <c r="K23" i="65"/>
  <c r="G23" i="65"/>
  <c r="D23" i="65"/>
  <c r="K22" i="65"/>
  <c r="K42" i="65" s="1"/>
  <c r="G22" i="65"/>
  <c r="D22" i="65"/>
  <c r="D42" i="65" s="1"/>
  <c r="J18" i="65"/>
  <c r="K11" i="65" s="1"/>
  <c r="C18" i="65"/>
  <c r="D15" i="65" s="1"/>
  <c r="K17" i="65"/>
  <c r="D16" i="65"/>
  <c r="K14" i="65"/>
  <c r="D14" i="65"/>
  <c r="D13" i="65"/>
  <c r="K12" i="65"/>
  <c r="K10" i="65"/>
  <c r="D10" i="65"/>
  <c r="K9" i="65"/>
  <c r="D8" i="65"/>
  <c r="K6" i="65"/>
  <c r="D6" i="65"/>
  <c r="D5" i="65"/>
  <c r="K4" i="65"/>
  <c r="K18" i="65" s="1"/>
  <c r="AA28" i="57"/>
  <c r="AD1" i="57"/>
  <c r="Z16" i="57"/>
  <c r="X16" i="57"/>
  <c r="T16" i="57"/>
  <c r="S16" i="57"/>
  <c r="Q16" i="57"/>
  <c r="P16" i="57"/>
  <c r="Z15" i="57"/>
  <c r="X15" i="57"/>
  <c r="T15" i="57"/>
  <c r="S15" i="57"/>
  <c r="Q15" i="57"/>
  <c r="P15" i="57"/>
  <c r="Z14" i="57"/>
  <c r="X14" i="57"/>
  <c r="T14" i="57"/>
  <c r="S14" i="57"/>
  <c r="Q14" i="57"/>
  <c r="P14" i="57"/>
  <c r="Z13" i="57"/>
  <c r="X13" i="57"/>
  <c r="T13" i="57"/>
  <c r="S13" i="57"/>
  <c r="Q13" i="57"/>
  <c r="P13" i="57"/>
  <c r="Z12" i="57"/>
  <c r="X12" i="57"/>
  <c r="T12" i="57"/>
  <c r="S12" i="57"/>
  <c r="Q12" i="57"/>
  <c r="P12" i="57"/>
  <c r="Z11" i="57"/>
  <c r="X11" i="57"/>
  <c r="T11" i="57"/>
  <c r="S11" i="57"/>
  <c r="Q11" i="57"/>
  <c r="P11" i="57"/>
  <c r="Z10" i="57"/>
  <c r="X10" i="57"/>
  <c r="T10" i="57"/>
  <c r="S10" i="57"/>
  <c r="Q10" i="57"/>
  <c r="P10" i="57"/>
  <c r="Z9" i="57"/>
  <c r="X9" i="57"/>
  <c r="T9" i="57"/>
  <c r="S9" i="57"/>
  <c r="Q9" i="57"/>
  <c r="P9" i="57"/>
  <c r="Z8" i="57"/>
  <c r="X8" i="57"/>
  <c r="T8" i="57"/>
  <c r="S8" i="57"/>
  <c r="Q8" i="57"/>
  <c r="P8" i="57"/>
  <c r="Z7" i="57"/>
  <c r="X7" i="57"/>
  <c r="T7" i="57"/>
  <c r="S7" i="57"/>
  <c r="Q7" i="57"/>
  <c r="P7" i="57"/>
  <c r="Z6" i="57"/>
  <c r="X6" i="57"/>
  <c r="T6" i="57"/>
  <c r="S6" i="57"/>
  <c r="Q6" i="57"/>
  <c r="P6" i="57"/>
  <c r="Z5" i="57"/>
  <c r="X5" i="57"/>
  <c r="T5" i="57"/>
  <c r="S5" i="57"/>
  <c r="Q5" i="57"/>
  <c r="P5" i="57"/>
  <c r="Z4" i="57"/>
  <c r="X4" i="57"/>
  <c r="T4" i="57"/>
  <c r="S4" i="57"/>
  <c r="Q4" i="57"/>
  <c r="P4" i="57"/>
  <c r="Z3" i="57"/>
  <c r="X3" i="57"/>
  <c r="T3" i="57"/>
  <c r="S3" i="57"/>
  <c r="Q3" i="57"/>
  <c r="P3" i="57"/>
  <c r="Y19" i="7" l="1"/>
  <c r="Z19" i="7" s="1"/>
  <c r="D19" i="7"/>
  <c r="E22" i="65"/>
  <c r="D4" i="65"/>
  <c r="K16" i="65"/>
  <c r="K8" i="65"/>
  <c r="D12" i="65"/>
  <c r="K7" i="65"/>
  <c r="D11" i="65"/>
  <c r="K15" i="65"/>
  <c r="K5" i="65"/>
  <c r="L5" i="65" s="1"/>
  <c r="M5" i="65" s="1"/>
  <c r="G5" i="65" s="1"/>
  <c r="D9" i="65"/>
  <c r="K13" i="65"/>
  <c r="D17" i="65"/>
  <c r="L22" i="65"/>
  <c r="D41" i="65"/>
  <c r="L4" i="65"/>
  <c r="M4" i="65" s="1"/>
  <c r="G4" i="65" s="1"/>
  <c r="D7" i="65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3" i="59"/>
  <c r="AA19" i="7" l="1"/>
  <c r="AD18" i="7"/>
  <c r="AC18" i="7"/>
  <c r="D18" i="65"/>
  <c r="E4" i="65"/>
  <c r="F22" i="65"/>
  <c r="E23" i="65"/>
  <c r="M22" i="65"/>
  <c r="L23" i="65"/>
  <c r="L6" i="65"/>
  <c r="M6" i="65" s="1"/>
  <c r="G6" i="65" s="1"/>
  <c r="L12" i="65"/>
  <c r="M12" i="65" s="1"/>
  <c r="G12" i="65" s="1"/>
  <c r="M16" i="7"/>
  <c r="AE3" i="59"/>
  <c r="J11" i="63"/>
  <c r="J16" i="63"/>
  <c r="J9" i="63"/>
  <c r="J5" i="63"/>
  <c r="J4" i="63"/>
  <c r="J14" i="63"/>
  <c r="J13" i="63"/>
  <c r="J10" i="63"/>
  <c r="J12" i="63"/>
  <c r="J7" i="63"/>
  <c r="J17" i="63"/>
  <c r="J6" i="63"/>
  <c r="J8" i="63"/>
  <c r="J15" i="63"/>
  <c r="C14" i="63"/>
  <c r="C12" i="63"/>
  <c r="C9" i="63"/>
  <c r="C5" i="63"/>
  <c r="C4" i="63"/>
  <c r="C11" i="63"/>
  <c r="C13" i="63"/>
  <c r="C10" i="63"/>
  <c r="C15" i="63"/>
  <c r="C6" i="63"/>
  <c r="C16" i="63"/>
  <c r="C7" i="63"/>
  <c r="C8" i="63"/>
  <c r="C17" i="63"/>
  <c r="AD1" i="53"/>
  <c r="Q18" i="7"/>
  <c r="M18" i="7"/>
  <c r="L18" i="7"/>
  <c r="K18" i="7"/>
  <c r="I18" i="7"/>
  <c r="H18" i="7"/>
  <c r="J18" i="7" s="1"/>
  <c r="G18" i="7"/>
  <c r="F18" i="7"/>
  <c r="E18" i="7"/>
  <c r="AA25" i="59"/>
  <c r="AA28" i="59" s="1"/>
  <c r="AA28" i="53"/>
  <c r="G24" i="64"/>
  <c r="F24" i="64"/>
  <c r="E24" i="64"/>
  <c r="D24" i="64"/>
  <c r="C22" i="64"/>
  <c r="F23" i="65" l="1"/>
  <c r="E24" i="65"/>
  <c r="M23" i="65"/>
  <c r="L24" i="65"/>
  <c r="F4" i="65"/>
  <c r="E5" i="65"/>
  <c r="L7" i="65"/>
  <c r="L13" i="65"/>
  <c r="C18" i="64"/>
  <c r="C24" i="64" s="1"/>
  <c r="Y18" i="7"/>
  <c r="D18" i="7"/>
  <c r="J7" i="6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X17" i="7"/>
  <c r="Q17" i="7"/>
  <c r="M17" i="7"/>
  <c r="L17" i="7"/>
  <c r="K17" i="7"/>
  <c r="I17" i="7"/>
  <c r="H17" i="7"/>
  <c r="G17" i="7"/>
  <c r="F17" i="7"/>
  <c r="E17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C18" i="63"/>
  <c r="D15" i="63" s="1"/>
  <c r="D8" i="63"/>
  <c r="D7" i="63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J17" i="7" l="1"/>
  <c r="Y17" i="7" s="1"/>
  <c r="Z17" i="7" s="1"/>
  <c r="AC17" i="7" s="1"/>
  <c r="AE17" i="7"/>
  <c r="AB17" i="7"/>
  <c r="M13" i="65"/>
  <c r="G13" i="65" s="1"/>
  <c r="L14" i="65"/>
  <c r="M7" i="65"/>
  <c r="G7" i="65" s="1"/>
  <c r="L8" i="65"/>
  <c r="F5" i="65"/>
  <c r="E6" i="65"/>
  <c r="E12" i="65"/>
  <c r="M24" i="65"/>
  <c r="L25" i="65"/>
  <c r="E25" i="65"/>
  <c r="F24" i="65"/>
  <c r="D6" i="63"/>
  <c r="D9" i="63"/>
  <c r="D16" i="63"/>
  <c r="D4" i="63"/>
  <c r="D5" i="63"/>
  <c r="K4" i="63"/>
  <c r="K8" i="63"/>
  <c r="K5" i="63"/>
  <c r="K9" i="63"/>
  <c r="K10" i="63"/>
  <c r="K6" i="63"/>
  <c r="K7" i="63"/>
  <c r="K16" i="63"/>
  <c r="K12" i="63"/>
  <c r="D13" i="63"/>
  <c r="D14" i="63"/>
  <c r="D10" i="63"/>
  <c r="D11" i="63"/>
  <c r="D12" i="63"/>
  <c r="D17" i="7"/>
  <c r="K17" i="63"/>
  <c r="E22" i="63"/>
  <c r="K41" i="63"/>
  <c r="E4" i="63"/>
  <c r="F4" i="63" s="1"/>
  <c r="K15" i="63"/>
  <c r="K39" i="63"/>
  <c r="K14" i="63"/>
  <c r="K38" i="63"/>
  <c r="K13" i="63"/>
  <c r="D17" i="63"/>
  <c r="L22" i="63"/>
  <c r="K37" i="63"/>
  <c r="D41" i="63"/>
  <c r="L4" i="63"/>
  <c r="M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AD17" i="7" l="1"/>
  <c r="F12" i="65"/>
  <c r="E13" i="65"/>
  <c r="F6" i="65"/>
  <c r="E7" i="65"/>
  <c r="M8" i="65"/>
  <c r="G8" i="65" s="1"/>
  <c r="L9" i="65"/>
  <c r="F25" i="65"/>
  <c r="E26" i="65"/>
  <c r="M14" i="65"/>
  <c r="G14" i="65" s="1"/>
  <c r="L17" i="65"/>
  <c r="M17" i="65" s="1"/>
  <c r="G17" i="65" s="1"/>
  <c r="L15" i="65"/>
  <c r="M25" i="65"/>
  <c r="L26" i="65"/>
  <c r="D18" i="63"/>
  <c r="K18" i="63"/>
  <c r="D10" i="6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E5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F26" i="65" l="1"/>
  <c r="E27" i="65"/>
  <c r="M9" i="65"/>
  <c r="G9" i="65" s="1"/>
  <c r="L10" i="65"/>
  <c r="F7" i="65"/>
  <c r="E8" i="65"/>
  <c r="L27" i="65"/>
  <c r="M26" i="65"/>
  <c r="M15" i="65"/>
  <c r="G15" i="65" s="1"/>
  <c r="L16" i="65"/>
  <c r="M16" i="65" s="1"/>
  <c r="G16" i="65" s="1"/>
  <c r="F13" i="65"/>
  <c r="E14" i="65"/>
  <c r="K18" i="61"/>
  <c r="F5" i="63"/>
  <c r="E6" i="63"/>
  <c r="E12" i="63"/>
  <c r="M5" i="63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M27" i="65" l="1"/>
  <c r="L28" i="65"/>
  <c r="F8" i="65"/>
  <c r="E9" i="65"/>
  <c r="F14" i="65"/>
  <c r="E15" i="65"/>
  <c r="E17" i="65"/>
  <c r="F17" i="65" s="1"/>
  <c r="M10" i="65"/>
  <c r="G10" i="65" s="1"/>
  <c r="L11" i="65"/>
  <c r="M11" i="65" s="1"/>
  <c r="G11" i="65" s="1"/>
  <c r="F27" i="65"/>
  <c r="E28" i="65"/>
  <c r="M24" i="63"/>
  <c r="L25" i="63"/>
  <c r="M12" i="63"/>
  <c r="L13" i="63"/>
  <c r="F12" i="63"/>
  <c r="E13" i="63"/>
  <c r="M6" i="63"/>
  <c r="L7" i="63"/>
  <c r="F6" i="63"/>
  <c r="E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6" i="7"/>
  <c r="AA27" i="60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39" i="7"/>
  <c r="O39" i="7"/>
  <c r="P39" i="7"/>
  <c r="R39" i="7"/>
  <c r="S39" i="7"/>
  <c r="T39" i="7"/>
  <c r="U39" i="7"/>
  <c r="V39" i="7"/>
  <c r="W39" i="7"/>
  <c r="AA27" i="59"/>
  <c r="AA26" i="59"/>
  <c r="AA26" i="60" s="1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N7" i="58" s="1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N16" i="57"/>
  <c r="I16" i="57"/>
  <c r="AH15" i="57"/>
  <c r="N15" i="57"/>
  <c r="I15" i="57"/>
  <c r="AH14" i="57"/>
  <c r="N14" i="57"/>
  <c r="I14" i="57"/>
  <c r="AH13" i="57"/>
  <c r="N13" i="57"/>
  <c r="I13" i="57"/>
  <c r="AH12" i="57"/>
  <c r="N12" i="57"/>
  <c r="I12" i="57"/>
  <c r="AH11" i="57"/>
  <c r="N11" i="57"/>
  <c r="I11" i="57"/>
  <c r="AH10" i="57"/>
  <c r="N10" i="57"/>
  <c r="I10" i="57"/>
  <c r="AH9" i="57"/>
  <c r="AK9" i="57"/>
  <c r="N9" i="57"/>
  <c r="I9" i="57"/>
  <c r="AH8" i="57"/>
  <c r="N8" i="57"/>
  <c r="I8" i="57"/>
  <c r="AH7" i="57"/>
  <c r="N7" i="57"/>
  <c r="I7" i="57"/>
  <c r="AH6" i="57"/>
  <c r="N6" i="57"/>
  <c r="I6" i="57"/>
  <c r="AH5" i="57"/>
  <c r="N5" i="57"/>
  <c r="I5" i="57"/>
  <c r="AH4" i="57"/>
  <c r="AK4" i="57"/>
  <c r="N4" i="57"/>
  <c r="I4" i="57"/>
  <c r="AH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Z14" i="53"/>
  <c r="X14" i="53"/>
  <c r="T14" i="53"/>
  <c r="S14" i="53"/>
  <c r="Q14" i="53"/>
  <c r="P14" i="53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F15" i="65" l="1"/>
  <c r="E16" i="65"/>
  <c r="F16" i="65" s="1"/>
  <c r="F9" i="65"/>
  <c r="E10" i="65"/>
  <c r="F28" i="65"/>
  <c r="E29" i="65"/>
  <c r="L29" i="65"/>
  <c r="M28" i="65"/>
  <c r="AK14" i="53"/>
  <c r="AK4" i="53"/>
  <c r="AK8" i="53"/>
  <c r="S9" i="58"/>
  <c r="T9" i="58"/>
  <c r="X9" i="58"/>
  <c r="AK15" i="53"/>
  <c r="Z9" i="58"/>
  <c r="P9" i="58"/>
  <c r="AK9" i="58" s="1"/>
  <c r="M7" i="63"/>
  <c r="L8" i="63"/>
  <c r="F13" i="63"/>
  <c r="E14" i="63"/>
  <c r="M13" i="63"/>
  <c r="G13" i="63" s="1"/>
  <c r="L14" i="63"/>
  <c r="F25" i="63"/>
  <c r="E26" i="63"/>
  <c r="F7" i="63"/>
  <c r="E8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Q9" i="58"/>
  <c r="AH17" i="60"/>
  <c r="K18" i="59"/>
  <c r="K24" i="59" s="1"/>
  <c r="I3" i="59"/>
  <c r="I18" i="59" s="1"/>
  <c r="I24" i="59" s="1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K24" i="58" s="1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C18" i="58"/>
  <c r="C24" i="58" s="1"/>
  <c r="I3" i="58"/>
  <c r="I18" i="58" s="1"/>
  <c r="I24" i="58" s="1"/>
  <c r="U15" i="57"/>
  <c r="Y15" i="57" s="1"/>
  <c r="R16" i="53"/>
  <c r="AI16" i="53" s="1"/>
  <c r="R12" i="53"/>
  <c r="O12" i="53" s="1"/>
  <c r="R15" i="53"/>
  <c r="W15" i="53" s="1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5" i="7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6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M29" i="65" l="1"/>
  <c r="L30" i="65"/>
  <c r="F29" i="65"/>
  <c r="E30" i="65"/>
  <c r="F10" i="65"/>
  <c r="E11" i="65"/>
  <c r="F11" i="65" s="1"/>
  <c r="AG7" i="57"/>
  <c r="AG4" i="57"/>
  <c r="AG10" i="57"/>
  <c r="AG16" i="57"/>
  <c r="AG7" i="53"/>
  <c r="AJ9" i="58"/>
  <c r="R9" i="58"/>
  <c r="O9" i="58" s="1"/>
  <c r="U9" i="58"/>
  <c r="Y9" i="58" s="1"/>
  <c r="F26" i="63"/>
  <c r="E27" i="63"/>
  <c r="M14" i="63"/>
  <c r="G14" i="63" s="1"/>
  <c r="L15" i="63"/>
  <c r="L17" i="63"/>
  <c r="M17" i="63" s="1"/>
  <c r="M26" i="63"/>
  <c r="L27" i="63"/>
  <c r="F14" i="63"/>
  <c r="E15" i="63"/>
  <c r="E17" i="63"/>
  <c r="F17" i="63" s="1"/>
  <c r="F8" i="63"/>
  <c r="E9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Q24" i="50"/>
  <c r="G16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O10" i="57"/>
  <c r="AI10" i="57"/>
  <c r="O6" i="53"/>
  <c r="W10" i="57"/>
  <c r="O4" i="52"/>
  <c r="W6" i="53"/>
  <c r="AG13" i="57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W8" i="53"/>
  <c r="W15" i="57"/>
  <c r="AI8" i="57"/>
  <c r="AG12" i="57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W13" i="53"/>
  <c r="AK17" i="53"/>
  <c r="AK17" i="57"/>
  <c r="AG3" i="57"/>
  <c r="AI3" i="57"/>
  <c r="W3" i="57"/>
  <c r="O3" i="57"/>
  <c r="R18" i="57"/>
  <c r="R24" i="57" s="1"/>
  <c r="AG6" i="57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6" i="7" s="1"/>
  <c r="I18" i="50"/>
  <c r="I24" i="50" s="1"/>
  <c r="Z18" i="50"/>
  <c r="Z24" i="50" s="1"/>
  <c r="L16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6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J16" i="7" l="1"/>
  <c r="AE16" i="7" s="1"/>
  <c r="E31" i="65"/>
  <c r="F30" i="65"/>
  <c r="M30" i="65"/>
  <c r="L31" i="65"/>
  <c r="G17" i="63"/>
  <c r="AG8" i="58"/>
  <c r="W9" i="58"/>
  <c r="AG9" i="58"/>
  <c r="G5" i="61"/>
  <c r="M27" i="63"/>
  <c r="L28" i="63"/>
  <c r="M9" i="63"/>
  <c r="L10" i="63"/>
  <c r="F9" i="63"/>
  <c r="E10" i="63"/>
  <c r="M15" i="63"/>
  <c r="L16" i="63"/>
  <c r="M16" i="63" s="1"/>
  <c r="F27" i="63"/>
  <c r="E28" i="63"/>
  <c r="F15" i="63"/>
  <c r="E16" i="63"/>
  <c r="F16" i="63" s="1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D16" i="7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O13" i="58"/>
  <c r="W4" i="58"/>
  <c r="W13" i="58"/>
  <c r="AG16" i="58"/>
  <c r="AJ17" i="58"/>
  <c r="AI16" i="58"/>
  <c r="AG6" i="58"/>
  <c r="AI12" i="58"/>
  <c r="AG12" i="58"/>
  <c r="O8" i="58"/>
  <c r="W6" i="58"/>
  <c r="O6" i="58"/>
  <c r="W10" i="58"/>
  <c r="AG10" i="58"/>
  <c r="O10" i="58"/>
  <c r="AI8" i="58"/>
  <c r="O12" i="58"/>
  <c r="U18" i="58"/>
  <c r="Y18" i="58" s="1"/>
  <c r="AG4" i="58"/>
  <c r="W3" i="58"/>
  <c r="AI14" i="58"/>
  <c r="W7" i="58"/>
  <c r="AG3" i="58"/>
  <c r="AG11" i="58"/>
  <c r="AK17" i="58"/>
  <c r="O11" i="58"/>
  <c r="W11" i="58"/>
  <c r="AI7" i="58"/>
  <c r="AG7" i="58"/>
  <c r="W14" i="58"/>
  <c r="O14" i="58"/>
  <c r="O3" i="58"/>
  <c r="AG15" i="58"/>
  <c r="O15" i="58"/>
  <c r="W15" i="58"/>
  <c r="R18" i="58"/>
  <c r="R24" i="58" s="1"/>
  <c r="U24" i="57"/>
  <c r="AE1" i="57" s="1"/>
  <c r="W18" i="57"/>
  <c r="W24" i="57" s="1"/>
  <c r="AI17" i="57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4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5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M31" i="65" l="1"/>
  <c r="L32" i="65"/>
  <c r="F31" i="65"/>
  <c r="E32" i="65"/>
  <c r="G9" i="63"/>
  <c r="G7" i="63"/>
  <c r="G16" i="63"/>
  <c r="G6" i="63"/>
  <c r="G15" i="63"/>
  <c r="G4" i="63"/>
  <c r="G12" i="61"/>
  <c r="G7" i="61"/>
  <c r="F10" i="63"/>
  <c r="E11" i="63"/>
  <c r="F11" i="63" s="1"/>
  <c r="M10" i="63"/>
  <c r="L11" i="63"/>
  <c r="M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6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U24" i="58"/>
  <c r="V5" i="58" s="1"/>
  <c r="W18" i="58"/>
  <c r="W24" i="58" s="1"/>
  <c r="V9" i="57"/>
  <c r="AG17" i="58"/>
  <c r="V10" i="57"/>
  <c r="V15" i="57"/>
  <c r="V4" i="57"/>
  <c r="V3" i="57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M6" i="57" s="1"/>
  <c r="AD12" i="57"/>
  <c r="AE12" i="57" s="1"/>
  <c r="AL12" i="57" s="1" a="1"/>
  <c r="AL12" i="57" s="1"/>
  <c r="AM12" i="57" s="1"/>
  <c r="AD13" i="57"/>
  <c r="AE13" i="57" s="1"/>
  <c r="AL13" i="57" s="1" a="1"/>
  <c r="AL13" i="57" s="1"/>
  <c r="AM13" i="57" s="1"/>
  <c r="AD11" i="57"/>
  <c r="AE11" i="57" s="1"/>
  <c r="AL11" i="57" s="1" a="1"/>
  <c r="AL11" i="57" s="1"/>
  <c r="AM11" i="57" s="1"/>
  <c r="AD4" i="57"/>
  <c r="AE4" i="57" s="1"/>
  <c r="AL4" i="57" s="1" a="1"/>
  <c r="AL4" i="57" s="1"/>
  <c r="AM4" i="57" s="1"/>
  <c r="AD14" i="57"/>
  <c r="AE14" i="57" s="1"/>
  <c r="AL14" i="57" s="1" a="1"/>
  <c r="AL14" i="57" s="1"/>
  <c r="AD15" i="57"/>
  <c r="AE15" i="57" s="1"/>
  <c r="AL15" i="57" s="1" a="1"/>
  <c r="AL15" i="57" s="1"/>
  <c r="AM15" i="57" s="1"/>
  <c r="AD9" i="57"/>
  <c r="AE9" i="57" s="1"/>
  <c r="AL9" i="57" s="1" a="1"/>
  <c r="AL9" i="57" s="1"/>
  <c r="AM9" i="57" s="1"/>
  <c r="AD3" i="57"/>
  <c r="AD5" i="57"/>
  <c r="AE5" i="57" s="1"/>
  <c r="AL5" i="57" s="1" a="1"/>
  <c r="AL5" i="57" s="1"/>
  <c r="AM5" i="57" s="1"/>
  <c r="AD16" i="57"/>
  <c r="AE16" i="57" s="1"/>
  <c r="AL16" i="57" s="1" a="1"/>
  <c r="AL16" i="57" s="1"/>
  <c r="AM16" i="57" s="1"/>
  <c r="AD10" i="57"/>
  <c r="AE10" i="57" s="1"/>
  <c r="AL10" i="57" s="1" a="1"/>
  <c r="AL10" i="57" s="1"/>
  <c r="AM10" i="57" s="1"/>
  <c r="AD8" i="57"/>
  <c r="AE8" i="57" s="1"/>
  <c r="AL8" i="57" s="1" a="1"/>
  <c r="AL8" i="57" s="1"/>
  <c r="AM8" i="57" s="1"/>
  <c r="AD7" i="57"/>
  <c r="AE7" i="57" s="1"/>
  <c r="AL7" i="57" s="1" a="1"/>
  <c r="AL7" i="57" s="1"/>
  <c r="AM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6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5" i="7" s="1"/>
  <c r="AJ5" i="46"/>
  <c r="S18" i="46"/>
  <c r="S24" i="46" s="1"/>
  <c r="H15" i="7" s="1"/>
  <c r="X18" i="46"/>
  <c r="X24" i="46" s="1"/>
  <c r="M15" i="7" s="1"/>
  <c r="U10" i="46"/>
  <c r="Y10" i="46" s="1"/>
  <c r="R14" i="46"/>
  <c r="J17" i="47" s="1"/>
  <c r="U6" i="46"/>
  <c r="Y6" i="46" s="1"/>
  <c r="Z18" i="46"/>
  <c r="Z24" i="46" s="1"/>
  <c r="L15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5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AD3" i="36"/>
  <c r="AB16" i="7" l="1"/>
  <c r="Y16" i="7"/>
  <c r="E33" i="65"/>
  <c r="F32" i="65"/>
  <c r="M32" i="65"/>
  <c r="L33" i="65"/>
  <c r="G11" i="63"/>
  <c r="G5" i="63"/>
  <c r="G10" i="63"/>
  <c r="G12" i="63"/>
  <c r="V18" i="57"/>
  <c r="V24" i="57" s="1"/>
  <c r="G15" i="6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AI3" i="46"/>
  <c r="J11" i="47"/>
  <c r="W8" i="46"/>
  <c r="J4" i="47"/>
  <c r="AI9" i="46"/>
  <c r="J14" i="47"/>
  <c r="AI4" i="46"/>
  <c r="J12" i="47"/>
  <c r="W16" i="46"/>
  <c r="J9" i="47"/>
  <c r="AK24" i="46"/>
  <c r="F15" i="7"/>
  <c r="J15" i="7"/>
  <c r="AE15" i="7" s="1"/>
  <c r="W11" i="46"/>
  <c r="J16" i="47"/>
  <c r="AI12" i="46"/>
  <c r="J10" i="47"/>
  <c r="V18" i="59"/>
  <c r="V24" i="59" s="1"/>
  <c r="Y24" i="58"/>
  <c r="V11" i="58"/>
  <c r="V3" i="58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33" i="65" l="1"/>
  <c r="L34" i="65"/>
  <c r="F33" i="65"/>
  <c r="E34" i="65"/>
  <c r="V18" i="58"/>
  <c r="V24" i="58" s="1"/>
  <c r="G10" i="6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D15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M7" i="58" s="1"/>
  <c r="AE13" i="53"/>
  <c r="AL13" i="53" s="1" a="1"/>
  <c r="AL13" i="53" s="1"/>
  <c r="AN13" i="53" s="1"/>
  <c r="AD13" i="58"/>
  <c r="AE13" i="58" s="1"/>
  <c r="AL13" i="58" s="1" a="1"/>
  <c r="AL13" i="58" s="1"/>
  <c r="AM13" i="58" s="1"/>
  <c r="AE12" i="53"/>
  <c r="AL12" i="53" s="1" a="1"/>
  <c r="AL12" i="53" s="1"/>
  <c r="AP12" i="53" s="1"/>
  <c r="AD12" i="58"/>
  <c r="AE12" i="58" s="1"/>
  <c r="AL12" i="58" s="1" a="1"/>
  <c r="AL12" i="58" s="1"/>
  <c r="AE16" i="53"/>
  <c r="AL16" i="53" s="1" a="1"/>
  <c r="AL16" i="53" s="1"/>
  <c r="AP16" i="53" s="1"/>
  <c r="AD16" i="58"/>
  <c r="AE16" i="58" s="1"/>
  <c r="AL16" i="58" s="1" a="1"/>
  <c r="AL16" i="58" s="1"/>
  <c r="AM16" i="58" s="1"/>
  <c r="AE8" i="53"/>
  <c r="AL8" i="53" s="1" a="1"/>
  <c r="AL8" i="53" s="1"/>
  <c r="AP8" i="53" s="1"/>
  <c r="AD8" i="58"/>
  <c r="AE8" i="58" s="1"/>
  <c r="AL8" i="58" s="1" a="1"/>
  <c r="AL8" i="58" s="1"/>
  <c r="AM8" i="58" s="1"/>
  <c r="AE10" i="53"/>
  <c r="AL10" i="53" s="1" a="1"/>
  <c r="AL10" i="53" s="1"/>
  <c r="AN10" i="53" s="1"/>
  <c r="AD10" i="58"/>
  <c r="AE10" i="58" s="1"/>
  <c r="AL10" i="58" s="1" a="1"/>
  <c r="AL10" i="58" s="1"/>
  <c r="AE6" i="53"/>
  <c r="AL6" i="53" s="1" a="1"/>
  <c r="AL6" i="53" s="1"/>
  <c r="AP6" i="53" s="1"/>
  <c r="AD6" i="58"/>
  <c r="AE6" i="58" s="1"/>
  <c r="AL6" i="58" s="1" a="1"/>
  <c r="AL6" i="58" s="1"/>
  <c r="AM6" i="58" s="1"/>
  <c r="AE5" i="53"/>
  <c r="AL5" i="53" s="1" a="1"/>
  <c r="AL5" i="53" s="1"/>
  <c r="AN5" i="53" s="1"/>
  <c r="AD5" i="58"/>
  <c r="AE5" i="58" s="1"/>
  <c r="AL5" i="58" s="1" a="1"/>
  <c r="AL5" i="58" s="1"/>
  <c r="AE11" i="53"/>
  <c r="AL11" i="53" s="1" a="1"/>
  <c r="AL11" i="53" s="1"/>
  <c r="AN11" i="53" s="1"/>
  <c r="AD11" i="58"/>
  <c r="AE11" i="58" s="1"/>
  <c r="AL11" i="58" s="1" a="1"/>
  <c r="AL11" i="58" s="1"/>
  <c r="AM11" i="58" s="1"/>
  <c r="AE15" i="53"/>
  <c r="AL15" i="53" s="1" a="1"/>
  <c r="AL15" i="53" s="1"/>
  <c r="AN15" i="53" s="1"/>
  <c r="AD15" i="58"/>
  <c r="AE15" i="58" s="1"/>
  <c r="AL15" i="58" s="1" a="1"/>
  <c r="AL15" i="58" s="1"/>
  <c r="AM15" i="58" s="1"/>
  <c r="AE9" i="53"/>
  <c r="AL9" i="53" s="1" a="1"/>
  <c r="AL9" i="53" s="1"/>
  <c r="AP9" i="53" s="1"/>
  <c r="AD9" i="58"/>
  <c r="AE9" i="58" s="1"/>
  <c r="AL9" i="58" s="1" a="1"/>
  <c r="AL9" i="58" s="1"/>
  <c r="AE4" i="53"/>
  <c r="AL4" i="53" s="1" a="1"/>
  <c r="AL4" i="53" s="1"/>
  <c r="AN4" i="53" s="1"/>
  <c r="AD4" i="58"/>
  <c r="AE4" i="58" s="1"/>
  <c r="AL4" i="58" s="1" a="1"/>
  <c r="AL4" i="58" s="1"/>
  <c r="AM4" i="58" s="1"/>
  <c r="AE18" i="57"/>
  <c r="AE24" i="57" s="1"/>
  <c r="AL3" i="57"/>
  <c r="AM3" i="57" s="1"/>
  <c r="AM17" i="57" s="1"/>
  <c r="AD18" i="53"/>
  <c r="AD24" i="53" s="1"/>
  <c r="X18" i="7" s="1"/>
  <c r="Z18" i="7" s="1"/>
  <c r="AE3" i="53"/>
  <c r="AM15" i="53"/>
  <c r="AM7" i="53"/>
  <c r="AM8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X16" i="7" s="1"/>
  <c r="Z16" i="7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5" i="7" s="1"/>
  <c r="AB15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F34" i="65" l="1"/>
  <c r="E35" i="65"/>
  <c r="L35" i="65"/>
  <c r="M34" i="65"/>
  <c r="AP5" i="58"/>
  <c r="AM5" i="58"/>
  <c r="AC16" i="7"/>
  <c r="AD16" i="7"/>
  <c r="AM13" i="53"/>
  <c r="AM11" i="53"/>
  <c r="AM10" i="53"/>
  <c r="AM6" i="53"/>
  <c r="AM16" i="53"/>
  <c r="AM4" i="53"/>
  <c r="AP10" i="58"/>
  <c r="AM10" i="58"/>
  <c r="AM12" i="53"/>
  <c r="AM9" i="53"/>
  <c r="AP12" i="58"/>
  <c r="AM12" i="58"/>
  <c r="AP9" i="58"/>
  <c r="AM9" i="58"/>
  <c r="M31" i="63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K12" i="47"/>
  <c r="Y15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37" i="7"/>
  <c r="S37" i="7"/>
  <c r="N37" i="7"/>
  <c r="O37" i="7"/>
  <c r="P37" i="7"/>
  <c r="T37" i="7"/>
  <c r="U37" i="7"/>
  <c r="V37" i="7"/>
  <c r="W37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M35" i="65" l="1"/>
  <c r="L36" i="65"/>
  <c r="F35" i="65"/>
  <c r="E36" i="65"/>
  <c r="AN3" i="58"/>
  <c r="AN17" i="58" s="1"/>
  <c r="AM3" i="58"/>
  <c r="AM17" i="58" s="1"/>
  <c r="E33" i="63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AP3" i="58"/>
  <c r="AP18" i="58" s="1"/>
  <c r="AP24" i="58" s="1"/>
  <c r="AL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3" i="59" s="1"/>
  <c r="AD18" i="31"/>
  <c r="AD24" i="31" s="1"/>
  <c r="X13" i="7"/>
  <c r="Q13" i="7"/>
  <c r="Q39" i="7" s="1"/>
  <c r="M13" i="7"/>
  <c r="L13" i="7"/>
  <c r="K13" i="7"/>
  <c r="I13" i="7"/>
  <c r="H13" i="7"/>
  <c r="J13" i="7" s="1"/>
  <c r="G13" i="7"/>
  <c r="F13" i="7"/>
  <c r="Q12" i="7"/>
  <c r="M12" i="7"/>
  <c r="L12" i="7"/>
  <c r="K12" i="7"/>
  <c r="I12" i="7"/>
  <c r="H12" i="7"/>
  <c r="J12" i="7" s="1"/>
  <c r="G12" i="7"/>
  <c r="F12" i="7"/>
  <c r="E12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Y13" i="7" l="1"/>
  <c r="M35" i="7"/>
  <c r="F36" i="65"/>
  <c r="E37" i="65"/>
  <c r="L37" i="65"/>
  <c r="M36" i="65"/>
  <c r="M33" i="63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D5" i="59"/>
  <c r="AE16" i="46"/>
  <c r="AD16" i="59"/>
  <c r="AE11" i="46"/>
  <c r="AD11" i="59"/>
  <c r="AE7" i="46"/>
  <c r="AD7" i="59"/>
  <c r="AE15" i="46"/>
  <c r="AD15" i="59"/>
  <c r="AE6" i="46"/>
  <c r="AD6" i="59"/>
  <c r="AE10" i="46"/>
  <c r="AD10" i="59"/>
  <c r="AE12" i="46"/>
  <c r="AD12" i="59"/>
  <c r="AE9" i="46"/>
  <c r="AD9" i="59"/>
  <c r="AE8" i="46"/>
  <c r="AD8" i="59"/>
  <c r="AE14" i="46"/>
  <c r="AD14" i="59"/>
  <c r="AE4" i="46"/>
  <c r="AD4" i="59"/>
  <c r="AE13" i="46"/>
  <c r="AD13" i="59"/>
  <c r="N35" i="7"/>
  <c r="O35" i="7"/>
  <c r="W35" i="7"/>
  <c r="P35" i="7"/>
  <c r="L35" i="7"/>
  <c r="R35" i="7"/>
  <c r="K35" i="7"/>
  <c r="V35" i="7"/>
  <c r="AE12" i="7"/>
  <c r="Q35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X15" i="7" s="1"/>
  <c r="AE3" i="46"/>
  <c r="C13" i="47" s="1"/>
  <c r="Y12" i="7"/>
  <c r="D13" i="7"/>
  <c r="Z13" i="7"/>
  <c r="D12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4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M37" i="65" l="1"/>
  <c r="L38" i="65"/>
  <c r="F37" i="65"/>
  <c r="E38" i="65"/>
  <c r="F34" i="63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L7" i="59" s="1" a="1"/>
  <c r="AL7" i="59" s="1"/>
  <c r="AP7" i="59" s="1"/>
  <c r="AE14" i="59"/>
  <c r="AL14" i="59" s="1" a="1"/>
  <c r="AL14" i="59" s="1"/>
  <c r="AP14" i="59" s="1"/>
  <c r="AE10" i="59"/>
  <c r="AL10" i="59" s="1" a="1"/>
  <c r="AL10" i="59" s="1"/>
  <c r="AN10" i="59" s="1"/>
  <c r="AE12" i="59"/>
  <c r="AL12" i="59" s="1" a="1"/>
  <c r="AL12" i="59" s="1"/>
  <c r="AP12" i="59" s="1"/>
  <c r="AE11" i="59"/>
  <c r="AL11" i="59" s="1" a="1"/>
  <c r="AL11" i="59" s="1"/>
  <c r="AP11" i="59" s="1"/>
  <c r="AE8" i="59"/>
  <c r="AL8" i="59" s="1" a="1"/>
  <c r="AL8" i="59" s="1"/>
  <c r="AM8" i="59" s="1"/>
  <c r="AE6" i="59"/>
  <c r="AL6" i="59" s="1" a="1"/>
  <c r="AL6" i="59" s="1"/>
  <c r="AP6" i="59" s="1"/>
  <c r="AE5" i="59"/>
  <c r="AL5" i="59" s="1" a="1"/>
  <c r="AL5" i="59" s="1"/>
  <c r="AM5" i="59" s="1"/>
  <c r="AE16" i="59"/>
  <c r="AL16" i="59" s="1" a="1"/>
  <c r="AL16" i="59" s="1"/>
  <c r="AN16" i="59" s="1"/>
  <c r="AE4" i="59"/>
  <c r="AL4" i="59" s="1" a="1"/>
  <c r="AL4" i="59" s="1"/>
  <c r="AM4" i="59" s="1"/>
  <c r="AE13" i="59"/>
  <c r="AL13" i="59" s="1" a="1"/>
  <c r="AL13" i="59" s="1"/>
  <c r="AP13" i="59" s="1"/>
  <c r="AE9" i="59"/>
  <c r="AL9" i="59" s="1" a="1"/>
  <c r="AL9" i="59" s="1"/>
  <c r="AN9" i="59" s="1"/>
  <c r="AE15" i="59"/>
  <c r="AL15" i="59" s="1" a="1"/>
  <c r="AL15" i="59" s="1"/>
  <c r="AM15" i="59" s="1"/>
  <c r="Z15" i="7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35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3" i="7" s="1"/>
  <c r="E39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4" i="7" s="1"/>
  <c r="M39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4" i="7" s="1"/>
  <c r="G39" i="7" s="1"/>
  <c r="T18" i="40"/>
  <c r="T24" i="40" s="1"/>
  <c r="I14" i="7" s="1"/>
  <c r="I39" i="7" s="1"/>
  <c r="AJ10" i="40"/>
  <c r="Z18" i="40"/>
  <c r="Z24" i="40" s="1"/>
  <c r="L14" i="7" s="1"/>
  <c r="L39" i="7" s="1"/>
  <c r="R3" i="40"/>
  <c r="W3" i="40" s="1"/>
  <c r="R11" i="40"/>
  <c r="AI11" i="40" s="1"/>
  <c r="AK6" i="40"/>
  <c r="R4" i="40"/>
  <c r="S18" i="40"/>
  <c r="S24" i="40" s="1"/>
  <c r="H14" i="7" s="1"/>
  <c r="H39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C15" i="7" l="1"/>
  <c r="AD15" i="7"/>
  <c r="F38" i="65"/>
  <c r="E39" i="65"/>
  <c r="M38" i="65"/>
  <c r="L39" i="65"/>
  <c r="M35" i="63"/>
  <c r="L36" i="63"/>
  <c r="F35" i="63"/>
  <c r="E36" i="63"/>
  <c r="F39" i="62"/>
  <c r="E40" i="62"/>
  <c r="M35" i="62"/>
  <c r="L36" i="62"/>
  <c r="L36" i="61"/>
  <c r="M35" i="61"/>
  <c r="F35" i="61"/>
  <c r="E36" i="61"/>
  <c r="AP15" i="59"/>
  <c r="AN15" i="59"/>
  <c r="AM9" i="59"/>
  <c r="AM11" i="59"/>
  <c r="AN13" i="59"/>
  <c r="AP8" i="59"/>
  <c r="AM16" i="59"/>
  <c r="AM7" i="59"/>
  <c r="AP16" i="59"/>
  <c r="AN14" i="59"/>
  <c r="AM14" i="59"/>
  <c r="AN7" i="59"/>
  <c r="AN8" i="59"/>
  <c r="AN11" i="59"/>
  <c r="AN4" i="59"/>
  <c r="AM6" i="59"/>
  <c r="AP10" i="59"/>
  <c r="AP4" i="59"/>
  <c r="AP9" i="59"/>
  <c r="AM10" i="59"/>
  <c r="AN6" i="59"/>
  <c r="AE18" i="59"/>
  <c r="AE24" i="59" s="1"/>
  <c r="AN12" i="59"/>
  <c r="AM13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4" i="7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4" i="7" s="1"/>
  <c r="F39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1" i="7"/>
  <c r="E11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AE14" i="7" l="1"/>
  <c r="J39" i="7"/>
  <c r="M39" i="65"/>
  <c r="L40" i="65"/>
  <c r="F39" i="65"/>
  <c r="E40" i="65"/>
  <c r="F36" i="63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AN17" i="59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4" i="7"/>
  <c r="D39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4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AB14" i="7" l="1"/>
  <c r="K39" i="7"/>
  <c r="F40" i="65"/>
  <c r="E41" i="65"/>
  <c r="F41" i="65" s="1"/>
  <c r="M40" i="65"/>
  <c r="L41" i="65"/>
  <c r="M41" i="65" s="1"/>
  <c r="M37" i="63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Y14" i="7"/>
  <c r="Y39" i="7" s="1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0" i="7"/>
  <c r="E10" i="7"/>
  <c r="AD1" i="25"/>
  <c r="AD1" i="15"/>
  <c r="AD1" i="27"/>
  <c r="F38" i="63" l="1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M39" i="63" l="1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X14" i="7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1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1" i="7" s="1"/>
  <c r="X18" i="31"/>
  <c r="X24" i="31" s="1"/>
  <c r="M11" i="7" s="1"/>
  <c r="U3" i="31"/>
  <c r="T18" i="31"/>
  <c r="T24" i="31" s="1"/>
  <c r="I11" i="7" s="1"/>
  <c r="Q18" i="31"/>
  <c r="Q24" i="31" s="1"/>
  <c r="G11" i="7" s="1"/>
  <c r="AJ3" i="31"/>
  <c r="N3" i="31"/>
  <c r="I3" i="31"/>
  <c r="Z14" i="7" l="1"/>
  <c r="X39" i="7"/>
  <c r="F40" i="63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F33" i="47"/>
  <c r="E34" i="47"/>
  <c r="M33" i="47"/>
  <c r="L34" i="47"/>
  <c r="G5" i="34"/>
  <c r="O12" i="31"/>
  <c r="J11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AA13" i="7" l="1"/>
  <c r="AA39" i="7" s="1"/>
  <c r="AD14" i="7"/>
  <c r="AC14" i="7"/>
  <c r="Z39" i="7"/>
  <c r="AE25" i="59" s="1"/>
  <c r="F9" i="47"/>
  <c r="E10" i="47"/>
  <c r="D11" i="7"/>
  <c r="Q34" i="7"/>
  <c r="R34" i="7"/>
  <c r="V34" i="7"/>
  <c r="W34" i="7"/>
  <c r="M34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34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1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E11" i="47" l="1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0" i="7"/>
  <c r="L31" i="27"/>
  <c r="L33" i="27"/>
  <c r="I32" i="27"/>
  <c r="J32" i="27" s="1"/>
  <c r="E24" i="32"/>
  <c r="F23" i="32"/>
  <c r="M25" i="32"/>
  <c r="L26" i="32"/>
  <c r="AG17" i="31"/>
  <c r="W18" i="31"/>
  <c r="W24" i="31" s="1"/>
  <c r="K11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M38" i="51" l="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34" i="7"/>
  <c r="Y11" i="7"/>
  <c r="D10" i="7"/>
  <c r="R33" i="7"/>
  <c r="W33" i="7"/>
  <c r="V33" i="7"/>
  <c r="Q33" i="7"/>
  <c r="L33" i="7"/>
  <c r="M33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40" i="51" l="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34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0" i="7"/>
  <c r="AI17" i="27"/>
  <c r="W18" i="27"/>
  <c r="W24" i="27" s="1"/>
  <c r="K10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8" i="7"/>
  <c r="O28" i="7"/>
  <c r="P28" i="7"/>
  <c r="R28" i="7"/>
  <c r="S28" i="7"/>
  <c r="T28" i="7"/>
  <c r="U28" i="7"/>
  <c r="V28" i="7"/>
  <c r="W28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33" i="7"/>
  <c r="Y10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8" i="7"/>
  <c r="Q37" i="7" s="1"/>
  <c r="E8" i="7"/>
  <c r="E37" i="7" s="1"/>
  <c r="E3" i="7"/>
  <c r="E5" i="7"/>
  <c r="AB10" i="7"/>
  <c r="AE10" i="7"/>
  <c r="AB11" i="7"/>
  <c r="AE11" i="7"/>
  <c r="W24" i="7"/>
  <c r="V24" i="7"/>
  <c r="U24" i="7"/>
  <c r="P24" i="7"/>
  <c r="O24" i="7"/>
  <c r="N24" i="7"/>
  <c r="Y33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9" i="7" s="1"/>
  <c r="U7" i="25"/>
  <c r="R8" i="25"/>
  <c r="U16" i="25"/>
  <c r="S18" i="25"/>
  <c r="S24" i="25" s="1"/>
  <c r="H9" i="7" s="1"/>
  <c r="Z18" i="25"/>
  <c r="Z24" i="25" s="1"/>
  <c r="L9" i="7" s="1"/>
  <c r="T18" i="25"/>
  <c r="T24" i="25" s="1"/>
  <c r="I9" i="7" s="1"/>
  <c r="U8" i="25"/>
  <c r="R13" i="25"/>
  <c r="X18" i="25"/>
  <c r="X24" i="25" s="1"/>
  <c r="M9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J9" i="7" l="1"/>
  <c r="M10" i="32"/>
  <c r="G9" i="32" s="1"/>
  <c r="L11" i="32"/>
  <c r="M11" i="32" s="1"/>
  <c r="G12" i="32" s="1"/>
  <c r="F6" i="32"/>
  <c r="E7" i="32"/>
  <c r="F12" i="32"/>
  <c r="E13" i="32"/>
  <c r="Y10" i="25"/>
  <c r="Q32" i="7"/>
  <c r="D9" i="7"/>
  <c r="W32" i="7"/>
  <c r="V32" i="7"/>
  <c r="R32" i="7"/>
  <c r="AE9" i="7"/>
  <c r="L32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32" i="7"/>
  <c r="Y3" i="25"/>
  <c r="AA18" i="25"/>
  <c r="F9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9" i="7" s="1"/>
  <c r="AB9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32" i="7"/>
  <c r="Y9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32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24" i="60" s="1"/>
  <c r="AA16" i="16"/>
  <c r="AA16" i="60" s="1"/>
  <c r="AA15" i="16"/>
  <c r="AA15" i="60" s="1"/>
  <c r="AA14" i="16"/>
  <c r="AA14" i="60" s="1"/>
  <c r="AA13" i="16"/>
  <c r="AA13" i="60" s="1"/>
  <c r="AA12" i="16"/>
  <c r="AA12" i="60" s="1"/>
  <c r="AA11" i="16"/>
  <c r="AA11" i="60" s="1"/>
  <c r="AA10" i="16"/>
  <c r="AA10" i="60" s="1"/>
  <c r="AA9" i="16"/>
  <c r="AA9" i="60" s="1"/>
  <c r="AA8" i="16"/>
  <c r="AA8" i="60" s="1"/>
  <c r="AA7" i="16"/>
  <c r="AA7" i="60" s="1"/>
  <c r="AA6" i="16"/>
  <c r="AA6" i="60" s="1"/>
  <c r="AA5" i="16"/>
  <c r="AA5" i="60" s="1"/>
  <c r="AA4" i="16"/>
  <c r="AA4" i="60" s="1"/>
  <c r="AA3" i="16"/>
  <c r="K4" i="16"/>
  <c r="K4" i="60" s="1"/>
  <c r="N4" i="60" s="1"/>
  <c r="K5" i="16"/>
  <c r="K5" i="60" s="1"/>
  <c r="N5" i="60" s="1"/>
  <c r="K6" i="16"/>
  <c r="K7" i="16"/>
  <c r="K7" i="60" s="1"/>
  <c r="N7" i="60" s="1"/>
  <c r="K8" i="16"/>
  <c r="K9" i="16"/>
  <c r="K9" i="60" s="1"/>
  <c r="N9" i="60" s="1"/>
  <c r="K10" i="16"/>
  <c r="K10" i="60" s="1"/>
  <c r="N10" i="60" s="1"/>
  <c r="K11" i="16"/>
  <c r="K12" i="16"/>
  <c r="K12" i="60" s="1"/>
  <c r="N12" i="60" s="1"/>
  <c r="K13" i="16"/>
  <c r="K13" i="60" s="1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K11" i="60"/>
  <c r="N11" i="60" s="1"/>
  <c r="AA3" i="60"/>
  <c r="AA19" i="16"/>
  <c r="N3" i="16"/>
  <c r="K3" i="60"/>
  <c r="N3" i="60" s="1"/>
  <c r="N16" i="16"/>
  <c r="K16" i="60"/>
  <c r="N16" i="60" s="1"/>
  <c r="N8" i="16"/>
  <c r="K8" i="60"/>
  <c r="N13" i="16"/>
  <c r="N15" i="16"/>
  <c r="K15" i="60"/>
  <c r="N15" i="60" s="1"/>
  <c r="N14" i="16"/>
  <c r="K14" i="60"/>
  <c r="N14" i="60" s="1"/>
  <c r="N6" i="16"/>
  <c r="K6" i="60"/>
  <c r="N6" i="60" s="1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X4" i="60" s="1"/>
  <c r="Z4" i="14"/>
  <c r="Z4" i="16" s="1"/>
  <c r="Z4" i="60" s="1"/>
  <c r="X5" i="14"/>
  <c r="X5" i="16" s="1"/>
  <c r="X5" i="60" s="1"/>
  <c r="Z5" i="14"/>
  <c r="Z5" i="16" s="1"/>
  <c r="Z5" i="60" s="1"/>
  <c r="X6" i="14"/>
  <c r="X6" i="16" s="1"/>
  <c r="X6" i="60" s="1"/>
  <c r="Z6" i="14"/>
  <c r="Z6" i="16" s="1"/>
  <c r="Z6" i="60" s="1"/>
  <c r="X7" i="14"/>
  <c r="X7" i="16" s="1"/>
  <c r="X7" i="60" s="1"/>
  <c r="Z7" i="14"/>
  <c r="Z7" i="16" s="1"/>
  <c r="Z7" i="60" s="1"/>
  <c r="X8" i="14"/>
  <c r="X8" i="16" s="1"/>
  <c r="X8" i="60" s="1"/>
  <c r="Z8" i="14"/>
  <c r="Z8" i="16" s="1"/>
  <c r="Z8" i="60" s="1"/>
  <c r="X9" i="14"/>
  <c r="X9" i="16" s="1"/>
  <c r="X9" i="60" s="1"/>
  <c r="Z9" i="14"/>
  <c r="Z9" i="16" s="1"/>
  <c r="Z9" i="60" s="1"/>
  <c r="X10" i="14"/>
  <c r="X10" i="16" s="1"/>
  <c r="X10" i="60" s="1"/>
  <c r="Z10" i="14"/>
  <c r="Z10" i="16" s="1"/>
  <c r="Z10" i="60" s="1"/>
  <c r="X11" i="14"/>
  <c r="X11" i="16" s="1"/>
  <c r="X11" i="60" s="1"/>
  <c r="Z11" i="14"/>
  <c r="Z11" i="16" s="1"/>
  <c r="Z11" i="60" s="1"/>
  <c r="X12" i="14"/>
  <c r="X12" i="16" s="1"/>
  <c r="X12" i="60" s="1"/>
  <c r="Z12" i="14"/>
  <c r="Z12" i="16" s="1"/>
  <c r="Z12" i="60" s="1"/>
  <c r="X13" i="14"/>
  <c r="X13" i="16" s="1"/>
  <c r="X13" i="60" s="1"/>
  <c r="Z13" i="14"/>
  <c r="Z13" i="16" s="1"/>
  <c r="Z13" i="60" s="1"/>
  <c r="X14" i="14"/>
  <c r="X14" i="16" s="1"/>
  <c r="X14" i="60" s="1"/>
  <c r="Z14" i="14"/>
  <c r="Z14" i="16" s="1"/>
  <c r="Z14" i="60" s="1"/>
  <c r="X15" i="14"/>
  <c r="X15" i="16" s="1"/>
  <c r="X15" i="60" s="1"/>
  <c r="Z15" i="14"/>
  <c r="Z15" i="16" s="1"/>
  <c r="Z15" i="60" s="1"/>
  <c r="X16" i="14"/>
  <c r="X16" i="16" s="1"/>
  <c r="X16" i="60" s="1"/>
  <c r="Z16" i="14"/>
  <c r="Z16" i="16" s="1"/>
  <c r="Z16" i="60" s="1"/>
  <c r="Z3" i="14"/>
  <c r="Z3" i="16" s="1"/>
  <c r="Z3" i="60" s="1"/>
  <c r="X3" i="14"/>
  <c r="X3" i="16" s="1"/>
  <c r="X3" i="60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24" i="7"/>
  <c r="Q28" i="7"/>
  <c r="Z18" i="16"/>
  <c r="Z24" i="16" s="1"/>
  <c r="X18" i="16"/>
  <c r="X24" i="16" s="1"/>
  <c r="J6" i="7"/>
  <c r="X18" i="36" l="1"/>
  <c r="X24" i="36" s="1"/>
  <c r="X18" i="24"/>
  <c r="X24" i="24" s="1"/>
  <c r="Z18" i="24"/>
  <c r="Z24" i="24" s="1"/>
  <c r="Z18" i="36"/>
  <c r="Z24" i="36" s="1"/>
  <c r="AE6" i="7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T16" i="60" s="1"/>
  <c r="S16" i="14"/>
  <c r="S16" i="16" s="1"/>
  <c r="S16" i="60" s="1"/>
  <c r="Q16" i="14"/>
  <c r="Q16" i="16" s="1"/>
  <c r="Q16" i="60" s="1"/>
  <c r="P16" i="14"/>
  <c r="P16" i="16" s="1"/>
  <c r="P16" i="60" s="1"/>
  <c r="T15" i="14"/>
  <c r="T15" i="16" s="1"/>
  <c r="T15" i="60" s="1"/>
  <c r="S15" i="14"/>
  <c r="S15" i="16" s="1"/>
  <c r="S15" i="60" s="1"/>
  <c r="Q15" i="14"/>
  <c r="Q15" i="16" s="1"/>
  <c r="Q15" i="60" s="1"/>
  <c r="P15" i="14"/>
  <c r="P15" i="16" s="1"/>
  <c r="P15" i="60" s="1"/>
  <c r="T14" i="14"/>
  <c r="T14" i="16" s="1"/>
  <c r="T14" i="60" s="1"/>
  <c r="S14" i="14"/>
  <c r="S14" i="16" s="1"/>
  <c r="S14" i="60" s="1"/>
  <c r="Q14" i="14"/>
  <c r="Q14" i="16" s="1"/>
  <c r="Q14" i="60" s="1"/>
  <c r="P14" i="14"/>
  <c r="P14" i="16" s="1"/>
  <c r="P14" i="60" s="1"/>
  <c r="T13" i="14"/>
  <c r="T13" i="16" s="1"/>
  <c r="T13" i="60" s="1"/>
  <c r="S13" i="14"/>
  <c r="S13" i="16" s="1"/>
  <c r="S13" i="60" s="1"/>
  <c r="Q13" i="14"/>
  <c r="Q13" i="16" s="1"/>
  <c r="Q13" i="60" s="1"/>
  <c r="P13" i="14"/>
  <c r="P13" i="16" s="1"/>
  <c r="P13" i="60" s="1"/>
  <c r="T12" i="14"/>
  <c r="T12" i="16" s="1"/>
  <c r="T12" i="60" s="1"/>
  <c r="S12" i="14"/>
  <c r="S12" i="16" s="1"/>
  <c r="S12" i="60" s="1"/>
  <c r="Q12" i="14"/>
  <c r="Q12" i="16" s="1"/>
  <c r="Q12" i="60" s="1"/>
  <c r="P12" i="14"/>
  <c r="P12" i="16" s="1"/>
  <c r="P12" i="60" s="1"/>
  <c r="T11" i="14"/>
  <c r="T11" i="16" s="1"/>
  <c r="T11" i="60" s="1"/>
  <c r="S11" i="14"/>
  <c r="S11" i="16" s="1"/>
  <c r="S11" i="60" s="1"/>
  <c r="Q11" i="14"/>
  <c r="Q11" i="16" s="1"/>
  <c r="Q11" i="60" s="1"/>
  <c r="P11" i="14"/>
  <c r="P11" i="16" s="1"/>
  <c r="P11" i="60" s="1"/>
  <c r="T10" i="14"/>
  <c r="T10" i="16" s="1"/>
  <c r="T10" i="60" s="1"/>
  <c r="S10" i="14"/>
  <c r="S10" i="16" s="1"/>
  <c r="S10" i="60" s="1"/>
  <c r="U10" i="60" s="1"/>
  <c r="Q10" i="14"/>
  <c r="Q10" i="16" s="1"/>
  <c r="Q10" i="60" s="1"/>
  <c r="P10" i="14"/>
  <c r="P10" i="16" s="1"/>
  <c r="P10" i="60" s="1"/>
  <c r="T9" i="14"/>
  <c r="T9" i="16" s="1"/>
  <c r="T9" i="60" s="1"/>
  <c r="S9" i="14"/>
  <c r="S9" i="16" s="1"/>
  <c r="S9" i="60" s="1"/>
  <c r="Q9" i="14"/>
  <c r="Q9" i="16" s="1"/>
  <c r="Q9" i="60" s="1"/>
  <c r="P9" i="14"/>
  <c r="P9" i="16" s="1"/>
  <c r="P9" i="60" s="1"/>
  <c r="T8" i="14"/>
  <c r="T8" i="16" s="1"/>
  <c r="T8" i="60" s="1"/>
  <c r="S8" i="14"/>
  <c r="S8" i="16" s="1"/>
  <c r="S8" i="60" s="1"/>
  <c r="U8" i="60" s="1"/>
  <c r="Q8" i="14"/>
  <c r="Q8" i="16" s="1"/>
  <c r="Q8" i="60" s="1"/>
  <c r="P8" i="14"/>
  <c r="P8" i="16" s="1"/>
  <c r="P8" i="60" s="1"/>
  <c r="T7" i="14"/>
  <c r="T7" i="16" s="1"/>
  <c r="T7" i="60" s="1"/>
  <c r="S7" i="14"/>
  <c r="S7" i="16" s="1"/>
  <c r="S7" i="60" s="1"/>
  <c r="Q7" i="14"/>
  <c r="Q7" i="16" s="1"/>
  <c r="Q7" i="60" s="1"/>
  <c r="P7" i="14"/>
  <c r="P7" i="16" s="1"/>
  <c r="P7" i="60" s="1"/>
  <c r="T6" i="14"/>
  <c r="T6" i="16" s="1"/>
  <c r="T6" i="60" s="1"/>
  <c r="S6" i="14"/>
  <c r="S6" i="16" s="1"/>
  <c r="S6" i="60" s="1"/>
  <c r="U6" i="60" s="1"/>
  <c r="Y6" i="60" s="1"/>
  <c r="Q6" i="14"/>
  <c r="Q6" i="16" s="1"/>
  <c r="Q6" i="60" s="1"/>
  <c r="P6" i="14"/>
  <c r="P6" i="16" s="1"/>
  <c r="P6" i="60" s="1"/>
  <c r="T5" i="14"/>
  <c r="T5" i="16" s="1"/>
  <c r="T5" i="60" s="1"/>
  <c r="S5" i="14"/>
  <c r="S5" i="16" s="1"/>
  <c r="S5" i="60" s="1"/>
  <c r="Q5" i="14"/>
  <c r="Q5" i="16" s="1"/>
  <c r="Q5" i="60" s="1"/>
  <c r="P5" i="14"/>
  <c r="P5" i="16" s="1"/>
  <c r="P5" i="60" s="1"/>
  <c r="T4" i="14"/>
  <c r="T4" i="16" s="1"/>
  <c r="T4" i="60" s="1"/>
  <c r="S4" i="14"/>
  <c r="S4" i="16" s="1"/>
  <c r="S4" i="60" s="1"/>
  <c r="U4" i="60" s="1"/>
  <c r="Q4" i="14"/>
  <c r="Q4" i="16" s="1"/>
  <c r="Q4" i="60" s="1"/>
  <c r="P4" i="14"/>
  <c r="P4" i="16" s="1"/>
  <c r="P4" i="60" s="1"/>
  <c r="T3" i="14"/>
  <c r="T3" i="16" s="1"/>
  <c r="T3" i="60" s="1"/>
  <c r="T18" i="60" s="1"/>
  <c r="T24" i="60" s="1"/>
  <c r="S3" i="14"/>
  <c r="S3" i="16" s="1"/>
  <c r="S3" i="60" s="1"/>
  <c r="Q3" i="14"/>
  <c r="Q3" i="16" s="1"/>
  <c r="Q3" i="60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P3" i="60" s="1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8" i="7" s="1"/>
  <c r="G37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8" i="7" s="1"/>
  <c r="R5" i="15"/>
  <c r="O5" i="15" s="1"/>
  <c r="AK6" i="15"/>
  <c r="U9" i="15"/>
  <c r="T18" i="15"/>
  <c r="T24" i="15" s="1"/>
  <c r="I8" i="7" s="1"/>
  <c r="I37" i="7" s="1"/>
  <c r="X18" i="15"/>
  <c r="X24" i="15" s="1"/>
  <c r="M8" i="7" s="1"/>
  <c r="M37" i="7" s="1"/>
  <c r="R6" i="15"/>
  <c r="O6" i="15" s="1"/>
  <c r="AJ12" i="15"/>
  <c r="Z18" i="15"/>
  <c r="Z24" i="15" s="1"/>
  <c r="L8" i="7" s="1"/>
  <c r="L37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8" i="7"/>
  <c r="H37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8" i="7"/>
  <c r="D37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8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W31" i="7" s="1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8" i="7" s="1"/>
  <c r="F37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8" i="7"/>
  <c r="J37" i="7"/>
  <c r="X12" i="7"/>
  <c r="X11" i="7"/>
  <c r="X10" i="7"/>
  <c r="X9" i="7"/>
  <c r="J18" i="44"/>
  <c r="K16" i="44" s="1"/>
  <c r="Q31" i="7"/>
  <c r="Y6" i="7"/>
  <c r="P31" i="7"/>
  <c r="O31" i="7"/>
  <c r="N31" i="7"/>
  <c r="V31" i="7"/>
  <c r="R31" i="7"/>
  <c r="M31" i="7"/>
  <c r="U31" i="7"/>
  <c r="L31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7" i="7"/>
  <c r="AE7" i="7"/>
  <c r="D3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8" i="7" s="1"/>
  <c r="K37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G17" i="14"/>
  <c r="AE3" i="14"/>
  <c r="AP5" i="13"/>
  <c r="AN5" i="13"/>
  <c r="AE4" i="12"/>
  <c r="AI17" i="13"/>
  <c r="AG17" i="12"/>
  <c r="W18" i="12"/>
  <c r="W24" i="12" s="1"/>
  <c r="K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32" i="7"/>
  <c r="Z9" i="7"/>
  <c r="Y3" i="7"/>
  <c r="Z10" i="7"/>
  <c r="X33" i="7"/>
  <c r="X34" i="7"/>
  <c r="Z11" i="7"/>
  <c r="X35" i="7"/>
  <c r="Z12" i="7"/>
  <c r="X37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7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31" i="7"/>
  <c r="Y8" i="7"/>
  <c r="Y37" i="7" s="1"/>
  <c r="AP5" i="36"/>
  <c r="AN5" i="36"/>
  <c r="U24" i="36"/>
  <c r="Y18" i="36"/>
  <c r="Y7" i="7"/>
  <c r="Y4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3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24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16" i="60" l="1"/>
  <c r="AE16" i="60" s="1"/>
  <c r="AL16" i="60" s="1" a="1"/>
  <c r="AL16" i="60" s="1"/>
  <c r="AE16" i="16"/>
  <c r="AD13" i="60"/>
  <c r="AE13" i="60" s="1"/>
  <c r="AL13" i="60" s="1" a="1"/>
  <c r="AL13" i="60" s="1"/>
  <c r="AE13" i="16"/>
  <c r="V18" i="60"/>
  <c r="V24" i="60" s="1"/>
  <c r="L4" i="22"/>
  <c r="M4" i="22" s="1"/>
  <c r="G5" i="22" s="1"/>
  <c r="K18" i="22"/>
  <c r="AD14" i="60"/>
  <c r="AE14" i="60" s="1"/>
  <c r="AL14" i="60" s="1" a="1"/>
  <c r="AL14" i="60" s="1"/>
  <c r="AE14" i="16"/>
  <c r="AD3" i="60"/>
  <c r="AD18" i="16"/>
  <c r="AD24" i="16" s="1"/>
  <c r="L5" i="22"/>
  <c r="M5" i="22" s="1"/>
  <c r="G4" i="22" s="1"/>
  <c r="AD6" i="60"/>
  <c r="AE6" i="60" s="1"/>
  <c r="AL6" i="60" s="1" a="1"/>
  <c r="AL6" i="60" s="1"/>
  <c r="AE6" i="16"/>
  <c r="AD7" i="60"/>
  <c r="AE7" i="60" s="1"/>
  <c r="AL7" i="60" s="1" a="1"/>
  <c r="AL7" i="60" s="1"/>
  <c r="AE7" i="16"/>
  <c r="AD5" i="60"/>
  <c r="AE5" i="60" s="1"/>
  <c r="AL5" i="60" s="1" a="1"/>
  <c r="AL5" i="60" s="1"/>
  <c r="AE5" i="16"/>
  <c r="AD11" i="60"/>
  <c r="AE11" i="60" s="1"/>
  <c r="AL11" i="60" s="1" a="1"/>
  <c r="AL11" i="60" s="1"/>
  <c r="AE11" i="16"/>
  <c r="AD4" i="60"/>
  <c r="AE4" i="60" s="1"/>
  <c r="AL4" i="60" s="1" a="1"/>
  <c r="AL4" i="60" s="1"/>
  <c r="AE4" i="16"/>
  <c r="L12" i="22"/>
  <c r="M12" i="22" s="1"/>
  <c r="G12" i="22" s="1"/>
  <c r="AD9" i="60"/>
  <c r="AE9" i="60" s="1"/>
  <c r="AL9" i="60" s="1" a="1"/>
  <c r="AL9" i="60" s="1"/>
  <c r="AE9" i="16"/>
  <c r="AD10" i="60"/>
  <c r="AE10" i="60" s="1"/>
  <c r="AL10" i="60" s="1" a="1"/>
  <c r="AL10" i="60" s="1"/>
  <c r="AE10" i="16"/>
  <c r="AD8" i="60"/>
  <c r="AE8" i="60" s="1"/>
  <c r="AL8" i="60" s="1" a="1"/>
  <c r="AL8" i="60" s="1"/>
  <c r="AE8" i="16"/>
  <c r="AD15" i="60"/>
  <c r="AE15" i="60" s="1"/>
  <c r="AL15" i="60" s="1" a="1"/>
  <c r="AL15" i="60" s="1"/>
  <c r="AE15" i="16"/>
  <c r="AE18" i="16" s="1"/>
  <c r="AE24" i="16" s="1"/>
  <c r="AD12" i="60"/>
  <c r="AE12" i="60" s="1"/>
  <c r="AL12" i="60" s="1" a="1"/>
  <c r="AL12" i="60" s="1"/>
  <c r="AE12" i="16"/>
  <c r="AC10" i="7"/>
  <c r="Z33" i="7"/>
  <c r="AD10" i="7"/>
  <c r="AD12" i="7"/>
  <c r="Z35" i="7"/>
  <c r="AC12" i="7"/>
  <c r="AC9" i="7"/>
  <c r="Z32" i="7"/>
  <c r="AD9" i="7"/>
  <c r="Z34" i="7"/>
  <c r="AD11" i="7"/>
  <c r="AC11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31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24" i="7"/>
  <c r="M28" i="7"/>
  <c r="G24" i="7"/>
  <c r="G28" i="7"/>
  <c r="L24" i="7"/>
  <c r="L28" i="7"/>
  <c r="I24" i="7"/>
  <c r="I28" i="7"/>
  <c r="H24" i="7"/>
  <c r="H28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5" i="7"/>
  <c r="X3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29" i="7"/>
  <c r="X5" i="7"/>
  <c r="Z3" i="7"/>
  <c r="X6" i="7"/>
  <c r="Z6" i="7" s="1"/>
  <c r="X4" i="7"/>
  <c r="Z4" i="7" s="1"/>
  <c r="X7" i="7"/>
  <c r="Z7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8" i="7"/>
  <c r="AN17" i="24"/>
  <c r="I26" i="7"/>
  <c r="J24" i="7"/>
  <c r="J28" i="7"/>
  <c r="M29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5" i="7"/>
  <c r="D5" i="7"/>
  <c r="D24" i="7" s="1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Y5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28" i="7"/>
  <c r="K29" i="7" s="1"/>
  <c r="K24" i="7"/>
  <c r="K26" i="7" s="1"/>
  <c r="Z37" i="7"/>
  <c r="AA8" i="7"/>
  <c r="AA37" i="7" s="1"/>
  <c r="AP18" i="36"/>
  <c r="AP24" i="36" s="1"/>
  <c r="D18" i="44"/>
  <c r="M8" i="44"/>
  <c r="L9" i="44"/>
  <c r="E5" i="44"/>
  <c r="M13" i="44"/>
  <c r="L14" i="44"/>
  <c r="X31" i="7"/>
  <c r="AD4" i="7"/>
  <c r="AC4" i="7"/>
  <c r="AC6" i="7"/>
  <c r="AD6" i="7"/>
  <c r="AC3" i="7"/>
  <c r="AD3" i="7"/>
  <c r="AL17" i="15"/>
  <c r="AN3" i="15"/>
  <c r="AN17" i="15" s="1"/>
  <c r="AP3" i="15"/>
  <c r="AP18" i="15" s="1"/>
  <c r="AP24" i="15" s="1"/>
  <c r="K32" i="15" s="1"/>
  <c r="L32" i="15" s="1"/>
  <c r="AC7" i="7"/>
  <c r="Z31" i="7"/>
  <c r="AD7" i="7"/>
  <c r="L5" i="21"/>
  <c r="E4" i="21"/>
  <c r="F4" i="21" s="1"/>
  <c r="D18" i="21"/>
  <c r="R29" i="7"/>
  <c r="W29" i="7"/>
  <c r="T29" i="7"/>
  <c r="V29" i="7"/>
  <c r="S29" i="7"/>
  <c r="Q29" i="7"/>
  <c r="Z5" i="7"/>
  <c r="Y28" i="7"/>
  <c r="Y29" i="7" s="1"/>
  <c r="Y24" i="7"/>
  <c r="L29" i="7"/>
  <c r="Q26" i="7"/>
  <c r="W26" i="7"/>
  <c r="F24" i="7"/>
  <c r="F28" i="7"/>
  <c r="X24" i="7"/>
  <c r="X26" i="7" s="1"/>
  <c r="X28" i="7"/>
  <c r="X29" i="7" s="1"/>
  <c r="D28" i="7"/>
  <c r="R26" i="7"/>
  <c r="S26" i="7"/>
  <c r="T26" i="7"/>
  <c r="U26" i="7"/>
  <c r="V26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24" i="7"/>
  <c r="M26" i="7"/>
  <c r="L26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24" i="7"/>
  <c r="Z28" i="7"/>
  <c r="AE25" i="16" s="1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A24" i="7" s="1"/>
  <c r="AB24" i="7"/>
  <c r="V18" i="3"/>
  <c r="V24" i="3" s="1"/>
  <c r="AL17" i="3"/>
  <c r="AP3" i="3"/>
  <c r="AP18" i="3" s="1"/>
  <c r="AN3" i="3"/>
  <c r="AN17" i="3" s="1"/>
  <c r="AM3" i="3"/>
  <c r="AM17" i="3" s="1"/>
  <c r="AB26" i="7" l="1"/>
  <c r="AE25" i="60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29" i="7"/>
  <c r="AA28" i="7"/>
  <c r="AA29" i="7" s="1"/>
  <c r="Z26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24" i="7"/>
  <c r="AC24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44380B09-1F64-41A2-B44E-5E3064CACEA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0185C83-0981-4DE2-979C-1DC13C8AC9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9005F08-1E42-47C1-B42E-08F5BC6C76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<sst xmlns="http://schemas.openxmlformats.org/spreadsheetml/2006/main" count="135893" uniqueCount="3694">
  <si>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</si>
  <si>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</si>
  <si>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</si>
  <si>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</si>
  <si>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</si>
  <si>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</si>
  <si>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</si>
  <si>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</si>
  <si>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</si>
  <si>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</si>
  <si>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</si>
  <si>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</si>
  <si>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</si>
  <si>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</si>
  <si>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</si>
  <si>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</si>
  <si>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</si>
  <si>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</si>
  <si>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</si>
  <si>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</si>
  <si>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</si>
  <si>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</si>
  <si>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</si>
  <si>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</si>
  <si>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</si>
  <si>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</si>
  <si>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</si>
  <si>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</si>
  <si>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</si>
  <si>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</si>
  <si>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</si>
  <si>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</si>
  <si>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</si>
  <si>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</si>
  <si>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</si>
  <si>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</si>
  <si>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</si>
  <si>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</si>
  <si>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</si>
  <si>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</si>
  <si>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</si>
  <si>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</si>
  <si>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</si>
  <si>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</si>
  <si>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</si>
  <si>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</si>
  <si>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</si>
  <si>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</si>
  <si>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</si>
  <si>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</si>
  <si>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</si>
  <si>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</si>
  <si>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</si>
  <si>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</si>
  <si>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</si>
  <si>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</si>
  <si>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</si>
  <si>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</si>
  <si>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</si>
  <si>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</si>
  <si>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</si>
  <si>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</si>
  <si>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</si>
  <si>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</si>
  <si>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</si>
  <si>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</si>
  <si>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</si>
  <si>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</si>
  <si>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</si>
  <si>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</si>
  <si>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</si>
  <si>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</si>
  <si>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</si>
  <si>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</si>
  <si>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</si>
  <si>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</si>
  <si>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</si>
  <si>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</si>
  <si>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</si>
  <si>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</si>
  <si>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</si>
  <si>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</si>
  <si>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</si>
  <si>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</si>
  <si>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</si>
  <si>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</si>
  <si>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</si>
  <si>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</si>
  <si>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</si>
  <si>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</si>
  <si>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</si>
  <si>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</si>
  <si>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</si>
  <si>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</si>
  <si>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</si>
  <si>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</si>
  <si>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</si>
  <si>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</si>
  <si>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</si>
  <si>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</si>
  <si>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</si>
  <si>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</si>
  <si>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</si>
  <si>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</si>
  <si>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</si>
  <si>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</si>
  <si>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</si>
  <si>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</si>
  <si>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</si>
  <si>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</si>
  <si>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</si>
  <si>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</si>
  <si>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</si>
  <si>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</si>
  <si>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</si>
  <si>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</si>
  <si>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</si>
  <si>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</si>
  <si>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</si>
  <si>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</si>
  <si>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</si>
  <si>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</si>
  <si>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</si>
  <si>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</si>
  <si>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</si>
  <si>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</si>
  <si>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</si>
  <si>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</si>
  <si>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</si>
  <si>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</si>
  <si>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</si>
  <si>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</si>
  <si>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</si>
  <si>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</si>
  <si>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</si>
  <si>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</si>
  <si>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</si>
  <si>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</si>
  <si>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</si>
  <si>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</si>
  <si>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</si>
  <si>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</si>
  <si>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</si>
  <si>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</si>
  <si>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</si>
  <si>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</si>
  <si>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</si>
  <si>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</si>
  <si>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</si>
  <si>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</si>
  <si>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</si>
  <si>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</si>
  <si>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</si>
  <si>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</si>
  <si>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</si>
  <si>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</si>
  <si>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</si>
  <si>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</si>
  <si>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</si>
  <si>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</si>
  <si>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</si>
  <si>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</si>
  <si>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</si>
  <si>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</si>
  <si>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</si>
  <si>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</si>
  <si>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</si>
  <si>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</si>
  <si>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</si>
  <si>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</si>
  <si>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</si>
  <si>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</si>
  <si>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</si>
  <si>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</si>
  <si>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</si>
  <si>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</si>
  <si>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</si>
  <si>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</si>
  <si>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</si>
  <si>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</si>
  <si>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</si>
  <si>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</si>
  <si>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</si>
  <si>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</si>
  <si>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</si>
  <si>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</si>
  <si>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</si>
  <si>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</si>
  <si>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</si>
  <si>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</si>
  <si>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</si>
  <si>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</si>
  <si>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</si>
  <si>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</si>
  <si>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</si>
  <si>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</si>
  <si>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</si>
  <si>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</si>
  <si>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</si>
  <si>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</si>
  <si>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</si>
  <si>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</si>
  <si>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</si>
  <si>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</si>
  <si>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</si>
  <si>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</si>
  <si>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</si>
  <si>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</si>
  <si>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</si>
  <si>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</si>
  <si>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</si>
  <si>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</si>
  <si>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</si>
  <si>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</si>
  <si>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</si>
  <si>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</si>
  <si>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</si>
  <si>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</si>
  <si>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</si>
  <si>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</si>
  <si>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</si>
  <si>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</si>
  <si>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</si>
  <si>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</si>
  <si>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</si>
  <si>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</si>
  <si>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</si>
  <si>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</si>
  <si>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</si>
  <si>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</si>
  <si>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</si>
  <si>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</si>
  <si>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</si>
  <si>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</si>
  <si>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</si>
  <si>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</si>
  <si>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</si>
  <si>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</si>
  <si>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</si>
  <si>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</si>
  <si>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</si>
  <si>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</si>
  <si>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</si>
  <si>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</si>
  <si>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</si>
  <si>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</si>
  <si>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</si>
  <si>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</si>
  <si>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</si>
  <si>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</si>
  <si>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</si>
  <si>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</si>
  <si>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</si>
  <si>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</si>
  <si>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</si>
  <si>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</si>
  <si>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</si>
  <si>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</si>
  <si>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</si>
  <si>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</si>
  <si>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</si>
  <si>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</si>
  <si>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</si>
  <si>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</si>
  <si>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</si>
  <si>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</si>
  <si>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</si>
  <si>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</si>
  <si>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</si>
  <si>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</si>
  <si>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</si>
  <si>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</si>
  <si>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</si>
  <si>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</si>
  <si>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</si>
  <si>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</si>
  <si>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</si>
  <si>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</si>
  <si>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</si>
  <si>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</si>
  <si>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</si>
  <si>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</si>
  <si>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</si>
  <si>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</si>
  <si>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</si>
  <si>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</si>
  <si>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</si>
  <si>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</si>
  <si>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</si>
  <si>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</si>
  <si>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</si>
  <si>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</si>
  <si>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</si>
  <si>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</si>
  <si>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</si>
  <si>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</si>
  <si>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</si>
  <si>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</si>
  <si>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</si>
  <si>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</si>
  <si>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</si>
  <si>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</si>
  <si>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</si>
  <si>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</si>
  <si>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</si>
  <si>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</si>
  <si>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</si>
  <si>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</si>
  <si>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</si>
  <si>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</si>
  <si>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</si>
  <si>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</si>
  <si>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</si>
  <si>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</si>
  <si>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</si>
  <si>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</si>
  <si>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</si>
  <si>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</si>
  <si>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</si>
  <si>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</si>
  <si>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</si>
  <si>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</si>
  <si>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</si>
  <si>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</si>
  <si>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</si>
  <si>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</si>
  <si>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</si>
  <si>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</si>
  <si>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</si>
  <si>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</si>
  <si>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</si>
  <si>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</si>
  <si>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</si>
  <si>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</si>
  <si>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</si>
  <si>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</si>
  <si>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</si>
  <si>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</si>
  <si>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</si>
  <si>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</si>
  <si>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</si>
  <si>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</si>
  <si>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</si>
  <si>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</si>
  <si>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</si>
  <si>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</si>
  <si>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</si>
  <si>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</si>
  <si>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</si>
  <si>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</si>
  <si>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</si>
  <si>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</si>
  <si>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</si>
  <si>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</si>
  <si>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</si>
  <si>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</si>
  <si>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</si>
  <si>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</si>
  <si>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</si>
  <si>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</si>
  <si>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</si>
  <si>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</si>
  <si>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</si>
  <si>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</si>
  <si>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</si>
  <si>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</si>
  <si>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</si>
  <si>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</si>
  <si>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</si>
  <si>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</si>
  <si>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</si>
  <si>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</si>
  <si>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</si>
  <si>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</si>
  <si>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</si>
  <si>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</si>
  <si>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</si>
  <si>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</si>
  <si>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</si>
  <si>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</si>
  <si>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</si>
  <si>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</si>
  <si>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</si>
  <si>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</si>
  <si>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</si>
  <si>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</si>
  <si>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</si>
  <si>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</si>
  <si>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</si>
  <si>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</si>
  <si>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</si>
  <si>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</si>
  <si>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</si>
  <si>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</si>
  <si>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</si>
  <si>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</si>
  <si>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</si>
  <si>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</si>
  <si>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</si>
  <si>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</si>
  <si>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</si>
  <si>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</si>
  <si>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</si>
  <si>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</si>
  <si>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</si>
  <si>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</si>
  <si>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</si>
  <si>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</si>
  <si>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</si>
  <si>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</si>
  <si>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</si>
  <si>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</si>
  <si>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</si>
  <si>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</si>
  <si>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</si>
  <si>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</si>
  <si>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</si>
  <si>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</si>
  <si>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</si>
  <si>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</si>
  <si>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</si>
  <si>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</si>
  <si>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</si>
  <si>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</si>
  <si>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</si>
  <si>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</si>
  <si>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</si>
  <si>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</si>
  <si>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</si>
  <si>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</si>
  <si>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</si>
  <si>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</si>
  <si>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</si>
  <si>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</si>
  <si>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</si>
  <si>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</si>
  <si>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</si>
  <si>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</si>
  <si>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</si>
  <si>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</si>
  <si>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</si>
  <si>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</si>
  <si>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</si>
  <si>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</si>
  <si>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</si>
  <si>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</si>
  <si>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</si>
  <si>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</si>
  <si>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</si>
  <si>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</si>
  <si>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</si>
  <si>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</si>
  <si>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</si>
  <si>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</si>
  <si>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</si>
  <si>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</si>
  <si>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</si>
  <si>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</si>
  <si>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</si>
  <si>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</si>
  <si>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</si>
  <si>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</si>
  <si>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</si>
  <si>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</si>
  <si>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</si>
  <si>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</si>
  <si>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</si>
  <si>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</si>
  <si>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</si>
  <si>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</si>
  <si>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</si>
  <si>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</si>
  <si>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</si>
  <si>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</si>
  <si>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</si>
  <si>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</si>
  <si>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</si>
  <si>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</si>
  <si>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</si>
  <si>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</si>
  <si>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</si>
  <si>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</si>
  <si>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</si>
  <si>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</si>
  <si>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</si>
  <si>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</si>
  <si>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</si>
  <si>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</si>
  <si>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</si>
  <si>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</si>
  <si>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</si>
  <si>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</si>
  <si>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</si>
  <si>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</si>
  <si>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</si>
  <si>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</si>
  <si>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</si>
  <si>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</si>
  <si>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</si>
  <si>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</si>
  <si>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</si>
  <si>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</si>
  <si>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</si>
  <si>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</si>
  <si>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</si>
  <si>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</si>
  <si>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</si>
  <si>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</si>
  <si>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</si>
  <si>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</si>
  <si>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</si>
  <si>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</si>
  <si>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</si>
  <si>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</si>
  <si>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</si>
  <si>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</si>
  <si>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</si>
  <si>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</si>
  <si>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</si>
  <si>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</si>
  <si>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</si>
  <si>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</si>
  <si>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</si>
  <si>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</si>
  <si>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</si>
  <si>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</si>
  <si>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</si>
  <si>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</si>
  <si>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</si>
  <si>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</si>
  <si>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</si>
  <si>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</si>
  <si>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</si>
  <si>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</si>
  <si>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</si>
  <si>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</si>
  <si>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</si>
  <si>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</si>
  <si>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</si>
  <si>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</si>
  <si>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</si>
  <si>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</si>
  <si>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</si>
  <si>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</si>
  <si>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</si>
  <si>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</si>
  <si>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</si>
  <si>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</si>
  <si>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</si>
  <si>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</si>
  <si>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</si>
  <si>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</si>
  <si>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</si>
  <si>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</si>
  <si>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</si>
  <si>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</si>
  <si>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</si>
  <si>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</si>
  <si>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</si>
  <si>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</si>
  <si>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</si>
  <si>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</si>
  <si>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</si>
  <si>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</si>
  <si>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</si>
  <si>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</si>
  <si>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</si>
  <si>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</si>
  <si>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</si>
  <si>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</si>
  <si>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</si>
  <si>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</si>
  <si>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</si>
  <si>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</si>
  <si>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</si>
  <si>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</si>
  <si>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</si>
  <si>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</si>
  <si>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</si>
  <si>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</si>
  <si>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</si>
  <si>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</si>
  <si>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</si>
  <si>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</si>
  <si>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</si>
  <si>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</si>
  <si>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</si>
  <si>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</si>
  <si>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</si>
  <si>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</si>
  <si>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</si>
  <si>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</si>
  <si>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</si>
  <si>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</si>
  <si>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</si>
  <si>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</si>
  <si>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</si>
  <si>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</si>
  <si>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</si>
  <si>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</si>
  <si>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</si>
  <si>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</si>
  <si>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</si>
  <si>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</si>
  <si>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</si>
  <si>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</si>
  <si>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</si>
  <si>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</si>
  <si>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</si>
  <si>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</si>
  <si>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</si>
  <si>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</si>
  <si>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</si>
  <si>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</si>
  <si>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</si>
  <si>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</si>
  <si>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</si>
  <si>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</si>
  <si>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</si>
  <si>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</si>
  <si>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</si>
  <si>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</si>
  <si>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</si>
  <si>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</si>
  <si>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</si>
  <si>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</si>
  <si>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</si>
  <si>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</si>
  <si>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</si>
  <si>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</si>
  <si>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</si>
  <si>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</si>
  <si>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</si>
  <si>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</si>
  <si>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</si>
  <si>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</si>
  <si>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</si>
  <si>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</si>
  <si>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</si>
  <si>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</si>
  <si>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</si>
  <si>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</si>
  <si>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</si>
  <si>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</si>
  <si>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</si>
  <si>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</si>
  <si>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</si>
  <si>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</si>
  <si>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</si>
  <si>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</si>
  <si>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</si>
  <si>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</si>
  <si>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</si>
  <si>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</si>
  <si>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</si>
  <si>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</si>
  <si>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</si>
  <si>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</si>
  <si>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</si>
  <si>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</si>
  <si>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</si>
  <si>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</si>
  <si>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</si>
  <si>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</si>
  <si>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</si>
  <si>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</si>
  <si>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</si>
  <si>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</si>
  <si>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</si>
  <si>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</si>
  <si>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</si>
  <si>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</si>
  <si>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</si>
  <si>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</si>
  <si>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</si>
  <si>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</si>
  <si>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</si>
  <si>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</si>
  <si>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</si>
  <si>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</si>
  <si>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</si>
  <si>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</si>
  <si>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</si>
  <si>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</si>
  <si>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</si>
  <si>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</si>
  <si>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</si>
  <si>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</si>
  <si>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</si>
  <si>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</si>
  <si>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</si>
  <si>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</si>
  <si>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</si>
  <si>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</si>
  <si>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</si>
  <si>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</si>
  <si>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</si>
  <si>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</si>
  <si>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</si>
  <si>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</si>
  <si>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</si>
  <si>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</si>
  <si>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</si>
  <si>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</si>
  <si>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</si>
  <si>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</si>
  <si>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</si>
  <si>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</si>
  <si>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</si>
  <si>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</si>
  <si>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</si>
  <si>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</si>
  <si>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</si>
  <si>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</si>
  <si>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</si>
  <si>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</si>
  <si>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</si>
  <si>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</si>
  <si>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</si>
  <si>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</si>
  <si>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</si>
  <si>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</si>
  <si>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</si>
  <si>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</si>
  <si>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</si>
  <si>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</si>
  <si>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</si>
  <si>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</si>
  <si>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</si>
  <si>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</si>
  <si>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</si>
  <si>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</si>
  <si>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</si>
  <si>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</si>
  <si>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</si>
  <si>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</si>
  <si>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</si>
  <si>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</si>
  <si>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</si>
  <si>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</si>
  <si>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</si>
  <si>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</si>
  <si>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</si>
  <si>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</si>
  <si>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</si>
  <si>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</si>
  <si>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</si>
  <si>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</si>
  <si>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</si>
  <si>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</si>
  <si>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</si>
  <si>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</si>
  <si>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</si>
  <si>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</si>
  <si>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</si>
  <si>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</si>
  <si>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</si>
  <si>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</si>
  <si>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</si>
  <si>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</si>
  <si>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</si>
  <si>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</si>
  <si>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</si>
  <si>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</si>
  <si>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</si>
  <si>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</si>
  <si>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</si>
  <si>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</si>
  <si>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</si>
  <si>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</si>
  <si>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</si>
  <si>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</si>
  <si>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</si>
  <si>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</si>
  <si>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</si>
  <si>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</si>
  <si>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</si>
  <si>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</si>
  <si>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</si>
  <si>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</si>
  <si>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</si>
  <si>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</si>
  <si>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</si>
  <si>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</si>
  <si>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</si>
  <si>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</si>
  <si>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</si>
  <si>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</si>
  <si>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</si>
  <si>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</si>
  <si>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</si>
  <si>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</si>
  <si>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</si>
  <si>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</si>
  <si>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</si>
  <si>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</si>
  <si>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</si>
  <si>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</si>
  <si>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</si>
  <si>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</si>
  <si>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</si>
  <si>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</si>
  <si>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</si>
  <si>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</si>
  <si>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</si>
  <si>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</si>
  <si>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</si>
  <si>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</si>
  <si>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</si>
  <si>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</si>
  <si>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</si>
  <si>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</si>
  <si>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</si>
  <si>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</si>
  <si>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</si>
  <si>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</si>
  <si>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</si>
  <si>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</si>
  <si>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</si>
  <si>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</si>
  <si>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</si>
  <si>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</si>
  <si>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</si>
  <si>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</si>
  <si>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</si>
  <si>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</si>
  <si>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</si>
  <si>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</si>
  <si>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</si>
  <si>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</si>
  <si>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</si>
  <si>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</si>
  <si>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</si>
  <si>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</si>
  <si>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</si>
  <si>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</si>
  <si>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</si>
  <si>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</si>
  <si>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</si>
  <si>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</si>
  <si>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</si>
  <si>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</si>
  <si>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</si>
  <si>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</si>
  <si>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</si>
  <si>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</si>
  <si>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</si>
  <si>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</si>
  <si>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</si>
  <si>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</si>
  <si>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</si>
  <si>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</si>
  <si>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</si>
  <si>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</si>
  <si>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</si>
  <si>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</si>
  <si>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</si>
  <si>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</si>
  <si>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</si>
  <si>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</si>
  <si>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</si>
  <si>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</si>
  <si>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</si>
  <si>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</si>
  <si>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</si>
  <si>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</si>
  <si>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</si>
  <si>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</si>
  <si>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</si>
  <si>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</si>
  <si>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</si>
  <si>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</si>
  <si>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</si>
  <si>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</si>
  <si>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</si>
  <si>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</si>
  <si>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</si>
  <si>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</si>
  <si>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</si>
  <si>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</si>
  <si>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</si>
  <si>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</si>
  <si>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</si>
  <si>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</si>
  <si>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</si>
  <si>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</si>
  <si>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</si>
  <si>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</si>
  <si>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</si>
  <si>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</si>
  <si>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</si>
  <si>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</si>
  <si>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</si>
  <si>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</si>
  <si>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</si>
  <si>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</si>
  <si>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</si>
  <si>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</si>
  <si>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</si>
  <si>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</si>
  <si>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</si>
  <si>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</si>
  <si>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</si>
  <si>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</si>
  <si>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</si>
  <si>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</si>
  <si>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</si>
  <si>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</si>
  <si>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</si>
  <si>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</si>
  <si>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</si>
  <si>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</si>
  <si>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</si>
  <si>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</si>
  <si>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</si>
  <si>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</si>
  <si>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</si>
  <si>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</si>
  <si>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</si>
  <si>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</si>
  <si>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</si>
  <si>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</si>
  <si>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</si>
  <si>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</si>
  <si>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</si>
  <si>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</si>
  <si>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</si>
  <si>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</si>
  <si>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</si>
  <si>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</si>
  <si>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</si>
  <si>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</si>
  <si>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</si>
  <si>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</si>
  <si>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</si>
  <si>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</si>
  <si>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</si>
  <si>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</si>
  <si>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</si>
  <si>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</si>
  <si>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</si>
  <si>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</si>
  <si>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</si>
  <si>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</si>
  <si>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</si>
  <si>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</si>
  <si>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</si>
  <si>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</si>
  <si>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</si>
  <si>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</si>
  <si>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</si>
  <si>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</si>
  <si>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</si>
  <si>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</si>
  <si>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</si>
  <si>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</si>
  <si>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</si>
  <si>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</si>
  <si>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</si>
  <si>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</si>
  <si>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</si>
  <si>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</si>
  <si>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</si>
  <si>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</si>
  <si>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</si>
  <si>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</si>
  <si>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</si>
  <si>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</si>
  <si>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</si>
  <si>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</si>
  <si>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</si>
  <si>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</si>
  <si>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</si>
  <si>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</si>
  <si>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</si>
  <si>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</si>
  <si>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</si>
  <si>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</si>
  <si>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</si>
  <si>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</si>
  <si>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</si>
  <si>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</si>
  <si>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</si>
  <si>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</si>
  <si>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</si>
  <si>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</si>
  <si>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</si>
  <si>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</si>
  <si>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</si>
  <si>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</si>
  <si>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</si>
  <si>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</si>
  <si>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</si>
  <si>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</si>
  <si>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</si>
  <si>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</si>
  <si>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</si>
  <si>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</si>
  <si>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</si>
  <si>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</si>
  <si>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</si>
  <si>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</si>
  <si>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</si>
  <si>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</si>
  <si>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</si>
  <si>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</si>
  <si>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</si>
  <si>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</si>
  <si>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</si>
  <si>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</si>
  <si>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</si>
  <si>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</si>
  <si>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</si>
  <si>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</si>
  <si>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</si>
  <si>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</si>
  <si>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</si>
  <si>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</si>
  <si>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</si>
  <si>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</si>
  <si>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</si>
  <si>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</si>
  <si>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</si>
  <si>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</si>
  <si>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</si>
  <si>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</si>
  <si>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</si>
  <si>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</si>
  <si>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</si>
  <si>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</si>
  <si>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</si>
  <si>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</si>
  <si>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</si>
  <si>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</si>
  <si>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</si>
  <si>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</si>
  <si>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</si>
  <si>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</si>
  <si>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</si>
  <si>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</si>
  <si>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</si>
  <si>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</si>
  <si>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</si>
  <si>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</si>
  <si>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</si>
  <si>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</si>
  <si>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</si>
  <si>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</si>
  <si>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</si>
  <si>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</si>
  <si>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</si>
  <si>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</si>
  <si>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</si>
  <si>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</si>
  <si>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</si>
  <si>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</si>
  <si>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</si>
  <si>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</si>
  <si>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</si>
  <si>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</si>
  <si>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</si>
  <si>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</si>
  <si>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</si>
  <si>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</si>
  <si>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</si>
  <si>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</si>
  <si>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</si>
  <si>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</si>
  <si>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</si>
  <si>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</si>
  <si>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</si>
  <si>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</si>
  <si>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</si>
  <si>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</si>
  <si>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</si>
  <si>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</si>
  <si>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</si>
  <si>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</si>
  <si>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</si>
  <si>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</si>
  <si>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</si>
  <si>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</si>
  <si>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</si>
  <si>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</si>
  <si>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</si>
  <si>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</si>
  <si>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</si>
  <si>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</si>
  <si>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</si>
  <si>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</si>
  <si>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</si>
  <si>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</si>
  <si>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</si>
  <si>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</si>
  <si>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</si>
  <si>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</si>
  <si>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</si>
  <si>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</si>
  <si>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</si>
  <si>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</si>
  <si>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</si>
  <si>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</si>
  <si>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</si>
  <si>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</si>
  <si>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</si>
  <si>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</si>
  <si>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</si>
  <si>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</si>
  <si>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</si>
  <si>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</si>
  <si>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</si>
  <si>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</si>
  <si>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</si>
  <si>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</si>
  <si>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</si>
  <si>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</si>
  <si>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</si>
  <si>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</si>
  <si>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</si>
  <si>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</si>
  <si>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</si>
  <si>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</si>
  <si>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</si>
  <si>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</si>
  <si>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</si>
  <si>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</si>
  <si>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</si>
  <si>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</si>
  <si>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</si>
  <si>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</si>
  <si>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</si>
  <si>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</si>
  <si>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</si>
  <si>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</si>
  <si>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</si>
  <si>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</si>
  <si>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</si>
  <si>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</si>
  <si>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</si>
  <si>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</si>
  <si>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</si>
  <si>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</si>
  <si>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</si>
  <si>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</si>
  <si>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</si>
  <si>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</si>
  <si>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</si>
  <si>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</si>
  <si>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</si>
  <si>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</si>
  <si>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</si>
  <si>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</si>
  <si>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</si>
  <si>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</si>
  <si>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</si>
  <si>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</si>
  <si>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</si>
  <si>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</si>
  <si>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</si>
  <si>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</si>
  <si>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</si>
  <si>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</si>
  <si>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</si>
  <si>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</si>
  <si>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</si>
  <si>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</si>
  <si>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</si>
  <si>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</si>
  <si>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</si>
  <si>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</si>
  <si>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</si>
  <si>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</si>
  <si>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</si>
  <si>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</si>
  <si>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</si>
  <si>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</si>
  <si>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</si>
  <si>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</si>
  <si>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</si>
  <si>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</si>
  <si>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</si>
  <si>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</si>
  <si>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</si>
  <si>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</si>
  <si>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</si>
  <si>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</si>
  <si>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</si>
  <si>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</si>
  <si>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</si>
  <si>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</si>
  <si>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</si>
  <si>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</si>
  <si>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</si>
  <si>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</si>
  <si>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</si>
  <si>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</si>
  <si>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</si>
  <si>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</si>
  <si>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</si>
  <si>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</si>
  <si>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</si>
  <si>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</si>
  <si>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</si>
  <si>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</si>
  <si>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</si>
  <si>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</si>
  <si>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</si>
  <si>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</si>
  <si>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</si>
  <si>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</si>
  <si>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</si>
  <si>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</si>
  <si>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</si>
  <si>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</si>
  <si>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</si>
  <si>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</si>
  <si>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</si>
  <si>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</si>
  <si>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</si>
  <si>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</si>
  <si>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</si>
  <si>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</si>
  <si>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</si>
  <si>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</si>
  <si>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</si>
  <si>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</si>
  <si>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</si>
  <si>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</si>
  <si>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</si>
  <si>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</si>
  <si>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</si>
  <si>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</si>
  <si>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</si>
  <si>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</si>
  <si>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</si>
  <si>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</si>
  <si>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</si>
  <si>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</si>
  <si>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</si>
  <si>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</si>
  <si>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</si>
  <si>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</si>
  <si>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</si>
  <si>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</si>
  <si>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</si>
  <si>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</si>
  <si>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</si>
  <si>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</si>
  <si>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</si>
  <si>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</si>
  <si>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</si>
  <si>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</si>
  <si>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</si>
  <si>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</si>
  <si>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</si>
  <si>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</si>
  <si>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</si>
  <si>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</si>
  <si>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</si>
  <si>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</si>
  <si>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</si>
  <si>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</si>
  <si>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</si>
  <si>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</si>
  <si>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</si>
  <si>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</si>
  <si>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</si>
  <si>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</si>
  <si>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</si>
  <si>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</si>
  <si>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</si>
  <si>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</si>
  <si>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</si>
  <si>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</si>
  <si>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</si>
  <si>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</si>
  <si>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</si>
  <si>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</si>
  <si>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</si>
  <si>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</si>
  <si>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</si>
  <si>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</si>
  <si>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</si>
  <si>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</si>
  <si>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</si>
  <si>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</si>
  <si>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</si>
  <si>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</si>
  <si>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</si>
  <si>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</si>
  <si>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</si>
  <si>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</si>
  <si>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</si>
  <si>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</si>
  <si>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</si>
  <si>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</si>
  <si>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</si>
  <si>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</si>
  <si>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</si>
  <si>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</si>
  <si>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</si>
  <si>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</si>
  <si>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</si>
  <si>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</si>
  <si>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</si>
  <si>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</si>
  <si>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</si>
  <si>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</si>
  <si>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</si>
  <si>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</si>
  <si>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</si>
  <si>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</si>
  <si>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</si>
  <si>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</si>
  <si>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</si>
  <si>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</si>
  <si>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</si>
  <si>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</si>
  <si>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</si>
  <si>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</si>
  <si>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</si>
  <si>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</si>
  <si>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</si>
  <si>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</si>
  <si>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</si>
  <si>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</si>
  <si>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</si>
  <si>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</si>
  <si>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</si>
  <si>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</si>
  <si>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</si>
  <si>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</si>
  <si>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</si>
  <si>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</si>
  <si>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</si>
  <si>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</si>
  <si>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</si>
  <si>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</si>
  <si>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</si>
  <si>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</si>
  <si>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</si>
  <si>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</si>
  <si>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</si>
  <si>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</si>
  <si>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</si>
  <si>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</si>
  <si>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</si>
  <si>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</si>
  <si>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</si>
  <si>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</si>
  <si>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</si>
  <si>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</si>
  <si>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</si>
  <si>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</si>
  <si>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</si>
  <si>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</si>
  <si>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</si>
  <si>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</si>
  <si>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</si>
  <si>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</si>
  <si>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</si>
  <si>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</si>
  <si>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</si>
  <si>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</si>
  <si>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</si>
  <si>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</si>
  <si>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</si>
  <si>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</si>
  <si>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</si>
  <si>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</si>
  <si>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</si>
  <si>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</si>
  <si>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</si>
  <si>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</si>
  <si>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</si>
  <si>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</si>
  <si>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</si>
  <si>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</si>
  <si>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</si>
  <si>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</si>
  <si>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</si>
  <si>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</si>
  <si>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</si>
  <si>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</si>
  <si>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</si>
  <si>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</si>
  <si>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</si>
  <si>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</si>
  <si>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</si>
  <si>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</si>
  <si>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</si>
  <si>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</si>
  <si>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</si>
  <si>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</si>
  <si>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</si>
  <si>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</si>
  <si>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</si>
  <si>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</si>
  <si>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</si>
  <si>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</si>
  <si>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</si>
  <si>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</si>
  <si>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</si>
  <si>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</si>
  <si>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</si>
  <si>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</si>
  <si>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</si>
  <si>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</si>
  <si>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</si>
  <si>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</si>
  <si>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</si>
  <si>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</si>
  <si>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</si>
  <si>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</si>
  <si>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</si>
  <si>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</si>
  <si>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</si>
  <si>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</si>
  <si>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</si>
  <si>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</si>
  <si>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</si>
  <si>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</si>
  <si>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</si>
  <si>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</si>
  <si>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</si>
  <si>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</si>
  <si>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</si>
  <si>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</si>
  <si>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</si>
  <si>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</si>
  <si>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</si>
  <si>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</si>
  <si>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</si>
  <si>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</si>
  <si>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</si>
  <si>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</si>
  <si>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</si>
  <si>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</si>
  <si>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</si>
  <si>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</si>
  <si>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</si>
  <si>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</si>
  <si>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</si>
  <si>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</si>
  <si>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</si>
  <si>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</si>
  <si>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</si>
  <si>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</si>
  <si>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</si>
  <si>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</si>
  <si>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</si>
  <si>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</si>
  <si>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</si>
  <si>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</si>
  <si>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</si>
  <si>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</si>
  <si>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</si>
  <si>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</si>
  <si>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</si>
  <si>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</si>
  <si>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</si>
  <si>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</si>
  <si>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</si>
  <si>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</si>
  <si>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</si>
  <si>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</si>
  <si>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</si>
  <si>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</si>
  <si>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</si>
  <si>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</si>
  <si>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</si>
  <si>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</si>
  <si>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</si>
  <si>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</si>
  <si>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</si>
  <si>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</si>
  <si>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</si>
  <si>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</si>
  <si>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</si>
  <si>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</si>
  <si>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</si>
  <si>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</si>
  <si>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</si>
  <si>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</si>
  <si>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</si>
  <si>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</si>
  <si>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</si>
  <si>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</si>
  <si>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</si>
  <si>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</si>
  <si>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</si>
  <si>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</si>
  <si>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</si>
  <si>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</si>
  <si>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</si>
  <si>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</si>
  <si>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</si>
  <si>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</si>
  <si>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</si>
  <si>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</si>
  <si>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</si>
  <si>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</si>
  <si>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</si>
  <si>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</si>
  <si>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</si>
  <si>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</si>
  <si>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</si>
  <si>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</si>
  <si>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</si>
  <si>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</si>
  <si>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</si>
  <si>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</si>
  <si>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</si>
  <si>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</si>
  <si>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</si>
  <si>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</si>
  <si>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</si>
  <si>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</si>
  <si>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</si>
  <si>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</si>
  <si>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</si>
  <si>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</si>
  <si>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</si>
  <si>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</si>
  <si>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</si>
  <si>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</si>
  <si>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</si>
  <si>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</si>
  <si>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</si>
  <si>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</si>
  <si>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</si>
  <si>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</si>
  <si>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</si>
  <si>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</si>
  <si>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</si>
  <si>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</si>
  <si>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</si>
  <si>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</si>
  <si>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</si>
  <si>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</si>
  <si>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</si>
  <si>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</si>
  <si>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</si>
  <si>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</si>
  <si>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</si>
  <si>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</si>
  <si>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</si>
  <si>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</si>
  <si>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</si>
  <si>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</si>
  <si>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</si>
  <si>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</si>
  <si>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</si>
  <si>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</si>
  <si>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</si>
  <si>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</si>
  <si>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</si>
  <si>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</si>
  <si>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</si>
  <si>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</si>
  <si>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</si>
  <si>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</si>
  <si>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</si>
  <si>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</si>
  <si>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</si>
  <si>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</si>
  <si>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</si>
  <si>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</si>
  <si>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</si>
  <si>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</si>
  <si>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</si>
  <si>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</si>
  <si>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</si>
  <si>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</si>
  <si>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</si>
  <si>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</si>
  <si>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</si>
  <si>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</si>
  <si>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</si>
  <si>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</si>
  <si>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</si>
  <si>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</si>
  <si>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</si>
  <si>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</si>
  <si>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</si>
  <si>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</si>
  <si>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</si>
  <si>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</si>
  <si>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</si>
  <si>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</si>
  <si>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</si>
  <si>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</si>
  <si>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</si>
  <si>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</si>
  <si>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</si>
  <si>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</si>
  <si>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</si>
  <si>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</si>
  <si>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</si>
  <si>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</si>
  <si>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</si>
  <si>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</si>
  <si>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</si>
  <si>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</si>
  <si>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</si>
  <si>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</si>
  <si>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</si>
  <si>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</si>
  <si>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</si>
  <si>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</si>
  <si>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</si>
  <si>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</si>
  <si>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</si>
  <si>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</si>
  <si>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</si>
  <si>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</si>
  <si>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</si>
  <si>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</si>
  <si>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</si>
  <si>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</si>
  <si>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</si>
  <si>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</si>
  <si>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</si>
  <si>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</si>
  <si>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</si>
  <si>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</si>
  <si>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</si>
  <si>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</si>
  <si>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</si>
  <si>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</si>
  <si>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</si>
  <si>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</si>
  <si>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</si>
  <si>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</si>
  <si>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</si>
  <si>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</si>
  <si>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</si>
  <si>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</si>
  <si>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</si>
  <si>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</si>
  <si>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</si>
  <si>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</si>
  <si>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</si>
  <si>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</si>
  <si>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</si>
  <si>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</si>
  <si>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</si>
  <si>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</si>
  <si>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</si>
  <si>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</si>
  <si>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</si>
  <si>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</si>
  <si>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</si>
  <si>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</si>
  <si>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</si>
  <si>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</si>
  <si>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</si>
  <si>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</si>
  <si>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</si>
  <si>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</si>
  <si>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</si>
  <si>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</si>
  <si>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</si>
  <si>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</si>
  <si>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</si>
  <si>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</si>
  <si>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</si>
  <si>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</si>
  <si>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</si>
  <si>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</si>
  <si>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</si>
  <si>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</si>
  <si>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</si>
  <si>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</si>
  <si>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</si>
  <si>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</si>
  <si>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</si>
  <si>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</si>
  <si>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</si>
  <si>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</si>
  <si>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</si>
  <si>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</si>
  <si>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</si>
  <si>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</si>
  <si>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</si>
  <si>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</si>
  <si>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</si>
  <si>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</si>
  <si>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</si>
  <si>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</si>
  <si>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</si>
  <si>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</si>
  <si>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</si>
  <si>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</si>
  <si>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</si>
  <si>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</si>
  <si>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</si>
  <si>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</si>
  <si>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</si>
  <si>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</si>
  <si>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</si>
  <si>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</si>
  <si>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</si>
  <si>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</si>
  <si>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</si>
  <si>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</si>
  <si>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</si>
  <si>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</si>
  <si>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</si>
  <si>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</si>
  <si>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</si>
  <si>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</si>
  <si>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</si>
  <si>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</si>
  <si>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</si>
  <si>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</si>
  <si>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</si>
  <si>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</si>
  <si>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</si>
  <si>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</si>
  <si>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</si>
  <si>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</si>
  <si>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</si>
  <si>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</si>
  <si>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</si>
  <si>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</si>
  <si>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</si>
  <si>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</si>
  <si>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</si>
  <si>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</si>
  <si>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</si>
  <si>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</si>
  <si>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</si>
  <si>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</si>
  <si>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</si>
  <si>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</si>
  <si>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</si>
  <si>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</si>
  <si>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</si>
  <si>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</si>
  <si>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</si>
  <si>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</si>
  <si>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</si>
  <si>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</si>
  <si>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</si>
  <si>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</si>
  <si>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</si>
  <si>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</si>
  <si>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</si>
  <si>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</si>
  <si>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</si>
  <si>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</si>
  <si>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</si>
  <si>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</si>
  <si>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</si>
  <si>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</si>
  <si>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</si>
  <si>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</si>
  <si>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</si>
  <si>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</si>
  <si>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</si>
  <si>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</si>
  <si>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</si>
  <si>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</si>
  <si>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</si>
  <si>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</si>
  <si>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</si>
  <si>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</si>
  <si>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</si>
  <si>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</si>
  <si>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</si>
  <si>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</si>
  <si>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</si>
  <si>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</si>
  <si>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</si>
  <si>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</si>
  <si>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</si>
  <si>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</si>
  <si>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</si>
  <si>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</si>
  <si>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</si>
  <si>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</si>
  <si>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</si>
  <si>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</si>
  <si>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</si>
  <si>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</si>
  <si>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</si>
  <si>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</si>
  <si>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</si>
  <si>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</si>
  <si>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</si>
  <si>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</si>
  <si>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</si>
  <si>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</si>
  <si>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</si>
  <si>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</si>
  <si>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</si>
  <si>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</si>
  <si>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</si>
  <si>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</si>
  <si>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</si>
  <si>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</si>
  <si>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</si>
  <si>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</si>
  <si>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</si>
  <si>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</si>
  <si>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</si>
  <si>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</si>
  <si>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</si>
  <si>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</si>
  <si>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</si>
  <si>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</si>
  <si>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</si>
  <si>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</si>
  <si>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</si>
  <si>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</si>
  <si>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</si>
  <si>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</si>
  <si>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</si>
  <si>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</si>
  <si>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</si>
  <si>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</si>
  <si>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</si>
  <si>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</si>
  <si>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</si>
  <si>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</si>
  <si>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</si>
  <si>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</si>
  <si>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</si>
  <si>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</si>
  <si>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</si>
  <si>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</si>
  <si>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</si>
  <si>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</si>
  <si>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</si>
  <si>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</si>
  <si>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</si>
  <si>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</si>
  <si>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</si>
  <si>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</si>
  <si>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</si>
  <si>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</si>
  <si>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</si>
  <si>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</si>
  <si>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</si>
  <si>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</si>
  <si>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</si>
  <si>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</si>
  <si>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</si>
  <si>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</si>
  <si>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</si>
  <si>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</si>
  <si>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</si>
  <si>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</si>
  <si>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</si>
  <si>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</si>
  <si>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</si>
  <si>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</si>
  <si>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</si>
  <si>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</si>
  <si>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</si>
  <si>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</si>
  <si>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</si>
  <si>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</si>
  <si>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</si>
  <si>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</si>
  <si>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</si>
  <si>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</si>
  <si>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</si>
  <si>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</si>
  <si>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</si>
  <si>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</si>
  <si>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</si>
  <si>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</si>
  <si>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</si>
  <si>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</si>
  <si>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</si>
  <si>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</si>
  <si>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</si>
  <si>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</si>
  <si>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</si>
  <si>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</si>
  <si>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</si>
  <si>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</si>
  <si>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</si>
  <si>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</si>
  <si>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</si>
  <si>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</si>
  <si>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</si>
  <si>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</si>
  <si>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</si>
  <si>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</si>
  <si>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</si>
  <si>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</si>
  <si>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</si>
  <si>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</si>
  <si>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</si>
  <si>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</si>
  <si>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</si>
  <si>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</si>
  <si>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</si>
  <si>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</si>
  <si>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</si>
  <si>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</si>
  <si>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</si>
  <si>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</si>
  <si>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</si>
  <si>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</si>
  <si>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</si>
  <si>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</si>
  <si>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</si>
  <si>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</si>
  <si>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</si>
  <si>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</si>
  <si>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</si>
  <si>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</si>
  <si>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</si>
  <si>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</si>
  <si>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</si>
  <si>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</si>
  <si>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</si>
  <si>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</si>
  <si>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</si>
  <si>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</si>
  <si>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</si>
  <si>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</si>
  <si>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</si>
  <si>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</si>
  <si>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</si>
  <si>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</si>
  <si>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</si>
  <si>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</si>
  <si>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</si>
  <si>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</si>
  <si>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</si>
  <si>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</si>
  <si>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</si>
  <si>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</si>
  <si>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</si>
  <si>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</si>
  <si>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</si>
  <si>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</si>
  <si>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</si>
  <si>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</si>
  <si>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</si>
  <si>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</si>
  <si>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</si>
  <si>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</si>
  <si>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</si>
  <si>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</si>
  <si>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</si>
  <si>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</si>
  <si>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</si>
  <si>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</si>
  <si>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</si>
  <si>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</si>
  <si>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</si>
  <si>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</si>
  <si>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</si>
  <si>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</si>
  <si>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</si>
  <si>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</si>
  <si>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</si>
  <si>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</si>
  <si>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</si>
  <si>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</si>
  <si>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</si>
  <si>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</si>
  <si>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</si>
  <si>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</si>
  <si>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</si>
  <si>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</si>
  <si>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</si>
  <si>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</si>
  <si>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</si>
  <si>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</si>
  <si>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</si>
  <si>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</si>
  <si>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</si>
  <si>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</si>
  <si>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</si>
  <si>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</si>
  <si>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</si>
  <si>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</si>
  <si>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</si>
  <si>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</si>
  <si>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</si>
  <si>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</si>
  <si>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</si>
  <si>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</si>
  <si>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</si>
  <si>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</si>
  <si>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</si>
  <si>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</si>
  <si>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</si>
  <si>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</si>
  <si>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</si>
  <si>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</si>
  <si>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</si>
  <si>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</si>
  <si>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</si>
  <si>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</si>
  <si>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</si>
  <si>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</si>
  <si>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</si>
  <si>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</si>
  <si>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</si>
  <si>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</si>
  <si>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</si>
  <si>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</si>
  <si>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</si>
  <si>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</si>
  <si>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</si>
  <si>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</si>
  <si>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</si>
  <si>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</si>
  <si>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</si>
  <si>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</si>
  <si>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</si>
  <si>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</si>
  <si>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</si>
  <si>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</si>
  <si>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</si>
  <si>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</si>
  <si>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</si>
  <si>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</si>
  <si>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</si>
  <si>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</si>
  <si>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</si>
  <si>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</si>
  <si>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</si>
  <si>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</si>
  <si>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</si>
  <si>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</si>
  <si>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</si>
  <si>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</si>
  <si>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</si>
  <si>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</si>
  <si>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</si>
  <si>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</si>
  <si>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</si>
  <si>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</si>
  <si>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</si>
  <si>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</si>
  <si>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</si>
  <si>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</si>
  <si>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</si>
  <si>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</si>
  <si>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</si>
  <si>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</si>
  <si>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</si>
  <si>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</si>
  <si>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</si>
  <si>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</si>
  <si>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</si>
  <si>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</si>
  <si>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</si>
  <si>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</si>
  <si>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</si>
  <si>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</si>
  <si>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</si>
  <si>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</si>
  <si>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</si>
  <si>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</si>
  <si>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</si>
  <si>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</si>
  <si>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</si>
  <si>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</si>
  <si>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</si>
  <si>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</si>
  <si>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</si>
  <si>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</si>
  <si>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</si>
  <si>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</si>
  <si>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</si>
  <si>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</si>
  <si>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</si>
  <si>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</si>
  <si>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</si>
  <si>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</si>
  <si>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</si>
  <si>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</si>
  <si>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</si>
  <si>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</si>
  <si>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</si>
  <si>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</si>
  <si>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</si>
  <si>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</si>
  <si>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</si>
  <si>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</si>
  <si>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</si>
  <si>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</si>
  <si>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</si>
  <si>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</si>
  <si>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</si>
  <si>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</si>
  <si>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</si>
  <si>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</si>
  <si>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</si>
  <si>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</si>
  <si>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</si>
  <si>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</si>
  <si>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</si>
  <si>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</si>
  <si>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</si>
  <si>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</si>
  <si>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</si>
  <si>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</si>
  <si>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</si>
  <si>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</si>
  <si>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</si>
  <si>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</si>
  <si>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</si>
  <si>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</si>
  <si>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</si>
  <si>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</si>
  <si>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</si>
  <si>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</si>
  <si>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</si>
  <si>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</si>
  <si>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</si>
  <si>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</si>
  <si>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</si>
  <si>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</si>
  <si>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</si>
  <si>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</si>
  <si>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</si>
  <si>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</si>
  <si>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</si>
  <si>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</si>
  <si>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</si>
  <si>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</si>
  <si>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</si>
  <si>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</si>
  <si>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</si>
  <si>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</si>
  <si>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</si>
  <si>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</si>
  <si>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</si>
  <si>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</si>
  <si>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</si>
  <si>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</si>
  <si>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</si>
  <si>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</si>
  <si>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</si>
  <si>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</si>
  <si>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</si>
  <si>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</si>
  <si>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</si>
  <si>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</si>
  <si>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</si>
  <si>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</si>
  <si>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</si>
  <si>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</si>
  <si>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</si>
  <si>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</si>
  <si>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</si>
  <si>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</si>
  <si>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</si>
  <si>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</si>
  <si>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</si>
  <si>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</si>
  <si>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</si>
  <si>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</si>
  <si>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</si>
  <si>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</si>
  <si>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</si>
  <si>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</si>
  <si>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</si>
  <si>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</si>
  <si>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</si>
  <si>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</si>
  <si>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</si>
  <si>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</si>
  <si>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</si>
  <si>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</si>
  <si>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</si>
  <si>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</si>
  <si>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</si>
  <si>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</si>
  <si>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</si>
  <si>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</si>
  <si>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</si>
  <si>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</si>
  <si>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</si>
  <si>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</si>
  <si>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</si>
  <si>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</si>
  <si>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</si>
  <si>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</si>
  <si>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</si>
  <si>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</si>
  <si>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</si>
  <si>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</si>
  <si>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</si>
  <si>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</si>
  <si>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</si>
  <si>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</si>
  <si>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</si>
  <si>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</si>
  <si>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</si>
  <si>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</si>
  <si>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</si>
  <si>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</si>
  <si>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</si>
  <si>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</si>
  <si>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</si>
  <si>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</si>
  <si>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</si>
  <si>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</si>
  <si>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</si>
  <si>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</si>
  <si>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</si>
  <si>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</si>
  <si>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</si>
  <si>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</si>
  <si>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</si>
  <si>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</si>
  <si>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</si>
  <si>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</si>
  <si>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</si>
  <si>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</si>
  <si>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</si>
  <si>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</si>
  <si>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</si>
  <si>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</si>
  <si>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</si>
  <si>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</si>
  <si>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</si>
  <si>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</si>
  <si>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</si>
  <si>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</si>
  <si>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</si>
  <si>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</si>
  <si>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</si>
  <si>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</si>
  <si>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</si>
  <si>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</si>
  <si>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</si>
  <si>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</si>
  <si>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</si>
  <si>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</si>
  <si>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</si>
  <si>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</si>
  <si>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</si>
  <si>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</si>
  <si>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</si>
  <si>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</si>
  <si>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</si>
  <si>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</si>
  <si>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</si>
  <si>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</si>
  <si>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</si>
  <si>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</si>
  <si>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</si>
  <si>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</si>
  <si>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</si>
  <si>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</si>
  <si>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</si>
  <si>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</si>
  <si>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</si>
  <si>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</si>
  <si>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</si>
  <si>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</si>
  <si>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</si>
  <si>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</si>
  <si>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</si>
  <si>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</si>
  <si>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</si>
  <si>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</si>
  <si>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</si>
  <si>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</si>
  <si>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</si>
  <si>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</si>
  <si>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</si>
  <si>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</si>
  <si>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</si>
  <si>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</si>
  <si>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</si>
  <si>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</si>
  <si>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</si>
  <si>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</si>
  <si>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</si>
  <si>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</si>
  <si>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</si>
  <si>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</si>
  <si>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</si>
  <si>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</si>
  <si>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</si>
  <si>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</si>
  <si>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</si>
  <si>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</si>
  <si>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</si>
  <si>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</si>
  <si>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</si>
  <si>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</si>
  <si>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</si>
  <si>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</si>
  <si>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</si>
  <si>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</si>
  <si>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</si>
  <si>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</si>
  <si>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</si>
  <si>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</si>
  <si>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</si>
  <si>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</si>
  <si>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</si>
  <si>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</si>
  <si>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</si>
  <si>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</si>
  <si>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</si>
  <si>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</si>
  <si>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</si>
  <si>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</si>
  <si>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</si>
  <si>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</si>
  <si>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</si>
  <si>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</si>
  <si>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</si>
  <si>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</si>
  <si>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</si>
  <si>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</si>
  <si>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</si>
  <si>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</si>
  <si>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</si>
  <si>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</si>
  <si>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</si>
  <si>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</si>
  <si>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</si>
  <si>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</si>
  <si>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</si>
  <si>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</si>
  <si>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</si>
  <si>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</si>
  <si>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</si>
  <si>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</si>
  <si>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</si>
  <si>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</si>
  <si>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</si>
  <si>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</si>
  <si>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</si>
  <si>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</si>
  <si>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</si>
  <si>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</si>
  <si>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</si>
  <si>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</si>
  <si>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</si>
  <si>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</si>
  <si>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</si>
  <si>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</si>
  <si>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</si>
  <si>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</si>
  <si>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</si>
  <si>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</si>
  <si>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</si>
  <si>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</si>
  <si>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</si>
  <si>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</si>
  <si>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</si>
  <si>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</si>
  <si>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</si>
  <si>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</si>
  <si>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</si>
  <si>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</si>
  <si>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</si>
  <si>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</si>
  <si>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</si>
  <si>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</si>
  <si>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</si>
  <si>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</si>
  <si>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</si>
  <si>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</si>
  <si>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</si>
  <si>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</si>
  <si>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</si>
  <si>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</si>
  <si>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</si>
  <si>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</si>
  <si>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</si>
  <si>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</si>
  <si>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</si>
  <si>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</si>
  <si>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</si>
  <si>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</si>
  <si>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</si>
  <si>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</si>
  <si>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</si>
  <si>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</si>
  <si>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</si>
  <si>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</si>
  <si>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</si>
  <si>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</si>
  <si>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</si>
  <si>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</si>
  <si>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</si>
  <si>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</si>
  <si>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</si>
  <si>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</si>
  <si>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</si>
  <si>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</si>
  <si>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</si>
  <si>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</si>
  <si>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</si>
  <si>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</si>
  <si>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</si>
  <si>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</si>
  <si>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</si>
  <si>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</si>
  <si>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</si>
  <si>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</si>
  <si>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</si>
  <si>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</si>
  <si>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</si>
  <si>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</si>
  <si>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</si>
  <si>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</si>
  <si>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</si>
  <si>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</si>
  <si>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</si>
  <si>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</si>
  <si>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</si>
  <si>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</si>
  <si>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</si>
  <si>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</si>
  <si>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</si>
  <si>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</si>
  <si>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</si>
  <si>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</si>
  <si>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</si>
  <si>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</si>
  <si>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</si>
  <si>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</si>
  <si>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</si>
  <si>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</si>
  <si>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</si>
  <si>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</si>
  <si>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</si>
  <si>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</si>
  <si>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</si>
  <si>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</si>
  <si>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</si>
  <si>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</si>
  <si>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</si>
  <si>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</si>
  <si>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</si>
  <si>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</si>
  <si>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</si>
  <si>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</si>
  <si>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</si>
  <si>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</si>
  <si>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</si>
  <si>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</si>
  <si>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</si>
  <si>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</si>
  <si>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</si>
  <si>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</si>
  <si>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</si>
  <si>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</si>
  <si>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</si>
  <si>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</si>
  <si>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</si>
  <si>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</si>
  <si>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</si>
  <si>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</si>
  <si>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</si>
  <si>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</si>
  <si>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</si>
  <si>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</si>
  <si>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</si>
  <si>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</si>
  <si>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</si>
  <si>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</si>
  <si>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</si>
  <si>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</si>
  <si>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</si>
  <si>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</si>
  <si>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</si>
  <si>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</si>
  <si>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</si>
  <si>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</si>
  <si>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</si>
  <si>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</si>
  <si>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</si>
  <si>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</si>
  <si>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</si>
  <si>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</si>
  <si>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</si>
  <si>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</si>
  <si>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</si>
  <si>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</si>
  <si>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</si>
  <si>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</si>
  <si>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</si>
  <si>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</si>
  <si>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</si>
  <si>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</si>
  <si>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</si>
  <si>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</si>
  <si>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</si>
  <si>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</si>
  <si>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</si>
  <si>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</si>
  <si>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</si>
  <si>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</si>
  <si>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</si>
  <si>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</si>
  <si>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</si>
  <si>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</si>
  <si>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</si>
  <si>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</si>
  <si>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</si>
  <si>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</si>
  <si>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</si>
  <si>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</si>
  <si>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</si>
  <si>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</si>
  <si>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</si>
  <si>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</si>
  <si>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</si>
  <si>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</si>
  <si>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</si>
  <si>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</si>
  <si>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</si>
  <si>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</si>
  <si>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</si>
  <si>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</si>
  <si>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</si>
  <si>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</si>
  <si>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</si>
  <si>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</si>
  <si>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</si>
  <si>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</si>
  <si>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</si>
  <si>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</si>
  <si>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</si>
  <si>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</si>
  <si>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</si>
  <si>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</si>
  <si>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</si>
  <si>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</si>
  <si>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</si>
  <si>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</si>
  <si>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</si>
  <si>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</si>
  <si>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</si>
  <si>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</si>
  <si>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</si>
  <si>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</si>
  <si>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</si>
  <si>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</si>
  <si>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</si>
  <si>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</si>
  <si>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</si>
  <si>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</si>
  <si>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</si>
  <si>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</si>
  <si>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</si>
  <si>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</si>
  <si>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</si>
  <si>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</si>
  <si>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</si>
  <si>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</si>
  <si>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</si>
  <si>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</si>
  <si>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</si>
  <si>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</si>
  <si>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</si>
  <si>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</si>
  <si>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</si>
  <si>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</si>
  <si>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</si>
  <si>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</si>
  <si>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</si>
  <si>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</si>
  <si>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</si>
  <si>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</si>
  <si>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</si>
  <si>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</si>
  <si>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</si>
  <si>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</si>
  <si>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</si>
  <si>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</si>
  <si>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</si>
  <si>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</si>
  <si>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</si>
  <si>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</si>
  <si>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</si>
  <si>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</si>
  <si>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</si>
  <si>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</si>
  <si>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</si>
  <si>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</si>
  <si>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</si>
  <si>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</si>
  <si>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</si>
  <si>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</si>
  <si>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</si>
  <si>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</si>
  <si>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</si>
  <si>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</si>
  <si>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</si>
  <si>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</si>
  <si>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</si>
  <si>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</si>
  <si>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</si>
  <si>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</si>
  <si>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</si>
  <si>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</si>
  <si>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</si>
  <si>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</si>
  <si>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</si>
  <si>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</si>
  <si>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</si>
  <si>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</si>
  <si>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</si>
  <si>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</si>
  <si>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</si>
  <si>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</si>
  <si>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</si>
  <si>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</si>
  <si>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</si>
  <si>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</si>
  <si>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</si>
  <si>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</si>
  <si>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</si>
  <si>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</si>
  <si>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</si>
  <si>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</si>
  <si>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</si>
  <si>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</si>
  <si>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</si>
  <si>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</si>
  <si>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</si>
  <si>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</si>
  <si>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</si>
  <si>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</si>
  <si>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</si>
  <si>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</si>
  <si>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</si>
  <si>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</si>
  <si>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</si>
  <si>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</si>
  <si>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</si>
  <si>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</si>
  <si>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</si>
  <si>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</si>
  <si>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</si>
  <si>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</si>
  <si>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</si>
  <si>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</si>
  <si>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</si>
  <si>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</si>
  <si>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</si>
  <si>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</si>
  <si>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</si>
  <si>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</si>
  <si>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</si>
  <si>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</si>
  <si>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</si>
  <si>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</si>
  <si>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</si>
  <si>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</si>
  <si>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</si>
  <si>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</si>
  <si>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</si>
  <si>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</si>
  <si>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</si>
  <si>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</si>
  <si>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</si>
  <si>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</si>
  <si>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</si>
  <si>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</si>
  <si>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</si>
  <si>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</si>
  <si>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</si>
  <si>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</si>
  <si>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</si>
  <si>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</si>
  <si>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</si>
  <si>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</si>
  <si>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</si>
  <si>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</si>
  <si>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</si>
  <si>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</si>
  <si>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</si>
  <si>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</si>
  <si>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</si>
  <si>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</si>
  <si>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</si>
  <si>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</si>
  <si>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</si>
  <si>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</si>
  <si>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</si>
  <si>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</si>
  <si>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</si>
  <si>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</si>
  <si>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</si>
  <si>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</si>
  <si>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</si>
  <si>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</si>
  <si>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</si>
  <si>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</si>
  <si>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</si>
  <si>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</si>
  <si>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</si>
  <si>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</si>
  <si>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</si>
  <si>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</si>
  <si>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</si>
  <si>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</si>
  <si>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</si>
  <si>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</si>
  <si>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</si>
  <si>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</si>
  <si>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</si>
  <si>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</si>
  <si>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</si>
  <si>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</si>
  <si>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</si>
  <si>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</si>
  <si>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</si>
  <si>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</si>
  <si>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</si>
  <si>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</si>
  <si>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</si>
  <si>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</si>
  <si>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</si>
  <si>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</si>
  <si>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</si>
  <si>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</si>
  <si>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</si>
  <si>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</si>
  <si>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</si>
  <si>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</si>
  <si>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</si>
  <si>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</si>
  <si>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</si>
  <si>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</si>
  <si>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</si>
  <si>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</si>
  <si>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</si>
  <si>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</si>
  <si>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</si>
  <si>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</si>
  <si>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</si>
  <si>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</si>
  <si>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</si>
  <si>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</si>
  <si>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</si>
  <si>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</si>
  <si>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</si>
  <si>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</si>
  <si>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</si>
  <si>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</si>
  <si>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</si>
  <si>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</si>
  <si>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</si>
  <si>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</si>
  <si>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</si>
  <si>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</si>
  <si>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</si>
  <si>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</si>
  <si>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</si>
  <si>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</si>
  <si>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</si>
  <si>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</si>
  <si>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</si>
  <si>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</si>
  <si>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</si>
  <si>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</si>
  <si>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</si>
  <si>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</si>
  <si>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</si>
  <si>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</si>
  <si>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</si>
  <si>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</si>
  <si>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</si>
  <si>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</si>
  <si>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</si>
  <si>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</si>
  <si>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</si>
  <si>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</si>
  <si>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</si>
  <si>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</si>
  <si>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</si>
  <si>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</si>
  <si>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</si>
  <si>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</si>
  <si>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</si>
  <si>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</si>
  <si>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</si>
  <si>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</si>
  <si>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</si>
  <si>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</si>
  <si>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</si>
  <si>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</si>
  <si>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</si>
  <si>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</si>
  <si>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</si>
  <si>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</si>
  <si>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</si>
  <si>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</si>
  <si>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</si>
  <si>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</si>
  <si>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</si>
  <si>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</si>
  <si>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</si>
  <si>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</si>
  <si>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</si>
  <si>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</si>
  <si>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</si>
  <si>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</si>
  <si>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</si>
  <si>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</si>
  <si>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</si>
  <si>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</si>
  <si>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</si>
  <si>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</si>
  <si>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</si>
  <si>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</si>
  <si>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</si>
  <si>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</si>
  <si>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</si>
  <si>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</si>
  <si>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</si>
  <si>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</si>
  <si>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</si>
  <si>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</si>
  <si>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</si>
  <si>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</si>
  <si>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</si>
  <si>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</si>
  <si>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</si>
  <si>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</si>
  <si>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</si>
  <si>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</si>
  <si>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</si>
  <si>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</si>
  <si>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</si>
  <si>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</si>
  <si>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</si>
  <si>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</si>
  <si>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</si>
  <si>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</si>
  <si>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</si>
  <si>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</si>
  <si>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</si>
  <si>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</si>
  <si>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</si>
  <si>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</si>
  <si>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</si>
  <si>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</si>
  <si>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</si>
  <si>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</si>
  <si>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</si>
  <si>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</si>
  <si>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</si>
  <si>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</si>
  <si>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</si>
  <si>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</si>
  <si>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</si>
  <si>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</si>
  <si>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</si>
  <si>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</si>
  <si>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</si>
  <si>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</si>
  <si>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</si>
  <si>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</si>
  <si>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</si>
  <si>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</si>
  <si>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</si>
  <si>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</si>
  <si>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</si>
  <si>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</si>
  <si>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</si>
  <si>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</si>
  <si>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</si>
  <si>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</si>
  <si>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</si>
  <si>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</si>
  <si>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</si>
  <si>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</si>
  <si>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</si>
  <si>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</si>
  <si>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</si>
  <si>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</si>
  <si>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</si>
  <si>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</si>
  <si>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</si>
  <si>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</si>
  <si>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</si>
  <si>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</si>
  <si>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</si>
  <si>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</si>
  <si>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</si>
  <si>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</si>
  <si>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</si>
  <si>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</si>
  <si>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</si>
  <si>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</si>
  <si>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</si>
  <si>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</si>
  <si>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</si>
  <si>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</si>
  <si>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</si>
  <si>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</si>
  <si>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</si>
  <si>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</si>
  <si>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</si>
  <si>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</si>
  <si>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</si>
  <si>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</si>
  <si>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</si>
  <si>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</si>
  <si>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</si>
  <si>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</si>
  <si>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</si>
  <si>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</si>
  <si>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</si>
  <si>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</si>
  <si>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</si>
  <si>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</si>
  <si>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</si>
  <si>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</si>
  <si>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</si>
  <si>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</si>
  <si>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</si>
  <si>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</si>
  <si>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</si>
  <si>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</si>
  <si>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</si>
  <si>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</si>
  <si>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</si>
  <si>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</si>
  <si>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</si>
  <si>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</si>
  <si>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</si>
  <si>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</si>
  <si>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</si>
  <si>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</si>
  <si>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</si>
  <si>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</si>
  <si>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</si>
  <si>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</si>
  <si>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</si>
  <si>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</si>
  <si>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</si>
  <si>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</si>
  <si>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</si>
  <si>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</si>
  <si>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</si>
  <si>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</si>
  <si>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</si>
  <si>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</si>
  <si>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</si>
  <si>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</si>
  <si>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</si>
  <si>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</si>
  <si>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</si>
  <si>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</si>
  <si>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</si>
  <si>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</si>
  <si>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</si>
  <si>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</si>
  <si>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</si>
  <si>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</si>
  <si>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</si>
  <si>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</si>
  <si>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</si>
  <si>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</si>
  <si>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</si>
  <si>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</si>
  <si>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</si>
  <si>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</si>
  <si>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</si>
  <si>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</si>
  <si>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</si>
  <si>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</si>
  <si>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</si>
  <si>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</si>
  <si>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</si>
  <si>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</si>
  <si>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</si>
  <si>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</si>
  <si>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</si>
  <si>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</si>
  <si>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</si>
  <si>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</si>
  <si>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</si>
  <si>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</si>
  <si>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</si>
  <si>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</si>
  <si>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</si>
  <si>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</si>
  <si>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</si>
  <si>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</si>
  <si>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</si>
  <si>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</si>
  <si>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</si>
  <si>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</si>
  <si>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</si>
  <si>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</si>
  <si>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</si>
  <si>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</si>
  <si>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</si>
  <si>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</si>
  <si>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</si>
  <si>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</si>
  <si>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</si>
  <si>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</si>
  <si>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</si>
  <si>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</si>
  <si>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</si>
  <si>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</si>
  <si>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</si>
  <si>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</si>
  <si>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</si>
  <si>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</si>
  <si>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</si>
  <si>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</si>
  <si>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</si>
  <si>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</si>
  <si>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</si>
  <si>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</si>
  <si>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</si>
  <si>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</si>
  <si>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</si>
  <si>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</si>
  <si>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</si>
  <si>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</si>
  <si>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</si>
  <si>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</si>
  <si>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</si>
  <si>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</si>
  <si>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</si>
  <si>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</si>
  <si>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</si>
  <si>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</si>
  <si>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</si>
  <si>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</si>
  <si>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</si>
  <si>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</si>
  <si>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</si>
  <si>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</si>
  <si>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</si>
  <si>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</si>
  <si>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</si>
  <si>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</si>
  <si>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</si>
  <si>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</si>
  <si>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</si>
  <si>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</si>
  <si>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</si>
  <si>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</si>
  <si>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</si>
  <si>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</si>
  <si>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</si>
  <si>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</si>
  <si>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</si>
  <si>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</si>
  <si>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</si>
  <si>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</si>
  <si>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</si>
  <si>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</si>
  <si>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</si>
  <si>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</si>
  <si>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</si>
  <si>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</si>
  <si>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</si>
  <si>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</si>
  <si>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</si>
  <si>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</si>
  <si>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</si>
  <si>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</si>
  <si>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</si>
  <si>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</si>
  <si>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</si>
  <si>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</si>
  <si>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</si>
  <si>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</si>
  <si>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</si>
  <si>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</si>
  <si>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</si>
  <si>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</si>
  <si>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</si>
  <si>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</si>
  <si>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</si>
  <si>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</si>
  <si>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</si>
  <si>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</si>
  <si>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</si>
  <si>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</si>
  <si>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</si>
  <si>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</si>
  <si>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</si>
  <si>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</si>
  <si>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</si>
  <si>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</si>
  <si>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</si>
  <si>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</si>
  <si>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</si>
  <si>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</si>
  <si>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</si>
  <si>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</si>
  <si>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</si>
  <si>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</si>
  <si>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</si>
  <si>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</si>
  <si>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</si>
  <si>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</si>
  <si>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</si>
  <si>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</si>
  <si>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</si>
  <si>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</si>
  <si>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</si>
  <si>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</si>
  <si>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</si>
  <si>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</si>
  <si>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</si>
  <si>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</si>
  <si>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</si>
  <si>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</si>
  <si>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</si>
  <si>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</si>
  <si>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</si>
  <si>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</si>
  <si>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</si>
  <si>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</si>
  <si>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</si>
  <si>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</si>
  <si>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</si>
  <si>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</si>
  <si>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</si>
  <si>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</si>
  <si>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</si>
  <si>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</si>
  <si>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</si>
  <si>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</si>
  <si>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</si>
  <si>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</si>
  <si>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</si>
  <si>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</si>
  <si>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</si>
  <si>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</si>
  <si>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</si>
  <si>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</si>
  <si>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</si>
  <si>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</si>
  <si>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</si>
  <si>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</si>
  <si>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</si>
  <si>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</si>
  <si>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</si>
  <si>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</si>
  <si>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</si>
  <si>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</si>
  <si>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</si>
  <si>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</si>
  <si>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</si>
  <si>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</si>
  <si>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</si>
  <si>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</si>
  <si>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</si>
  <si>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</si>
  <si>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</si>
  <si>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</si>
  <si>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</si>
  <si>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</si>
  <si>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</si>
  <si>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</si>
  <si>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</si>
  <si>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</si>
  <si>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</si>
  <si>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</si>
  <si>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</si>
  <si>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</si>
  <si>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</si>
  <si>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</si>
  <si>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</si>
  <si>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</si>
  <si>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</si>
  <si>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</si>
  <si>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</si>
  <si>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</si>
  <si>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</si>
  <si>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</si>
  <si>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</si>
  <si>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</si>
  <si>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</si>
  <si>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</si>
  <si>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</si>
  <si>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</si>
  <si>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</si>
  <si>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</si>
  <si>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</si>
  <si>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</si>
  <si>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</si>
  <si>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</si>
  <si>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</si>
  <si>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</si>
  <si>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</si>
  <si>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</si>
  <si>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</si>
  <si>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</si>
  <si>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</si>
  <si>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</si>
  <si>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</si>
  <si>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</si>
  <si>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</si>
  <si>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</si>
  <si>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</si>
  <si>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</si>
  <si>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</si>
  <si>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</si>
  <si>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</si>
  <si>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</si>
  <si>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</si>
  <si>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</si>
  <si>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</si>
  <si>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</si>
  <si>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</si>
  <si>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</si>
  <si>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</si>
  <si>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</si>
  <si>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</si>
  <si>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</si>
  <si>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</si>
  <si>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</si>
  <si>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</si>
  <si>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</si>
  <si>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</si>
  <si>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</si>
  <si>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</si>
  <si>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</si>
  <si>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</si>
  <si>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</si>
  <si>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</si>
  <si>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</si>
  <si>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</si>
  <si>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</si>
  <si>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</si>
  <si>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</si>
  <si>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</si>
  <si>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</si>
  <si>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</si>
  <si>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</si>
  <si>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</si>
  <si>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</si>
  <si>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</si>
  <si>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</si>
  <si>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</si>
  <si>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</si>
  <si>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</si>
  <si>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</si>
  <si>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</si>
  <si>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</si>
  <si>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</si>
  <si>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</si>
  <si>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</si>
  <si>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</si>
  <si>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</si>
  <si>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</si>
  <si>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</si>
  <si>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</si>
  <si>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</si>
  <si>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</si>
  <si>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</si>
  <si>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</si>
  <si>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</si>
  <si>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</si>
  <si>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</si>
  <si>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</si>
  <si>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</si>
  <si>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</si>
  <si>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</si>
  <si>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</si>
  <si>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</si>
  <si>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</si>
  <si>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</si>
  <si>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</si>
  <si>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</si>
  <si>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</si>
  <si>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</si>
  <si>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</si>
  <si>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</si>
  <si>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</si>
  <si>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</si>
  <si>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</si>
  <si>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</si>
  <si>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</si>
  <si>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</si>
  <si>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</si>
  <si>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</si>
  <si>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</si>
  <si>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</si>
  <si>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</si>
  <si>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</si>
  <si>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</si>
  <si>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</si>
  <si>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</si>
  <si>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</si>
  <si>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</si>
  <si>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</si>
  <si>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</si>
  <si>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</si>
  <si>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</si>
  <si>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</si>
  <si>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</si>
  <si>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</si>
  <si>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</si>
  <si>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</si>
  <si>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</si>
  <si>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</si>
  <si>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</si>
  <si>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</si>
  <si>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</si>
  <si>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</si>
  <si>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</si>
  <si>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</si>
  <si>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</si>
  <si>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</si>
  <si>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</si>
  <si>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</si>
  <si>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</si>
  <si>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</si>
  <si>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</si>
  <si>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</si>
  <si>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</si>
  <si>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</si>
  <si>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</si>
  <si>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</si>
  <si>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</si>
  <si>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</si>
  <si>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</si>
  <si>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</si>
  <si>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</si>
  <si>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</si>
  <si>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</si>
  <si>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</si>
  <si>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</si>
  <si>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</si>
  <si>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</si>
  <si>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</si>
  <si>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</si>
  <si>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</si>
  <si>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</si>
  <si>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</si>
  <si>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</si>
  <si>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</si>
  <si>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</si>
  <si>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</si>
  <si>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</si>
  <si>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</si>
  <si>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</si>
  <si>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</si>
  <si>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</si>
  <si>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</si>
  <si>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</si>
  <si>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</si>
  <si>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</si>
  <si>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</si>
  <si>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</si>
  <si>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</si>
  <si>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</si>
  <si>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</si>
  <si>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</si>
  <si>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</si>
  <si>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</si>
  <si>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</si>
  <si>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</si>
  <si>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</si>
  <si>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</si>
  <si>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</si>
  <si>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</si>
  <si>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</si>
  <si>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</si>
  <si>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</si>
  <si>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</si>
  <si>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</si>
  <si>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</si>
  <si>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</si>
  <si>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</si>
  <si>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</si>
  <si>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</si>
  <si>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</si>
  <si>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</si>
  <si>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</si>
  <si>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</si>
  <si>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</si>
  <si>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</si>
  <si>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</si>
  <si>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</si>
  <si>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</si>
  <si>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</si>
  <si>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</si>
  <si>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</si>
  <si>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</si>
  <si>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</si>
  <si>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</si>
  <si>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</si>
  <si>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</si>
  <si>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</si>
  <si>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</si>
  <si>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</si>
  <si>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</si>
  <si>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</si>
  <si>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</si>
  <si>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</si>
  <si>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</si>
  <si>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</si>
  <si>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</si>
  <si>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</si>
  <si>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</si>
  <si>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</si>
  <si>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</si>
  <si>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</si>
  <si>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</si>
  <si>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</si>
  <si>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</si>
  <si>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</si>
  <si>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</si>
  <si>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</si>
  <si>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</si>
  <si>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</si>
  <si>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</si>
  <si>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</si>
  <si>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</si>
  <si>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</si>
  <si>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</si>
  <si>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</si>
  <si>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</si>
  <si>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</si>
  <si>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</si>
  <si>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</si>
  <si>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</si>
  <si>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</si>
  <si>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</si>
  <si>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</si>
  <si>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</si>
  <si>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</si>
  <si>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</si>
  <si>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</si>
  <si>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</si>
  <si>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</si>
  <si>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</si>
  <si>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</si>
  <si>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</si>
  <si>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</si>
  <si>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</si>
  <si>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</si>
  <si>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</si>
  <si>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</si>
  <si>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</si>
  <si>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</si>
  <si>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</si>
  <si>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</si>
  <si>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</si>
  <si>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</si>
  <si>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</si>
  <si>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</si>
  <si>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</si>
  <si>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</si>
  <si>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</si>
  <si>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</si>
  <si>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</si>
  <si>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</si>
  <si>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</si>
  <si>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</si>
  <si>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</si>
  <si>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</si>
  <si>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</si>
  <si>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</si>
  <si>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</si>
  <si>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</si>
  <si>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</si>
  <si>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</si>
  <si>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</si>
  <si>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</si>
  <si>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</si>
  <si>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</si>
  <si>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</si>
  <si>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</si>
  <si>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</si>
  <si>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</si>
  <si>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</si>
  <si>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</si>
  <si>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</si>
  <si>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</si>
  <si>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</si>
  <si>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</si>
  <si>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</si>
  <si>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</si>
  <si>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</si>
  <si>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</si>
  <si>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</si>
  <si>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</si>
  <si>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</si>
  <si>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</si>
  <si>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</si>
  <si>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</si>
  <si>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</si>
  <si>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</si>
  <si>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</si>
  <si>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</si>
  <si>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</si>
  <si>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</si>
  <si>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</si>
  <si>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</si>
  <si>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</si>
  <si>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</si>
  <si>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</si>
  <si>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</si>
  <si>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</si>
  <si>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</si>
  <si>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</si>
  <si>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</si>
  <si>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</si>
  <si>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</si>
  <si>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</si>
  <si>
    <t xml:space="preserve">Остаток на 02.04
</t>
  </si>
  <si>
    <t>За товары с закрепленным отзывом 29.03.2026</t>
  </si>
  <si>
    <t>47112052-0530-2</t>
  </si>
  <si>
    <t>0161045739-0018-4</t>
  </si>
  <si>
    <t>34104708-0157-3</t>
  </si>
  <si>
    <t>93113229-0109</t>
  </si>
  <si>
    <t>0187964159-0264-1</t>
  </si>
  <si>
    <t>73918074-0318-3</t>
  </si>
  <si>
    <t>34881575-0356-1</t>
  </si>
  <si>
    <t>0127947264-0060-1</t>
  </si>
  <si>
    <t>31489581-0402-1</t>
  </si>
  <si>
    <t>0192740925-0061-4</t>
  </si>
  <si>
    <t>0127892191-0168-2</t>
  </si>
  <si>
    <t>78022367-0890-1</t>
  </si>
  <si>
    <t>13997129-0358-3</t>
  </si>
  <si>
    <t>0165937127-0093-1</t>
  </si>
  <si>
    <t>89548515-0249-1</t>
  </si>
  <si>
    <t>0143536859-0294-9</t>
  </si>
  <si>
    <t>39476382-0062-7</t>
  </si>
  <si>
    <t>0145437528-0166-1</t>
  </si>
  <si>
    <t>0180726994-0012-1</t>
  </si>
  <si>
    <t>0128728816-0464-3</t>
  </si>
  <si>
    <t>0191771486-0070</t>
  </si>
  <si>
    <t>51993119-0454-1</t>
  </si>
  <si>
    <t>87891724-0956-2</t>
  </si>
  <si>
    <t>0119433639-0111</t>
  </si>
  <si>
    <t>0163454655-0049-1</t>
  </si>
  <si>
    <t>18818709-0278-2</t>
  </si>
  <si>
    <t>0113414186-1962-1</t>
  </si>
  <si>
    <t>64874925-0268-1</t>
  </si>
  <si>
    <t>62281534-0376-1</t>
  </si>
  <si>
    <t>47804260-0232</t>
  </si>
  <si>
    <t>38591728-0269-17</t>
  </si>
  <si>
    <t>0224498444-0027</t>
  </si>
  <si>
    <t>Компенсации и декомпенсации</t>
  </si>
  <si>
    <t>Потеря по вине Ozon в логистике</t>
  </si>
  <si>
    <t>Потеря по вине Ozon на складе</t>
  </si>
  <si>
    <t>42204333-0189-15</t>
  </si>
  <si>
    <t>За товары с закрепленным отзывом 30.03.2026</t>
  </si>
  <si>
    <t>42222299-0012</t>
  </si>
  <si>
    <t>60294125-0058-1</t>
  </si>
  <si>
    <t>39316265-0033-1</t>
  </si>
  <si>
    <t>0129105746-0108-1</t>
  </si>
  <si>
    <t>0181681672-0141</t>
  </si>
  <si>
    <t>0179822565-0059-1</t>
  </si>
  <si>
    <t>62808643-0308-7</t>
  </si>
  <si>
    <t>28026708414</t>
  </si>
  <si>
    <t>22674747356</t>
  </si>
  <si>
    <t>sr01-bx10187665494</t>
  </si>
  <si>
    <t>Подготовка товара к вывозу: Брак</t>
  </si>
  <si>
    <t>Вывоз товара со склада силами Ozon: Доставка до ПВЗ</t>
  </si>
  <si>
    <t>0234896566-0030-5</t>
  </si>
  <si>
    <t>53008795-0202-1</t>
  </si>
  <si>
    <t>48313303-0259-2</t>
  </si>
  <si>
    <t>48313303-0259-5</t>
  </si>
  <si>
    <t>48313303-0259-1</t>
  </si>
  <si>
    <t>0107772463-0048-1</t>
  </si>
  <si>
    <t>0107772463-0049-1</t>
  </si>
  <si>
    <t>37986489-0111-1</t>
  </si>
  <si>
    <t>0135762867-0011-5</t>
  </si>
  <si>
    <t>0119433639-0111-1</t>
  </si>
  <si>
    <t>0248657014-0010</t>
  </si>
  <si>
    <t>0147237354-0167-2</t>
  </si>
  <si>
    <t>% выкупа расчетный</t>
  </si>
  <si>
    <t>89152752-0145-3</t>
  </si>
  <si>
    <t>75875734-0076</t>
  </si>
  <si>
    <t>За товары с закрепленным отзывом 31.03.2026</t>
  </si>
  <si>
    <t>33448606-0502</t>
  </si>
  <si>
    <t>0146638588-0235-2</t>
  </si>
  <si>
    <t>70464319-0060</t>
  </si>
  <si>
    <t>0105776105-0041-1</t>
  </si>
  <si>
    <t>73264018-0078-1</t>
  </si>
  <si>
    <t>0135322100-0445-1</t>
  </si>
  <si>
    <t>77431825-0035-1</t>
  </si>
  <si>
    <t>52979767-1311-1</t>
  </si>
  <si>
    <t>0144155009-0009</t>
  </si>
  <si>
    <t>58560713-0284-1</t>
  </si>
  <si>
    <t>06042728-0340-1</t>
  </si>
  <si>
    <t>47804260-0232-1</t>
  </si>
  <si>
    <t>31442169-0103-1</t>
  </si>
  <si>
    <t>56004749-0177-5</t>
  </si>
  <si>
    <t>0153052702-0495-1</t>
  </si>
  <si>
    <t>39987958-0314-1</t>
  </si>
  <si>
    <t>0191771486-0070-1</t>
  </si>
  <si>
    <t>0181681672-0141-1</t>
  </si>
  <si>
    <t>59052316-0682-3</t>
  </si>
  <si>
    <t>41063734-0627-1</t>
  </si>
  <si>
    <t>0241018497-0042-4</t>
  </si>
  <si>
    <t>82854910-0268</t>
  </si>
  <si>
    <t>48048051-0205-1</t>
  </si>
  <si>
    <t>30891462-0329-2</t>
  </si>
  <si>
    <t>33448606-0502-1</t>
  </si>
  <si>
    <t>90167823-0276-1</t>
  </si>
  <si>
    <t>35609654-0079-1</t>
  </si>
  <si>
    <t>97571626-0066-1</t>
  </si>
  <si>
    <t>30636952-0282-9</t>
  </si>
  <si>
    <t>32000330-1040-3</t>
  </si>
  <si>
    <t>39603563-0687-2</t>
  </si>
  <si>
    <t>17078253-1176-1</t>
  </si>
  <si>
    <t>0106056998-0790-1</t>
  </si>
  <si>
    <t>0125729884-0613</t>
  </si>
  <si>
    <t>0157752033-0659-1</t>
  </si>
  <si>
    <t>0157752033-0654-1</t>
  </si>
  <si>
    <t>0224618762-0033</t>
  </si>
  <si>
    <t>37662077-0047-1</t>
  </si>
  <si>
    <t>60726411-0097-1</t>
  </si>
  <si>
    <t>34104708-0157-9</t>
  </si>
  <si>
    <t>65182317-0160-2</t>
  </si>
  <si>
    <t>93113229-0109-2</t>
  </si>
  <si>
    <t>0156775554-0492-1</t>
  </si>
  <si>
    <t>62250097-0063-13</t>
  </si>
  <si>
    <t>40773760-0022-1</t>
  </si>
  <si>
    <t>75875734-0076-1</t>
  </si>
  <si>
    <t>52541054-1509-3</t>
  </si>
  <si>
    <t>0174368209-0046-1</t>
  </si>
  <si>
    <t>77669873-0513-1</t>
  </si>
  <si>
    <t>61666512-0297</t>
  </si>
  <si>
    <t>49278171-0229-1</t>
  </si>
  <si>
    <t>0169834615-0362-1</t>
  </si>
  <si>
    <t>0206608225-0070</t>
  </si>
  <si>
    <t>0248657014-0010-1</t>
  </si>
  <si>
    <t>61707211-0151-1</t>
  </si>
  <si>
    <t>68117774-0248-1</t>
  </si>
  <si>
    <t>82854910-0268-1</t>
  </si>
  <si>
    <t>36807446-0260-1</t>
  </si>
  <si>
    <t>0109082742-0315-1</t>
  </si>
  <si>
    <t>50625935-0109-1</t>
  </si>
  <si>
    <t>05554079-0123</t>
  </si>
  <si>
    <t>0135178854-0065-1</t>
  </si>
  <si>
    <t>85341774-0151-2</t>
  </si>
  <si>
    <t>0167559146-1209-1</t>
  </si>
  <si>
    <t>36579357-0420-3</t>
  </si>
  <si>
    <t>0203501309-0056-2</t>
  </si>
  <si>
    <t>37750094-0036-3</t>
  </si>
  <si>
    <t>65043707-0142</t>
  </si>
  <si>
    <t>43082357-0644-3</t>
  </si>
  <si>
    <t>0144155009-0009-1</t>
  </si>
  <si>
    <t>0153687952-0159-5</t>
  </si>
  <si>
    <t>0224498444-0027-4</t>
  </si>
  <si>
    <t>32664935-0126-1</t>
  </si>
  <si>
    <t>55585943-0607-1</t>
  </si>
  <si>
    <t>0188765527-0134-2</t>
  </si>
  <si>
    <t>0224618762-0033-1</t>
  </si>
  <si>
    <t>41815777-0174-1</t>
  </si>
  <si>
    <t>75168395-0064-5</t>
  </si>
  <si>
    <t>0179353471-0187-1</t>
  </si>
  <si>
    <t>0114541846-0191-2</t>
  </si>
  <si>
    <t>47112052-0532-1</t>
  </si>
  <si>
    <t>29434089-0227-1</t>
  </si>
  <si>
    <t>32829892-0486-3</t>
  </si>
  <si>
    <t>0202935320-0008-1</t>
  </si>
  <si>
    <t>29515581-0356</t>
  </si>
  <si>
    <t>49783186-0221</t>
  </si>
  <si>
    <t>60210196-0088</t>
  </si>
  <si>
    <t>0210961345-0026</t>
  </si>
  <si>
    <t>41528854-0216-1</t>
  </si>
  <si>
    <t>51581451-0659-1</t>
  </si>
  <si>
    <t>0131684959-0371</t>
  </si>
  <si>
    <t>0206062514-0045</t>
  </si>
  <si>
    <t>0114541846-0198-2</t>
  </si>
  <si>
    <t>0114541846-0198-1</t>
  </si>
  <si>
    <t>59005478-0108-1</t>
  </si>
  <si>
    <t>82408754-0045-5</t>
  </si>
  <si>
    <t>69935947-0568-1</t>
  </si>
  <si>
    <t>0165373300-0020-1</t>
  </si>
  <si>
    <t>75997989-0031-1</t>
  </si>
  <si>
    <t>0203728288-0023-1</t>
  </si>
  <si>
    <t>75997989-0032-1</t>
  </si>
  <si>
    <t>37809419-0061-1</t>
  </si>
  <si>
    <t>0154192759-0105-1</t>
  </si>
  <si>
    <t>49281985-0113-1</t>
  </si>
  <si>
    <t>94040541-0677-5</t>
  </si>
  <si>
    <t>87460945-0254-1</t>
  </si>
  <si>
    <t>Апрель</t>
  </si>
  <si>
    <t>01.04-05.04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</si>
</sst>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72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4" xfId="3" applyFont="1" applyFill="1" applyBorder="1" applyAlignment="1">
      <alignment horizontal="center" vertical="center" wrapText="1"/>
    </xf>
    <xf numFmtId="164" fontId="6" fillId="0" borderId="44" xfId="1" applyNumberFormat="1" applyFont="1" applyFill="1" applyBorder="1"/>
    <xf numFmtId="164" fontId="7" fillId="3" borderId="45" xfId="4" applyNumberFormat="1" applyFont="1" applyFill="1" applyBorder="1" applyAlignment="1">
      <alignment horizontal="center" vertical="center" wrapText="1"/>
    </xf>
    <xf numFmtId="164" fontId="6" fillId="0" borderId="45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8" xfId="6" applyNumberFormat="1" applyFont="1" applyFill="1" applyBorder="1" applyAlignment="1">
      <alignment horizontal="left"/>
    </xf>
    <xf numFmtId="4" fontId="36" fillId="15" borderId="28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7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11" fillId="4" borderId="0" xfId="2" applyFont="1" applyFill="1"/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49" fontId="36" fillId="2" borderId="4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49" fontId="36" fillId="2" borderId="46" xfId="0" applyNumberFormat="1" applyFont="1" applyFill="1" applyBorder="1" applyAlignment="1">
      <alignment horizontal="center" vertical="center"/>
    </xf>
    <xf numFmtId="49" fontId="36" fillId="2" borderId="2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6" xfId="6" applyNumberFormat="1" applyFont="1" applyFill="1" applyBorder="1"/>
    <xf numFmtId="4" fontId="36" fillId="12" borderId="6" xfId="6" applyNumberFormat="1" applyFont="1" applyFill="1" applyBorder="1"/>
    <xf numFmtId="169" fontId="37" fillId="0" borderId="48" xfId="6" applyNumberFormat="1" applyFont="1" applyFill="1" applyBorder="1"/>
    <xf numFmtId="170" fontId="36" fillId="0" borderId="48" xfId="6" applyNumberFormat="1" applyFont="1" applyFill="1" applyBorder="1"/>
    <xf numFmtId="3" fontId="36" fillId="0" borderId="48" xfId="6" applyNumberFormat="1" applyFont="1" applyFill="1" applyBorder="1"/>
    <xf numFmtId="3" fontId="36" fillId="0" borderId="48" xfId="6" applyNumberFormat="1" applyFont="1" applyBorder="1"/>
    <xf numFmtId="4" fontId="36" fillId="0" borderId="48" xfId="6" applyNumberFormat="1" applyFont="1" applyBorder="1"/>
    <xf numFmtId="4" fontId="36" fillId="0" borderId="48" xfId="6" applyNumberFormat="1" applyFont="1" applyFill="1" applyBorder="1"/>
    <xf numFmtId="4" fontId="34" fillId="0" borderId="48" xfId="6" applyNumberFormat="1" applyFont="1" applyBorder="1"/>
    <xf numFmtId="4" fontId="36" fillId="2" borderId="48" xfId="6" applyNumberFormat="1" applyFont="1" applyFill="1" applyBorder="1"/>
    <xf numFmtId="4" fontId="36" fillId="15" borderId="48" xfId="6" applyNumberFormat="1" applyFont="1" applyFill="1" applyBorder="1"/>
    <xf numFmtId="4" fontId="36" fillId="12" borderId="48" xfId="6" applyNumberFormat="1" applyFont="1" applyFill="1" applyBorder="1"/>
    <xf numFmtId="169" fontId="37" fillId="0" borderId="49" xfId="6" applyNumberFormat="1" applyFont="1" applyFill="1" applyBorder="1"/>
    <xf numFmtId="170" fontId="36" fillId="0" borderId="49" xfId="6" applyNumberFormat="1" applyFont="1" applyFill="1" applyBorder="1"/>
    <xf numFmtId="3" fontId="36" fillId="0" borderId="49" xfId="6" applyNumberFormat="1" applyFont="1" applyFill="1" applyBorder="1"/>
    <xf numFmtId="3" fontId="36" fillId="0" borderId="49" xfId="6" applyNumberFormat="1" applyFont="1" applyBorder="1"/>
    <xf numFmtId="4" fontId="36" fillId="0" borderId="49" xfId="6" applyNumberFormat="1" applyFont="1" applyBorder="1"/>
    <xf numFmtId="4" fontId="36" fillId="0" borderId="49" xfId="6" applyNumberFormat="1" applyFont="1" applyFill="1" applyBorder="1"/>
    <xf numFmtId="4" fontId="34" fillId="0" borderId="49" xfId="6" applyNumberFormat="1" applyFont="1" applyBorder="1"/>
    <xf numFmtId="4" fontId="36" fillId="2" borderId="49" xfId="6" applyNumberFormat="1" applyFont="1" applyFill="1" applyBorder="1"/>
    <xf numFmtId="4" fontId="36" fillId="15" borderId="49" xfId="6" applyNumberFormat="1" applyFont="1" applyFill="1" applyBorder="1"/>
    <xf numFmtId="4" fontId="36" fillId="12" borderId="49" xfId="6" applyNumberFormat="1" applyFont="1" applyFill="1" applyBorder="1"/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4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39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W20" sqref="W20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29" t="s">
        <v>344</v>
      </c>
      <c r="B1" s="330"/>
      <c r="C1" s="330"/>
      <c r="D1" s="331" t="s">
        <v>345</v>
      </c>
      <c r="E1" s="333" t="s">
        <v>346</v>
      </c>
      <c r="F1" s="334"/>
      <c r="G1" s="335"/>
      <c r="H1" s="336" t="s">
        <v>101</v>
      </c>
      <c r="I1" s="336"/>
      <c r="J1" s="336"/>
      <c r="K1" s="311" t="s">
        <v>21</v>
      </c>
      <c r="L1" s="304" t="s">
        <v>347</v>
      </c>
      <c r="M1" s="304" t="s">
        <v>348</v>
      </c>
      <c r="N1" s="304" t="s">
        <v>349</v>
      </c>
      <c r="O1" s="304" t="s">
        <v>350</v>
      </c>
      <c r="P1" s="304" t="s">
        <v>27</v>
      </c>
      <c r="Q1" s="304" t="s">
        <v>351</v>
      </c>
      <c r="R1" s="307" t="s">
        <v>2694</v>
      </c>
      <c r="S1" s="309" t="s">
        <v>1748</v>
      </c>
      <c r="T1" s="307" t="s">
        <v>352</v>
      </c>
      <c r="U1" s="309" t="s">
        <v>353</v>
      </c>
      <c r="V1" s="307" t="s">
        <v>1346</v>
      </c>
      <c r="W1" s="307" t="s">
        <v>1347</v>
      </c>
      <c r="X1" s="311" t="s">
        <v>354</v>
      </c>
      <c r="Y1" s="318" t="s">
        <v>1394</v>
      </c>
      <c r="Z1" s="314" t="s">
        <v>1395</v>
      </c>
      <c r="AA1" s="316" t="s">
        <v>356</v>
      </c>
      <c r="AB1" s="313" t="s">
        <v>357</v>
      </c>
      <c r="AC1" s="306" t="s">
        <v>35</v>
      </c>
      <c r="AD1" s="306" t="s">
        <v>36</v>
      </c>
      <c r="AE1" s="306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32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12"/>
      <c r="L2" s="305"/>
      <c r="M2" s="305"/>
      <c r="N2" s="305"/>
      <c r="O2" s="305"/>
      <c r="P2" s="305"/>
      <c r="Q2" s="305"/>
      <c r="R2" s="308"/>
      <c r="S2" s="310"/>
      <c r="T2" s="308"/>
      <c r="U2" s="310"/>
      <c r="V2" s="308"/>
      <c r="W2" s="308"/>
      <c r="X2" s="312"/>
      <c r="Y2" s="319"/>
      <c r="Z2" s="315"/>
      <c r="AA2" s="317"/>
      <c r="AB2" s="313"/>
      <c r="AC2" s="306"/>
      <c r="AD2" s="306"/>
      <c r="AE2" s="306"/>
    </row>
    <row r="3" spans="1:32" s="195" customFormat="1">
      <c r="A3" s="327" t="s">
        <v>364</v>
      </c>
      <c r="B3" s="187" t="s">
        <v>366</v>
      </c>
      <c r="C3" s="267">
        <v>1</v>
      </c>
      <c r="D3" s="196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/>
      <c r="T3" s="191"/>
      <c r="U3" s="193"/>
      <c r="V3" s="191"/>
      <c r="W3" s="191">
        <v>5252</v>
      </c>
      <c r="X3" s="191">
        <f>3481.9416*J3/SUM($J$3:$J$7)</f>
        <v>322.35231148784828</v>
      </c>
      <c r="Y3" s="213">
        <f>J3-SUM(L3:T3)-K3-V3+U3+W3</f>
        <v>73.750000000006366</v>
      </c>
      <c r="Z3" s="213">
        <f>Y3-X3</f>
        <v>-248.60231148784192</v>
      </c>
      <c r="AA3" s="328">
        <f>SUM(Z3:Z7)</f>
        <v>49559.258400000137</v>
      </c>
      <c r="AB3" s="249">
        <f t="shared" ref="AB3:AB6" si="0">K3/J3</f>
        <v>7.4142547161981098E-2</v>
      </c>
      <c r="AC3" s="249">
        <f t="shared" ref="AC3:AC6" si="1">Z3/K3</f>
        <v>-3.9757540666794912E-2</v>
      </c>
      <c r="AD3" s="249">
        <f t="shared" ref="AD3:AD6" si="2">Z3/J3</f>
        <v>-2.9477253339322235E-3</v>
      </c>
      <c r="AE3" s="249">
        <f t="shared" ref="AE3:AE24" si="3">Q3/J3</f>
        <v>0.4360239278134152</v>
      </c>
    </row>
    <row r="4" spans="1:32" s="195" customFormat="1">
      <c r="A4" s="321"/>
      <c r="B4" s="187" t="s">
        <v>337</v>
      </c>
      <c r="C4" s="267">
        <v>2</v>
      </c>
      <c r="D4" s="196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3">
        <f t="shared" ref="Y4:Y7" si="6">J4-SUM(L4:T4)-K4-V4+U4+W4</f>
        <v>37501.610000000095</v>
      </c>
      <c r="Z4" s="213">
        <f t="shared" ref="Z4:Z7" si="7">Y4-X4</f>
        <v>36492.959958672291</v>
      </c>
      <c r="AA4" s="323"/>
      <c r="AB4" s="249">
        <f t="shared" si="0"/>
        <v>7.6568760823515589E-2</v>
      </c>
      <c r="AC4" s="249">
        <f t="shared" si="1"/>
        <v>1.8060493022193596</v>
      </c>
      <c r="AD4" s="249">
        <f t="shared" si="2"/>
        <v>0.13828695705711136</v>
      </c>
      <c r="AE4" s="249">
        <f t="shared" si="3"/>
        <v>0.21359179667516759</v>
      </c>
    </row>
    <row r="5" spans="1:32" s="195" customFormat="1">
      <c r="A5" s="321"/>
      <c r="B5" s="187" t="s">
        <v>51</v>
      </c>
      <c r="C5" s="267">
        <v>3</v>
      </c>
      <c r="D5" s="196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7"/>
      <c r="W5" s="191">
        <v>5135</v>
      </c>
      <c r="X5" s="191">
        <f t="shared" si="5"/>
        <v>794.2823333254297</v>
      </c>
      <c r="Y5" s="213">
        <f t="shared" si="6"/>
        <v>26106.059999999994</v>
      </c>
      <c r="Z5" s="213">
        <f t="shared" si="7"/>
        <v>25311.777666674563</v>
      </c>
      <c r="AA5" s="323"/>
      <c r="AB5" s="249">
        <f t="shared" si="0"/>
        <v>7.2629975746843239E-2</v>
      </c>
      <c r="AC5" s="249">
        <f t="shared" si="1"/>
        <v>1.6770441087063392</v>
      </c>
      <c r="AD5" s="249">
        <f t="shared" si="2"/>
        <v>0.12180367294172777</v>
      </c>
      <c r="AE5" s="249">
        <f t="shared" si="3"/>
        <v>0.25624191561441334</v>
      </c>
    </row>
    <row r="6" spans="1:32" s="195" customFormat="1">
      <c r="A6" s="321"/>
      <c r="B6" s="187" t="s">
        <v>367</v>
      </c>
      <c r="C6" s="267">
        <v>4</v>
      </c>
      <c r="D6" s="196">
        <f t="shared" ref="D6:D11" si="9"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/>
      <c r="U6" s="193"/>
      <c r="V6" s="197">
        <v>7000</v>
      </c>
      <c r="W6" s="191"/>
      <c r="X6" s="191">
        <f t="shared" si="5"/>
        <v>603.82626624777708</v>
      </c>
      <c r="Y6" s="213">
        <f t="shared" si="6"/>
        <v>9280.9799999999868</v>
      </c>
      <c r="Z6" s="213">
        <f t="shared" si="7"/>
        <v>8677.1537337522095</v>
      </c>
      <c r="AA6" s="323"/>
      <c r="AB6" s="249">
        <f t="shared" si="0"/>
        <v>7.0468163490084126E-2</v>
      </c>
      <c r="AC6" s="249">
        <f t="shared" si="1"/>
        <v>0.77944410763020755</v>
      </c>
      <c r="AD6" s="249">
        <f t="shared" si="2"/>
        <v>5.4925994807868195E-2</v>
      </c>
      <c r="AE6" s="249">
        <f>Q6/J6</f>
        <v>0.26681527291602047</v>
      </c>
    </row>
    <row r="7" spans="1:32" s="195" customFormat="1">
      <c r="A7" s="326"/>
      <c r="B7" s="238" t="s">
        <v>339</v>
      </c>
      <c r="C7" s="268">
        <v>5</v>
      </c>
      <c r="D7" s="239">
        <f t="shared" si="9"/>
        <v>-6034.7099999999473</v>
      </c>
      <c r="E7" s="238">
        <f>'Юнит 26-31.01'!K$24</f>
        <v>200</v>
      </c>
      <c r="F7" s="238">
        <f>'Юнит 26-31.01'!P$24</f>
        <v>112</v>
      </c>
      <c r="G7" s="238">
        <f>'Юнит 26-31.01'!Q$24</f>
        <v>2</v>
      </c>
      <c r="H7" s="240">
        <f>'Юнит 26-31.01'!S$24</f>
        <v>200558.00000000006</v>
      </c>
      <c r="I7" s="241">
        <f>'Юнит 26-31.01'!T$24</f>
        <v>-3595</v>
      </c>
      <c r="J7" s="241">
        <f t="shared" si="4"/>
        <v>196963.00000000006</v>
      </c>
      <c r="K7" s="242">
        <f>'Юнит 26-31.01'!W$24</f>
        <v>13886.49</v>
      </c>
      <c r="L7" s="243">
        <f>'Юнит 26-31.01'!Z$24</f>
        <v>20843.549999999992</v>
      </c>
      <c r="M7" s="242">
        <f>'Юнит 26-31.01'!X$24</f>
        <v>84694.09</v>
      </c>
      <c r="N7" s="242"/>
      <c r="O7" s="244"/>
      <c r="P7" s="242"/>
      <c r="Q7" s="245">
        <f>'Юнит 26-31.01'!AA$24</f>
        <v>50770.67</v>
      </c>
      <c r="R7" s="243">
        <v>3661.19</v>
      </c>
      <c r="S7" s="243">
        <v>150</v>
      </c>
      <c r="T7" s="243">
        <v>43993.599999999999</v>
      </c>
      <c r="U7" s="245">
        <v>1115.3900000000001</v>
      </c>
      <c r="V7" s="243"/>
      <c r="W7" s="243"/>
      <c r="X7" s="243">
        <f t="shared" si="5"/>
        <v>752.83064761114429</v>
      </c>
      <c r="Y7" s="246">
        <f t="shared" si="6"/>
        <v>-19921.199999999946</v>
      </c>
      <c r="Z7" s="246">
        <f t="shared" si="7"/>
        <v>-20674.030647611089</v>
      </c>
      <c r="AA7" s="325"/>
      <c r="AB7" s="249">
        <f>(K7+K8)/(J7+J8)</f>
        <v>7.0282074177319923E-2</v>
      </c>
      <c r="AC7" s="249">
        <f>(Z7+Z8)/(K7+K8)</f>
        <v>-0.67605169214203165</v>
      </c>
      <c r="AD7" s="249">
        <f>(Z7+Z8)/(J7+J8)</f>
        <v>-4.7514315174828924E-2</v>
      </c>
      <c r="AE7" s="249">
        <f>(Q7+Q8)/(J7+J8)</f>
        <v>0.25406002134285766</v>
      </c>
      <c r="AF7" s="249"/>
    </row>
    <row r="8" spans="1:32" s="195" customFormat="1">
      <c r="A8" s="320" t="s">
        <v>2686</v>
      </c>
      <c r="B8" s="187" t="s">
        <v>1388</v>
      </c>
      <c r="C8" s="267">
        <v>5</v>
      </c>
      <c r="D8" s="196">
        <f t="shared" si="9"/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/>
      <c r="T8" s="191"/>
      <c r="U8" s="193"/>
      <c r="V8" s="191"/>
      <c r="W8" s="191">
        <v>4831</v>
      </c>
      <c r="X8" s="191">
        <f>5201.48*J8/SUM($J$8:$J$12)</f>
        <v>140.31340180201639</v>
      </c>
      <c r="Y8" s="213">
        <f t="shared" ref="Y8:Y9" si="10">J8-SUM(L8:T8)-K8-V8+U8+W8</f>
        <v>9905.7700000000041</v>
      </c>
      <c r="Z8" s="213">
        <f t="shared" ref="Z8:Z10" si="11">Y8-X8</f>
        <v>9765.4565981979886</v>
      </c>
      <c r="AA8" s="322">
        <f>SUM(Z8:Z12)</f>
        <v>174317.7099999999</v>
      </c>
      <c r="AB8" s="249"/>
      <c r="AC8" s="249"/>
      <c r="AD8" s="249"/>
      <c r="AE8" s="249"/>
    </row>
    <row r="9" spans="1:32" s="195" customFormat="1">
      <c r="A9" s="321"/>
      <c r="B9" s="187" t="s">
        <v>1392</v>
      </c>
      <c r="C9" s="267">
        <v>6</v>
      </c>
      <c r="D9" s="196">
        <f t="shared" si="9"/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2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1">
        <f t="shared" ref="X9:X12" si="13">5201.48*J9/SUM($J$8:$J$12)</f>
        <v>1292.9805565478553</v>
      </c>
      <c r="Y9" s="213">
        <f t="shared" si="10"/>
        <v>20201.830000000013</v>
      </c>
      <c r="Z9" s="213">
        <f>Y9-X9</f>
        <v>18908.849443452156</v>
      </c>
      <c r="AA9" s="323"/>
      <c r="AB9" s="249">
        <f>K9/J9</f>
        <v>6.6026146834769303E-2</v>
      </c>
      <c r="AC9" s="249">
        <f>Z9/K9</f>
        <v>0.95267710208584777</v>
      </c>
      <c r="AD9" s="249">
        <f t="shared" ref="AD9:AD11" si="14">Z9/J9</f>
        <v>6.2901598228442684E-2</v>
      </c>
      <c r="AE9" s="249">
        <f t="shared" ref="AE9:AE11" si="15">Q9/J9</f>
        <v>0.22200332656930907</v>
      </c>
    </row>
    <row r="10" spans="1:32" s="195" customFormat="1">
      <c r="A10" s="321"/>
      <c r="B10" s="187" t="s">
        <v>1389</v>
      </c>
      <c r="C10" s="267">
        <v>7</v>
      </c>
      <c r="D10" s="196">
        <f t="shared" si="9"/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6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191">
        <f t="shared" si="13"/>
        <v>1174.9301112698788</v>
      </c>
      <c r="Y10" s="213">
        <f>J10-SUM(L10:T10)-K10-V10+U10+W10</f>
        <v>47207.349999999969</v>
      </c>
      <c r="Z10" s="213">
        <f t="shared" si="11"/>
        <v>46032.419888730088</v>
      </c>
      <c r="AA10" s="323"/>
      <c r="AB10" s="249">
        <f t="shared" ref="AB10:AB11" si="17">K10/J10</f>
        <v>5.6032822773132623E-2</v>
      </c>
      <c r="AC10" s="249">
        <f>Z10/K10</f>
        <v>3.007446019327531</v>
      </c>
      <c r="AD10" s="249">
        <f t="shared" si="14"/>
        <v>0.16851568980074275</v>
      </c>
      <c r="AE10" s="249">
        <f t="shared" si="15"/>
        <v>0.2235657334055732</v>
      </c>
    </row>
    <row r="11" spans="1:32" s="195" customFormat="1">
      <c r="A11" s="321"/>
      <c r="B11" s="187" t="s">
        <v>1390</v>
      </c>
      <c r="C11" s="267">
        <v>8</v>
      </c>
      <c r="D11" s="196">
        <f t="shared" si="9"/>
        <v>82376.339999999967</v>
      </c>
      <c r="E11" s="187">
        <f>'Юнит 16-22.02'!K$24</f>
        <v>298</v>
      </c>
      <c r="F11" s="187">
        <f>'Юнит 16-22.02'!P$24</f>
        <v>161</v>
      </c>
      <c r="G11" s="187">
        <f>'Юнит 16-22.02'!Q$24</f>
        <v>8</v>
      </c>
      <c r="H11" s="188">
        <f>'Юнит 16-22.02'!S$24</f>
        <v>373392</v>
      </c>
      <c r="I11" s="189">
        <f>'Юнит 16-22.02'!T$24</f>
        <v>-18750</v>
      </c>
      <c r="J11" s="189">
        <f t="shared" ref="J11:J13" si="18">H11+I11</f>
        <v>354642</v>
      </c>
      <c r="K11" s="190">
        <f>'Юнит 16-22.02'!W$24</f>
        <v>19197.059999999998</v>
      </c>
      <c r="L11" s="191">
        <f>'Юнит 16-22.02'!Z$24</f>
        <v>31757.739999999998</v>
      </c>
      <c r="M11" s="190">
        <f>'Юнит 16-22.02'!X$24</f>
        <v>152496.06</v>
      </c>
      <c r="N11" s="190"/>
      <c r="O11" s="192"/>
      <c r="P11" s="190"/>
      <c r="Q11" s="193">
        <f>'Юнит 16-22.02'!AA$24</f>
        <v>79962.77</v>
      </c>
      <c r="R11" s="191">
        <v>8049.09</v>
      </c>
      <c r="S11" s="191"/>
      <c r="T11" s="191"/>
      <c r="U11" s="193"/>
      <c r="V11" s="191"/>
      <c r="W11" s="191">
        <v>4347</v>
      </c>
      <c r="X11" s="191">
        <f t="shared" si="13"/>
        <v>1525.3824241882987</v>
      </c>
      <c r="Y11" s="213">
        <f>J11-SUM(L11:T11)-K11-V11+U11+W11</f>
        <v>67526.27999999997</v>
      </c>
      <c r="Z11" s="213">
        <f t="shared" ref="Z11:Z13" si="19">Y11-X11</f>
        <v>66000.897575811672</v>
      </c>
      <c r="AA11" s="323"/>
      <c r="AB11" s="249">
        <f t="shared" si="17"/>
        <v>5.4130813609217177E-2</v>
      </c>
      <c r="AC11" s="249">
        <f t="shared" ref="AC11" si="20">Z11/K11</f>
        <v>3.4380732036995081</v>
      </c>
      <c r="AD11" s="249">
        <f t="shared" si="14"/>
        <v>0.18610569976430222</v>
      </c>
      <c r="AE11" s="249">
        <f t="shared" si="15"/>
        <v>0.22547461947541467</v>
      </c>
    </row>
    <row r="12" spans="1:32" s="195" customFormat="1">
      <c r="A12" s="326"/>
      <c r="B12" s="238" t="s">
        <v>1391</v>
      </c>
      <c r="C12" s="268">
        <v>9</v>
      </c>
      <c r="D12" s="239">
        <f t="shared" ref="D12:D13" si="21">J12-SUM(L12:T12)+U12+V12</f>
        <v>47866.25999999998</v>
      </c>
      <c r="E12" s="238">
        <f>'Юнит 23-28.02'!K$24</f>
        <v>159</v>
      </c>
      <c r="F12" s="238">
        <f>'Юнит 23-28.02'!P$24</f>
        <v>107</v>
      </c>
      <c r="G12" s="238">
        <f>'Юнит 23-28.02'!Q$24</f>
        <v>6</v>
      </c>
      <c r="H12" s="240">
        <f>'Юнит 23-28.02'!S$24</f>
        <v>262374</v>
      </c>
      <c r="I12" s="241">
        <f>'Юнит 23-28.02'!T$24</f>
        <v>-14100</v>
      </c>
      <c r="J12" s="241">
        <f t="shared" si="18"/>
        <v>248274</v>
      </c>
      <c r="K12" s="242">
        <f>'Юнит 23-28.02'!W$24</f>
        <v>13188.3</v>
      </c>
      <c r="L12" s="243">
        <f>'Юнит 23-28.02'!Z$24</f>
        <v>25365.950000000004</v>
      </c>
      <c r="M12" s="242">
        <f>'Юнит 23-28.02'!X$24</f>
        <v>106757.82</v>
      </c>
      <c r="N12" s="242"/>
      <c r="O12" s="244"/>
      <c r="P12" s="242"/>
      <c r="Q12" s="245">
        <f>'Юнит 23-28.02'!AA$24</f>
        <v>64457.72</v>
      </c>
      <c r="R12" s="243">
        <v>6407.47</v>
      </c>
      <c r="S12" s="243"/>
      <c r="T12" s="243"/>
      <c r="U12" s="243">
        <v>2581.2199999999998</v>
      </c>
      <c r="V12" s="243"/>
      <c r="W12" s="243"/>
      <c r="X12" s="243">
        <f t="shared" si="13"/>
        <v>1067.8735061919504</v>
      </c>
      <c r="Y12" s="246">
        <f t="shared" ref="Y12:Y13" si="22">J12-SUM(L12:T12)-K12-V12+U12+W12</f>
        <v>34677.959999999977</v>
      </c>
      <c r="Z12" s="246">
        <f t="shared" si="19"/>
        <v>33610.086493808027</v>
      </c>
      <c r="AA12" s="325"/>
      <c r="AB12" s="249">
        <f>(K12+K13)/(J12+J13)</f>
        <v>5.2676864176070447E-2</v>
      </c>
      <c r="AC12" s="249">
        <f>(Z12+Z13)/(K12+K13)</f>
        <v>2.4579118263075777</v>
      </c>
      <c r="AD12" s="249">
        <f>(Z12+Z13)/(J12+J13)</f>
        <v>0.12947508743116151</v>
      </c>
      <c r="AE12" s="249">
        <f>(Q12+Q13)/(J12+J13)</f>
        <v>0.26870709036971058</v>
      </c>
    </row>
    <row r="13" spans="1:32" s="195" customFormat="1">
      <c r="A13" s="320" t="s">
        <v>2687</v>
      </c>
      <c r="B13" s="294">
        <v>46082</v>
      </c>
      <c r="C13" s="267">
        <v>9</v>
      </c>
      <c r="D13" s="352">
        <f t="shared" si="21"/>
        <v>2695.3099999999977</v>
      </c>
      <c r="E13" s="353">
        <f>'Юнит 01.03'!K$24</f>
        <v>36</v>
      </c>
      <c r="F13" s="353">
        <f>'Юнит 01.03'!P$24</f>
        <v>13</v>
      </c>
      <c r="G13" s="353">
        <f>'Юнит 01.03'!Q$24</f>
        <v>1</v>
      </c>
      <c r="H13" s="354">
        <f>'Юнит 01.03'!S$24</f>
        <v>32560</v>
      </c>
      <c r="I13" s="355">
        <f>'Юнит 01.03'!T$24</f>
        <v>-2400</v>
      </c>
      <c r="J13" s="355">
        <f t="shared" si="18"/>
        <v>30160</v>
      </c>
      <c r="K13" s="356">
        <f>'Юнит 01.03'!W$24</f>
        <v>1478.73</v>
      </c>
      <c r="L13" s="357">
        <f>'Юнит 01.03'!Z$24</f>
        <v>3251.78</v>
      </c>
      <c r="M13" s="356">
        <f>'Юнит 01.03'!X$24</f>
        <v>12968.800000000001</v>
      </c>
      <c r="N13" s="356"/>
      <c r="O13" s="358"/>
      <c r="P13" s="356"/>
      <c r="Q13" s="359">
        <f>'Юнит 01.03'!AA$24</f>
        <v>10359.469999999999</v>
      </c>
      <c r="R13" s="357">
        <v>884.64</v>
      </c>
      <c r="S13" s="357"/>
      <c r="T13" s="357"/>
      <c r="U13" s="359"/>
      <c r="V13" s="357"/>
      <c r="W13" s="357">
        <v>1350</v>
      </c>
      <c r="X13" s="360">
        <f>'Юнит 01.03'!$AD$24</f>
        <v>126.39999999999999</v>
      </c>
      <c r="Y13" s="361">
        <f t="shared" si="22"/>
        <v>2566.5799999999977</v>
      </c>
      <c r="Z13" s="361">
        <f t="shared" si="19"/>
        <v>2440.1799999999976</v>
      </c>
      <c r="AA13" s="322">
        <f>SUM(Z13:Z18)</f>
        <v>141812.47000000003</v>
      </c>
      <c r="AB13" s="249"/>
      <c r="AC13" s="249"/>
      <c r="AD13" s="249"/>
      <c r="AE13" s="249"/>
    </row>
    <row r="14" spans="1:32" s="195" customFormat="1" ht="14.5" customHeight="1">
      <c r="A14" s="321"/>
      <c r="B14" s="187" t="s">
        <v>2692</v>
      </c>
      <c r="C14" s="267">
        <v>10</v>
      </c>
      <c r="D14" s="196">
        <f t="shared" ref="D14" si="23">J14-SUM(L14:T14)+U14+V14</f>
        <v>31422.070000000007</v>
      </c>
      <c r="E14" s="187">
        <f>'Юнит 02-08.03'!K$24</f>
        <v>179</v>
      </c>
      <c r="F14" s="187">
        <f>'Юнит 02-08.03'!P$24</f>
        <v>93</v>
      </c>
      <c r="G14" s="187">
        <f>'Юнит 02-08.03'!Q$24</f>
        <v>4</v>
      </c>
      <c r="H14" s="188">
        <f>'Юнит 02-08.03'!S$24</f>
        <v>221439</v>
      </c>
      <c r="I14" s="189">
        <f>'Юнит 02-08.03'!T$24</f>
        <v>-9910</v>
      </c>
      <c r="J14" s="189">
        <f t="shared" ref="J14" si="24">H14+I14</f>
        <v>211529</v>
      </c>
      <c r="K14" s="190">
        <f>'Юнит 02-08.03'!W$24</f>
        <v>11497.529999999999</v>
      </c>
      <c r="L14" s="191">
        <f>'Юнит 02-08.03'!Z$24</f>
        <v>18516.490000000005</v>
      </c>
      <c r="M14" s="190">
        <f>'Юнит 02-08.03'!X$24</f>
        <v>90957.47</v>
      </c>
      <c r="N14" s="190"/>
      <c r="O14" s="192"/>
      <c r="P14" s="190"/>
      <c r="Q14" s="193">
        <f>'Юнит 02-08.03'!AA$24</f>
        <v>65685.91</v>
      </c>
      <c r="R14" s="191">
        <v>4902.0600000000004</v>
      </c>
      <c r="S14" s="191">
        <v>45</v>
      </c>
      <c r="T14" s="191">
        <v>0</v>
      </c>
      <c r="U14" s="193"/>
      <c r="V14" s="191"/>
      <c r="W14" s="191"/>
      <c r="X14" s="295">
        <f>'Юнит 02-08.03'!$AD$24</f>
        <v>848.57000000000016</v>
      </c>
      <c r="Y14" s="213">
        <f t="shared" ref="Y14" si="25">J14-SUM(L14:T14)-K14-V14+U14+W14</f>
        <v>19924.540000000008</v>
      </c>
      <c r="Z14" s="213">
        <f t="shared" ref="Z14" si="26">Y14-X14</f>
        <v>19075.970000000008</v>
      </c>
      <c r="AA14" s="323"/>
      <c r="AB14" s="249">
        <f t="shared" ref="AB14" si="27">K14/J14</f>
        <v>5.435439112367571E-2</v>
      </c>
      <c r="AC14" s="249">
        <f t="shared" ref="AC14" si="28">Z14/K14</f>
        <v>1.6591363536342163</v>
      </c>
      <c r="AD14" s="249">
        <f t="shared" ref="AD14" si="29">Z14/J14</f>
        <v>9.0181346292943318E-2</v>
      </c>
      <c r="AE14" s="249">
        <f t="shared" ref="AE14" si="30">Q14/J14</f>
        <v>0.31052910002883766</v>
      </c>
    </row>
    <row r="15" spans="1:32" s="195" customFormat="1" ht="14.5" customHeight="1">
      <c r="A15" s="321"/>
      <c r="B15" s="187" t="s">
        <v>2690</v>
      </c>
      <c r="C15" s="267">
        <v>11</v>
      </c>
      <c r="D15" s="196">
        <f t="shared" ref="D15" si="31">J15-SUM(L15:T15)+U15+V15</f>
        <v>61950.070000000036</v>
      </c>
      <c r="E15" s="187">
        <f>'Юнит 09-15.03'!K$24</f>
        <v>156</v>
      </c>
      <c r="F15" s="187">
        <f>'Юнит 09-15.03'!P$24</f>
        <v>97</v>
      </c>
      <c r="G15" s="187">
        <f>'Юнит 09-15.03'!Q$24</f>
        <v>5</v>
      </c>
      <c r="H15" s="188">
        <f>'Юнит 09-15.03'!S$24</f>
        <v>240785.00000000003</v>
      </c>
      <c r="I15" s="189">
        <f>'Юнит 09-15.03'!T$24</f>
        <v>-11873</v>
      </c>
      <c r="J15" s="189">
        <f t="shared" ref="J15" si="32">H15+I15</f>
        <v>228912.00000000003</v>
      </c>
      <c r="K15" s="190">
        <f>'Юнит 09-15.03'!W$24</f>
        <v>12514.02</v>
      </c>
      <c r="L15" s="191">
        <f>'Юнит 09-15.03'!Z$24</f>
        <v>20045.390000000003</v>
      </c>
      <c r="M15" s="190">
        <f>'Юнит 09-15.03'!X$24</f>
        <v>98432.16</v>
      </c>
      <c r="N15" s="190"/>
      <c r="O15" s="192"/>
      <c r="P15" s="190"/>
      <c r="Q15" s="193">
        <f>'Юнит 09-15.03'!AA$24</f>
        <v>42625.75</v>
      </c>
      <c r="R15" s="191">
        <v>5778.63</v>
      </c>
      <c r="S15" s="191">
        <v>80</v>
      </c>
      <c r="T15" s="191">
        <v>0</v>
      </c>
      <c r="U15" s="193"/>
      <c r="V15" s="191"/>
      <c r="W15" s="191"/>
      <c r="X15" s="295">
        <f>'Юнит 09-15.03'!$AD$24</f>
        <v>860.25000000000011</v>
      </c>
      <c r="Y15" s="213">
        <f t="shared" ref="Y15" si="33">J15-SUM(L15:T15)-K15-V15+U15+W15</f>
        <v>49436.050000000032</v>
      </c>
      <c r="Z15" s="213">
        <f t="shared" ref="Z15" si="34">Y15-X15</f>
        <v>48575.800000000032</v>
      </c>
      <c r="AA15" s="323"/>
      <c r="AB15" s="249">
        <f t="shared" ref="AB15:AB17" si="35">K15/J15</f>
        <v>5.4667383099182211E-2</v>
      </c>
      <c r="AC15" s="249">
        <f t="shared" ref="AC15:AC17" si="36">Z15/K15</f>
        <v>3.8817102737569567</v>
      </c>
      <c r="AD15" s="249">
        <f t="shared" ref="AD15:AD17" si="37">Z15/J15</f>
        <v>0.21220294261550302</v>
      </c>
      <c r="AE15" s="249">
        <f t="shared" ref="AE15:AE17" si="38">Q15/J15</f>
        <v>0.18621020304745925</v>
      </c>
    </row>
    <row r="16" spans="1:32" s="195" customFormat="1" ht="13.5" customHeight="1">
      <c r="A16" s="321"/>
      <c r="B16" s="292" t="s">
        <v>2939</v>
      </c>
      <c r="C16" s="293">
        <v>12</v>
      </c>
      <c r="D16" s="196">
        <f t="shared" ref="D16" si="39">J16-SUM(L16:T16)+U16+V16</f>
        <v>41865.510000000009</v>
      </c>
      <c r="E16" s="187">
        <f>'Юнит 16-22.03'!K$24</f>
        <v>109</v>
      </c>
      <c r="F16" s="187">
        <f>'Юнит 16-22.03'!P$24</f>
        <v>61</v>
      </c>
      <c r="G16" s="187">
        <f>'Юнит 16-22.03'!Q$24</f>
        <v>2</v>
      </c>
      <c r="H16" s="188">
        <f>'Юнит 16-22.03'!S$24</f>
        <v>148955</v>
      </c>
      <c r="I16" s="189">
        <f>'Юнит 16-22.03'!T$24</f>
        <v>-4939</v>
      </c>
      <c r="J16" s="189">
        <f t="shared" ref="J16" si="40">H16+I16</f>
        <v>144016</v>
      </c>
      <c r="K16" s="190">
        <f>'Юнит 16-22.03'!W$24</f>
        <v>8173.7999999999993</v>
      </c>
      <c r="L16" s="191">
        <f>'Юнит 16-22.03'!Z$24</f>
        <v>13537.320000000003</v>
      </c>
      <c r="M16" s="190">
        <f>'Юнит 16-22.03'!X$24</f>
        <v>61926.879999999997</v>
      </c>
      <c r="N16" s="190"/>
      <c r="O16" s="192"/>
      <c r="P16" s="190"/>
      <c r="Q16" s="193">
        <f>'Юнит 16-22.03'!AA$24</f>
        <v>22870.89</v>
      </c>
      <c r="R16" s="191">
        <v>3785.4</v>
      </c>
      <c r="S16" s="191">
        <v>30</v>
      </c>
      <c r="T16" s="191">
        <v>0</v>
      </c>
      <c r="U16" s="193"/>
      <c r="V16" s="191"/>
      <c r="W16" s="191">
        <v>1404</v>
      </c>
      <c r="X16" s="295">
        <f>'Юнит 16-22.03'!$AD$24</f>
        <v>662.21</v>
      </c>
      <c r="Y16" s="213">
        <f>J16-SUM(L16:T16)-K16-V16+U16+W16</f>
        <v>35095.710000000006</v>
      </c>
      <c r="Z16" s="213">
        <f t="shared" ref="Z16" si="41">Y16-X16</f>
        <v>34433.500000000007</v>
      </c>
      <c r="AA16" s="323"/>
      <c r="AB16" s="249">
        <f t="shared" si="35"/>
        <v>5.6756193756249303E-2</v>
      </c>
      <c r="AC16" s="249">
        <f t="shared" si="36"/>
        <v>4.2126673028456789</v>
      </c>
      <c r="AD16" s="249">
        <f t="shared" si="37"/>
        <v>0.2390949616709255</v>
      </c>
      <c r="AE16" s="249">
        <f t="shared" si="38"/>
        <v>0.15880797966892568</v>
      </c>
    </row>
    <row r="17" spans="1:32" s="195" customFormat="1" ht="14.5" customHeight="1">
      <c r="A17" s="321"/>
      <c r="B17" s="292" t="s">
        <v>3189</v>
      </c>
      <c r="C17" s="293">
        <v>13</v>
      </c>
      <c r="D17" s="196">
        <f t="shared" ref="D17" si="42">J17-SUM(L17:T17)+U17+V17</f>
        <v>31815.03</v>
      </c>
      <c r="E17" s="187">
        <f>'Юнит 23-29.03'!K$24</f>
        <v>136</v>
      </c>
      <c r="F17" s="187">
        <f>'Юнит 23-29.03'!P$24</f>
        <v>59</v>
      </c>
      <c r="G17" s="187">
        <f>'Юнит 23-29.03'!Q$24</f>
        <v>5</v>
      </c>
      <c r="H17" s="188">
        <f>'Юнит 23-29.03'!S$24</f>
        <v>135999</v>
      </c>
      <c r="I17" s="189">
        <f>'Юнит 23-29.03'!T$24</f>
        <v>-10689</v>
      </c>
      <c r="J17" s="189">
        <f t="shared" ref="J17" si="43">H17+I17</f>
        <v>125310</v>
      </c>
      <c r="K17" s="190">
        <f>'Юнит 23-29.03'!W$24</f>
        <v>7248.21</v>
      </c>
      <c r="L17" s="191">
        <f>'Юнит 23-29.03'!Z$24</f>
        <v>10759.15</v>
      </c>
      <c r="M17" s="190">
        <f>'Юнит 23-29.03'!X$24</f>
        <v>53883.299999999996</v>
      </c>
      <c r="N17" s="190"/>
      <c r="O17" s="192"/>
      <c r="P17" s="190"/>
      <c r="Q17" s="193">
        <f>'Юнит 23-29.03'!AA$24</f>
        <v>26466.97</v>
      </c>
      <c r="R17" s="191">
        <v>2330.5500000000002</v>
      </c>
      <c r="S17" s="191">
        <v>55</v>
      </c>
      <c r="T17" s="191">
        <v>0</v>
      </c>
      <c r="U17" s="193"/>
      <c r="V17" s="191"/>
      <c r="W17" s="191"/>
      <c r="X17" s="295">
        <f>'Юнит 23-29.03'!$AD$24</f>
        <v>616.93000000000006</v>
      </c>
      <c r="Y17" s="213">
        <f t="shared" ref="Y17" si="44">J17-SUM(L17:T17)-K17-V17+U17+W17</f>
        <v>24566.82</v>
      </c>
      <c r="Z17" s="213">
        <f t="shared" ref="Z17" si="45">Y17-X17</f>
        <v>23949.89</v>
      </c>
      <c r="AA17" s="323"/>
      <c r="AB17" s="249">
        <f t="shared" si="35"/>
        <v>5.7842231266459182E-2</v>
      </c>
      <c r="AC17" s="249">
        <f t="shared" si="36"/>
        <v>3.3042489111104674</v>
      </c>
      <c r="AD17" s="249">
        <f t="shared" si="37"/>
        <v>0.19112512967839757</v>
      </c>
      <c r="AE17" s="249">
        <f t="shared" si="38"/>
        <v>0.21121195435320406</v>
      </c>
    </row>
    <row r="18" spans="1:32" s="195" customFormat="1" ht="15" customHeight="1">
      <c r="A18" s="326"/>
      <c r="B18" s="238" t="s">
        <v>3190</v>
      </c>
      <c r="C18" s="268">
        <v>14</v>
      </c>
      <c r="D18" s="362">
        <f t="shared" ref="D18" si="46">J18-SUM(L18:T18)+U18+V18</f>
        <v>17004.189999999995</v>
      </c>
      <c r="E18" s="363">
        <f>'Юнит 30-31.03'!K$24</f>
        <v>52</v>
      </c>
      <c r="F18" s="363">
        <f>'Юнит 30-31.03'!P$24</f>
        <v>26</v>
      </c>
      <c r="G18" s="363">
        <f>'Юнит 30-31.03'!Q$24</f>
        <v>0</v>
      </c>
      <c r="H18" s="364">
        <f>'Юнит 30-31.03'!S$24</f>
        <v>60643</v>
      </c>
      <c r="I18" s="365">
        <f>'Юнит 30-31.03'!T$24</f>
        <v>0</v>
      </c>
      <c r="J18" s="365">
        <f t="shared" ref="J18" si="47">H18+I18</f>
        <v>60643</v>
      </c>
      <c r="K18" s="366">
        <f>'Юнит 30-31.03'!W$24</f>
        <v>3423.69</v>
      </c>
      <c r="L18" s="367">
        <f>'Юнит 30-31.03'!Z$24</f>
        <v>4441.24</v>
      </c>
      <c r="M18" s="366">
        <f>'Юнит 30-31.03'!X$24</f>
        <v>26076.49</v>
      </c>
      <c r="N18" s="366"/>
      <c r="O18" s="368"/>
      <c r="P18" s="366"/>
      <c r="Q18" s="369">
        <f>'Юнит 30-31.03'!AA$24</f>
        <v>11946.08</v>
      </c>
      <c r="R18" s="367">
        <v>1130.4000000000001</v>
      </c>
      <c r="S18" s="367">
        <v>15</v>
      </c>
      <c r="T18" s="367">
        <v>29.6</v>
      </c>
      <c r="U18" s="369"/>
      <c r="V18" s="367"/>
      <c r="W18" s="367"/>
      <c r="X18" s="370">
        <f>'Юнит 30-31.03'!$AD$24</f>
        <v>243.36999999999998</v>
      </c>
      <c r="Y18" s="371">
        <f t="shared" ref="Y18" si="48">J18-SUM(L18:T18)-K18-V18+U18+W18</f>
        <v>13580.499999999995</v>
      </c>
      <c r="Z18" s="371">
        <f t="shared" ref="Z18" si="49">Y18-X18</f>
        <v>13337.129999999994</v>
      </c>
      <c r="AA18" s="325"/>
      <c r="AB18" s="249">
        <f>(K18+K19)/(J18+J19)</f>
        <v>5.2990652733287825E-2</v>
      </c>
      <c r="AC18" s="249">
        <f>(Z18+Z19)/(K18+K19)</f>
        <v>4.2915664537048324</v>
      </c>
      <c r="AD18" s="249">
        <f>(Z18+Z19)/(J18+J19)</f>
        <v>0.22741290763010033</v>
      </c>
      <c r="AE18" s="249">
        <f>(Q18+Q19)/(J18+J19)</f>
        <v>0.21127752980097675</v>
      </c>
    </row>
    <row r="19" spans="1:32" s="195" customFormat="1" ht="15" customHeight="1">
      <c r="A19" s="321" t="s">
        <v>3692</v>
      </c>
      <c r="B19" s="294" t="s">
        <v>3693</v>
      </c>
      <c r="C19" s="267">
        <v>14</v>
      </c>
      <c r="D19" s="196">
        <f t="shared" ref="D19" si="50">J19-SUM(L19:T19)+U19+V19</f>
        <v>34556.540000000008</v>
      </c>
      <c r="E19" s="187">
        <f>'Юнит 01-05.04'!K$24</f>
        <v>93</v>
      </c>
      <c r="F19" s="187">
        <f>'Юнит 01-05.04'!P$24</f>
        <v>52</v>
      </c>
      <c r="G19" s="187">
        <f>'Юнит 01-05.04'!Q$24</f>
        <v>1</v>
      </c>
      <c r="H19" s="188">
        <f>'Юнит 01-05.04'!S$24</f>
        <v>131890</v>
      </c>
      <c r="I19" s="189">
        <f>'Юнит 01-05.04'!T$24</f>
        <v>-2103</v>
      </c>
      <c r="J19" s="189">
        <f t="shared" ref="J19" si="51">H19+I19</f>
        <v>129787</v>
      </c>
      <c r="K19" s="190">
        <f>'Юнит 01-05.04'!W$24</f>
        <v>6667.32</v>
      </c>
      <c r="L19" s="191">
        <f>'Юнит 01-05.04'!Z$24</f>
        <v>8857.02</v>
      </c>
      <c r="M19" s="190">
        <f>'Юнит 01-05.04'!X$24</f>
        <v>55808.409999999996</v>
      </c>
      <c r="N19" s="190"/>
      <c r="O19" s="192"/>
      <c r="P19" s="190"/>
      <c r="Q19" s="193">
        <f>'Юнит 01-05.04'!AA$24</f>
        <v>28287.5</v>
      </c>
      <c r="R19" s="191">
        <v>2257.5300000000002</v>
      </c>
      <c r="S19" s="191">
        <v>20</v>
      </c>
      <c r="T19" s="191">
        <v>0</v>
      </c>
      <c r="U19" s="193"/>
      <c r="V19" s="191"/>
      <c r="W19" s="191">
        <v>2599</v>
      </c>
      <c r="X19" s="295">
        <f>'Юнит 01-05.04'!$AD$24</f>
        <v>519.11</v>
      </c>
      <c r="Y19" s="213">
        <f t="shared" ref="Y19" si="52">J19-SUM(L19:T19)-K19-V19+U19+W19</f>
        <v>30488.220000000008</v>
      </c>
      <c r="Z19" s="213">
        <f t="shared" ref="Z19" si="53">Y19-X19</f>
        <v>29969.110000000008</v>
      </c>
      <c r="AA19" s="322">
        <f>SUM(Z19:Z23)</f>
        <v>29969.110000000008</v>
      </c>
      <c r="AB19" s="249"/>
      <c r="AC19" s="249"/>
      <c r="AD19" s="249"/>
      <c r="AE19" s="249"/>
    </row>
    <row r="20" spans="1:32" s="195" customFormat="1" ht="15" customHeight="1">
      <c r="A20" s="321"/>
      <c r="B20" s="187"/>
      <c r="C20" s="267"/>
      <c r="D20" s="343"/>
      <c r="E20" s="292"/>
      <c r="F20" s="292"/>
      <c r="G20" s="292"/>
      <c r="H20" s="344"/>
      <c r="I20" s="345"/>
      <c r="J20" s="345"/>
      <c r="K20" s="346"/>
      <c r="L20" s="347"/>
      <c r="M20" s="346"/>
      <c r="N20" s="346"/>
      <c r="O20" s="348"/>
      <c r="P20" s="346"/>
      <c r="Q20" s="349"/>
      <c r="R20" s="347"/>
      <c r="S20" s="347"/>
      <c r="T20" s="347"/>
      <c r="U20" s="349"/>
      <c r="V20" s="347"/>
      <c r="W20" s="347"/>
      <c r="X20" s="350"/>
      <c r="Y20" s="351"/>
      <c r="Z20" s="351"/>
      <c r="AA20" s="323"/>
      <c r="AB20" s="249"/>
      <c r="AC20" s="249"/>
      <c r="AD20" s="249"/>
      <c r="AE20" s="249"/>
    </row>
    <row r="21" spans="1:32" s="195" customFormat="1" ht="15" customHeight="1">
      <c r="A21" s="321"/>
      <c r="B21" s="292"/>
      <c r="C21" s="293"/>
      <c r="D21" s="343"/>
      <c r="E21" s="292"/>
      <c r="F21" s="292"/>
      <c r="G21" s="292"/>
      <c r="H21" s="344"/>
      <c r="I21" s="345"/>
      <c r="J21" s="345"/>
      <c r="K21" s="346"/>
      <c r="L21" s="347"/>
      <c r="M21" s="346"/>
      <c r="N21" s="346"/>
      <c r="O21" s="348"/>
      <c r="P21" s="346"/>
      <c r="Q21" s="349"/>
      <c r="R21" s="347"/>
      <c r="S21" s="347"/>
      <c r="T21" s="347"/>
      <c r="U21" s="349"/>
      <c r="V21" s="347"/>
      <c r="W21" s="347"/>
      <c r="X21" s="350"/>
      <c r="Y21" s="351"/>
      <c r="Z21" s="351"/>
      <c r="AA21" s="323"/>
      <c r="AB21" s="249"/>
      <c r="AC21" s="249"/>
      <c r="AD21" s="249"/>
      <c r="AE21" s="249"/>
    </row>
    <row r="22" spans="1:32" s="195" customFormat="1" ht="15" customHeight="1">
      <c r="A22" s="321"/>
      <c r="B22" s="292"/>
      <c r="C22" s="293"/>
      <c r="D22" s="343"/>
      <c r="E22" s="292"/>
      <c r="F22" s="292"/>
      <c r="G22" s="292"/>
      <c r="H22" s="344"/>
      <c r="I22" s="345"/>
      <c r="J22" s="345"/>
      <c r="K22" s="346"/>
      <c r="L22" s="347"/>
      <c r="M22" s="346"/>
      <c r="N22" s="346"/>
      <c r="O22" s="348"/>
      <c r="P22" s="346"/>
      <c r="Q22" s="349"/>
      <c r="R22" s="347"/>
      <c r="S22" s="347"/>
      <c r="T22" s="347"/>
      <c r="U22" s="349"/>
      <c r="V22" s="347"/>
      <c r="W22" s="347"/>
      <c r="X22" s="350"/>
      <c r="Y22" s="351"/>
      <c r="Z22" s="351"/>
      <c r="AA22" s="323"/>
      <c r="AB22" s="249"/>
      <c r="AC22" s="249"/>
      <c r="AD22" s="249"/>
      <c r="AE22" s="249"/>
    </row>
    <row r="23" spans="1:32" s="195" customFormat="1" ht="15" customHeight="1" thickBot="1">
      <c r="A23" s="321"/>
      <c r="B23" s="292"/>
      <c r="C23" s="293"/>
      <c r="D23" s="343"/>
      <c r="E23" s="292"/>
      <c r="F23" s="292"/>
      <c r="G23" s="292"/>
      <c r="H23" s="344"/>
      <c r="I23" s="345"/>
      <c r="J23" s="345"/>
      <c r="K23" s="346"/>
      <c r="L23" s="347"/>
      <c r="M23" s="346"/>
      <c r="N23" s="346"/>
      <c r="O23" s="348"/>
      <c r="P23" s="346"/>
      <c r="Q23" s="349"/>
      <c r="R23" s="347"/>
      <c r="S23" s="347"/>
      <c r="T23" s="347"/>
      <c r="U23" s="349"/>
      <c r="V23" s="347"/>
      <c r="W23" s="347"/>
      <c r="X23" s="350"/>
      <c r="Y23" s="351"/>
      <c r="Z23" s="351"/>
      <c r="AA23" s="324"/>
      <c r="AB23" s="249"/>
      <c r="AC23" s="249"/>
      <c r="AD23" s="249"/>
      <c r="AE23" s="249"/>
    </row>
    <row r="24" spans="1:32" s="202" customFormat="1" ht="14" thickBot="1">
      <c r="A24" s="198" t="s">
        <v>355</v>
      </c>
      <c r="B24" s="199"/>
      <c r="C24" s="200"/>
      <c r="D24" s="201">
        <f>SUM(D3:D18)</f>
        <v>550107.41000000015</v>
      </c>
      <c r="E24" s="248">
        <f>SUM(E3:E18)</f>
        <v>2429</v>
      </c>
      <c r="F24" s="248">
        <f>SUM(F3:F18)</f>
        <v>1472</v>
      </c>
      <c r="G24" s="248">
        <f>SUM(G3:G18)</f>
        <v>62</v>
      </c>
      <c r="H24" s="201">
        <f>SUM(H3:H18)</f>
        <v>3052264</v>
      </c>
      <c r="I24" s="201">
        <f>SUM(I3:I18)</f>
        <v>-131402</v>
      </c>
      <c r="J24" s="201">
        <f>SUM(J3:J18)</f>
        <v>2920862</v>
      </c>
      <c r="K24" s="201">
        <f>SUM(K3:K18)</f>
        <v>180695.81999999995</v>
      </c>
      <c r="L24" s="201">
        <f>SUM(L3:L18)</f>
        <v>284800.62</v>
      </c>
      <c r="M24" s="201">
        <f>SUM(M3:M18)</f>
        <v>1255970.6599999999</v>
      </c>
      <c r="N24" s="201">
        <f>SUM(N3:N18)</f>
        <v>0</v>
      </c>
      <c r="O24" s="201">
        <f>SUM(O3:O18)</f>
        <v>0</v>
      </c>
      <c r="P24" s="201">
        <f>SUM(P3:P18)</f>
        <v>0</v>
      </c>
      <c r="Q24" s="201">
        <f>SUM(Q3:Q18)</f>
        <v>699049.11999999988</v>
      </c>
      <c r="R24" s="201">
        <f>SUM(R3:R19)</f>
        <v>64688.829999999994</v>
      </c>
      <c r="S24" s="201">
        <f>SUM(S3:S19)</f>
        <v>670</v>
      </c>
      <c r="T24" s="201">
        <f>SUM(T3:T19)</f>
        <v>78549.5</v>
      </c>
      <c r="U24" s="201">
        <f>SUM(U3:U18)</f>
        <v>3696.6099999999997</v>
      </c>
      <c r="V24" s="201">
        <f>SUM(V3:V18)</f>
        <v>7000</v>
      </c>
      <c r="W24" s="201">
        <f>SUM(W3:W18)</f>
        <v>22319</v>
      </c>
      <c r="X24" s="201">
        <f>SUM(X3:X18)</f>
        <v>12041.151599999999</v>
      </c>
      <c r="Y24" s="201">
        <f>SUM(Y3:Y18)</f>
        <v>377730.59000000014</v>
      </c>
      <c r="Z24" s="201">
        <f>SUM(Z3:Z18)</f>
        <v>365689.4384000001</v>
      </c>
      <c r="AA24" s="247">
        <f>SUM(AA3:AA18)</f>
        <v>365689.4384000001</v>
      </c>
      <c r="AB24" s="235">
        <f>K24/J24</f>
        <v>6.1863867584295303E-2</v>
      </c>
      <c r="AC24" s="235">
        <f>Z24/K24</f>
        <v>2.0237847140016862</v>
      </c>
      <c r="AD24" s="235">
        <f>Z24/J24</f>
        <v>0.12519914956612127</v>
      </c>
      <c r="AE24" s="235">
        <f t="shared" si="3"/>
        <v>0.23932973211332814</v>
      </c>
    </row>
    <row r="25" spans="1:32">
      <c r="H25" s="206" t="s">
        <v>365</v>
      </c>
      <c r="J25" s="207"/>
      <c r="M25" s="207"/>
      <c r="R25" s="207"/>
      <c r="S25" s="207"/>
      <c r="T25" s="207"/>
      <c r="X25" s="207"/>
      <c r="Y25" s="207"/>
    </row>
    <row r="26" spans="1:32" s="204" customFormat="1">
      <c r="A26" s="208"/>
      <c r="B26" s="208"/>
      <c r="D26" s="209"/>
      <c r="E26" s="209"/>
      <c r="F26" s="209"/>
      <c r="G26" s="209"/>
      <c r="I26" s="210">
        <f>-I24/H24</f>
        <v>4.3050666652687974E-2</v>
      </c>
      <c r="J26" s="211"/>
      <c r="K26" s="234">
        <f>K24/$J$24</f>
        <v>6.1863867584295303E-2</v>
      </c>
      <c r="L26" s="234">
        <f>L24/$J$24</f>
        <v>9.7505674694662051E-2</v>
      </c>
      <c r="M26" s="234">
        <f>M24/$J$24</f>
        <v>0.43</v>
      </c>
      <c r="N26" s="234"/>
      <c r="O26" s="234"/>
      <c r="P26" s="234"/>
      <c r="Q26" s="234">
        <f>Q24/$J$24</f>
        <v>0.23932973211332814</v>
      </c>
      <c r="R26" s="234">
        <f t="shared" ref="R26:W26" si="54">R24/$J$24</f>
        <v>2.214717093789436E-2</v>
      </c>
      <c r="S26" s="234">
        <f t="shared" si="54"/>
        <v>2.2938433928066442E-4</v>
      </c>
      <c r="T26" s="234">
        <f t="shared" si="54"/>
        <v>2.6892574863173955E-2</v>
      </c>
      <c r="U26" s="234">
        <f t="shared" si="54"/>
        <v>1.265588720042234E-3</v>
      </c>
      <c r="V26" s="234">
        <f t="shared" si="54"/>
        <v>2.3965527984547027E-3</v>
      </c>
      <c r="W26" s="234">
        <f t="shared" si="54"/>
        <v>7.6412374155300734E-3</v>
      </c>
      <c r="X26" s="234">
        <f>X24/$J$24</f>
        <v>4.1224650805139025E-3</v>
      </c>
      <c r="Y26" s="234"/>
      <c r="Z26" s="210">
        <f>Z24/K24</f>
        <v>2.0237847140016862</v>
      </c>
      <c r="AA26" s="182" t="s">
        <v>35</v>
      </c>
      <c r="AB26" s="235">
        <f>Z24/J24</f>
        <v>0.12519914956612127</v>
      </c>
      <c r="AC26" s="212"/>
      <c r="AD26" s="212"/>
      <c r="AE26" s="212"/>
    </row>
    <row r="28" spans="1:32" s="255" customFormat="1">
      <c r="A28" s="251" t="s">
        <v>1393</v>
      </c>
      <c r="B28" s="251"/>
      <c r="C28" s="252"/>
      <c r="D28" s="253">
        <f>SUM(D3:D7)</f>
        <v>123225.19000000013</v>
      </c>
      <c r="E28" s="250">
        <f>SUM(E3:E7)</f>
        <v>803</v>
      </c>
      <c r="F28" s="250">
        <f t="shared" ref="F28:AA28" si="55">SUM(F3:F7)</f>
        <v>544</v>
      </c>
      <c r="G28" s="250">
        <f t="shared" si="55"/>
        <v>15</v>
      </c>
      <c r="H28" s="253">
        <f t="shared" si="55"/>
        <v>936447</v>
      </c>
      <c r="I28" s="253">
        <f t="shared" si="55"/>
        <v>-25467</v>
      </c>
      <c r="J28" s="253">
        <f t="shared" si="55"/>
        <v>910980</v>
      </c>
      <c r="K28" s="253">
        <f t="shared" si="55"/>
        <v>66570.989999999991</v>
      </c>
      <c r="L28" s="253">
        <f t="shared" si="55"/>
        <v>98630.239999999976</v>
      </c>
      <c r="M28" s="253">
        <f t="shared" si="55"/>
        <v>391721.39999999991</v>
      </c>
      <c r="N28" s="253">
        <f t="shared" si="55"/>
        <v>0</v>
      </c>
      <c r="O28" s="253">
        <f t="shared" si="55"/>
        <v>0</v>
      </c>
      <c r="P28" s="253">
        <f t="shared" si="55"/>
        <v>0</v>
      </c>
      <c r="Q28" s="253">
        <f t="shared" si="55"/>
        <v>239309.32999999996</v>
      </c>
      <c r="R28" s="253">
        <f t="shared" si="55"/>
        <v>16975.23</v>
      </c>
      <c r="S28" s="253">
        <f t="shared" si="55"/>
        <v>250</v>
      </c>
      <c r="T28" s="253">
        <f t="shared" si="55"/>
        <v>48984</v>
      </c>
      <c r="U28" s="253">
        <f t="shared" si="55"/>
        <v>1115.3900000000001</v>
      </c>
      <c r="V28" s="253">
        <f t="shared" si="55"/>
        <v>7000</v>
      </c>
      <c r="W28" s="253">
        <f t="shared" si="55"/>
        <v>10387</v>
      </c>
      <c r="X28" s="253">
        <f>SUM(X3:X7)</f>
        <v>3481.9416000000006</v>
      </c>
      <c r="Y28" s="254">
        <f>SUM(Y3:Y7)</f>
        <v>53041.200000000135</v>
      </c>
      <c r="Z28" s="254">
        <f>SUM(Z3:Z7)</f>
        <v>49559.258400000137</v>
      </c>
      <c r="AA28" s="254">
        <f t="shared" si="55"/>
        <v>49559.258400000137</v>
      </c>
      <c r="AB28" s="234"/>
      <c r="AD28" s="256"/>
      <c r="AE28" s="256"/>
      <c r="AF28" s="256"/>
    </row>
    <row r="29" spans="1:32" s="204" customFormat="1">
      <c r="A29" s="208"/>
      <c r="B29" s="208"/>
      <c r="D29" s="209"/>
      <c r="E29" s="209"/>
      <c r="F29" s="209"/>
      <c r="G29" s="209"/>
      <c r="I29" s="257">
        <f>-I28/H28</f>
        <v>2.7195345812416505E-2</v>
      </c>
      <c r="J29" s="258"/>
      <c r="K29" s="258">
        <f>K28/$J$28</f>
        <v>7.307623658038595E-2</v>
      </c>
      <c r="L29" s="258">
        <f>L28/$J$28</f>
        <v>0.10826828250894638</v>
      </c>
      <c r="M29" s="258">
        <f>M28/$J$28</f>
        <v>0.42999999999999988</v>
      </c>
      <c r="N29" s="258"/>
      <c r="O29" s="258"/>
      <c r="P29" s="258"/>
      <c r="Q29" s="258">
        <f>Q28/$J$28</f>
        <v>0.2626943840699027</v>
      </c>
      <c r="R29" s="258">
        <f>R28/$J$28</f>
        <v>1.8634031482579201E-2</v>
      </c>
      <c r="S29" s="258">
        <f>S28/$J$28</f>
        <v>2.7442973501064786E-4</v>
      </c>
      <c r="T29" s="258">
        <f>T28/$J$28</f>
        <v>5.3770664559046305E-2</v>
      </c>
      <c r="U29" s="258"/>
      <c r="V29" s="258">
        <f>V28/$J$28</f>
        <v>7.6840325802981406E-3</v>
      </c>
      <c r="W29" s="258">
        <f>W28/$J$28</f>
        <v>1.1402006630222398E-2</v>
      </c>
      <c r="X29" s="258">
        <f>X28/$J$28</f>
        <v>3.8221932424422058E-3</v>
      </c>
      <c r="Y29" s="258">
        <f>Y28/J28</f>
        <v>5.8224329842587255E-2</v>
      </c>
      <c r="Z29" s="258">
        <f>Z28/J28</f>
        <v>5.4402136600145048E-2</v>
      </c>
      <c r="AA29" s="258">
        <f>AA28/J28</f>
        <v>5.4402136600145048E-2</v>
      </c>
      <c r="AB29" s="259"/>
      <c r="AC29" s="212"/>
      <c r="AD29" s="212"/>
      <c r="AE29" s="212"/>
    </row>
    <row r="31" spans="1:32" s="204" customFormat="1">
      <c r="A31" s="208" t="s">
        <v>1737</v>
      </c>
      <c r="B31" s="208"/>
      <c r="D31" s="209"/>
      <c r="E31" s="209"/>
      <c r="F31" s="209"/>
      <c r="G31" s="209"/>
      <c r="I31" s="257"/>
      <c r="J31" s="258"/>
      <c r="K31" s="258">
        <f>(K7+K8)/($J$7+$J$8)</f>
        <v>7.0282074177319923E-2</v>
      </c>
      <c r="L31" s="258">
        <f>(L7+L8)/($J$7+$J$8)</f>
        <v>0.10463693185530408</v>
      </c>
      <c r="M31" s="258">
        <f t="shared" ref="M31:Z31" si="56">(M7+M8)/($J$7+$J$8)</f>
        <v>0.42999999999999983</v>
      </c>
      <c r="N31" s="258">
        <f t="shared" si="56"/>
        <v>0</v>
      </c>
      <c r="O31" s="258">
        <f t="shared" si="56"/>
        <v>0</v>
      </c>
      <c r="P31" s="258">
        <f t="shared" si="56"/>
        <v>0</v>
      </c>
      <c r="Q31" s="258">
        <f t="shared" si="56"/>
        <v>0.25406002134285766</v>
      </c>
      <c r="R31" s="258">
        <f>(R7+S7+T7+R8+S8+T8)/($J$7+$J$8)</f>
        <v>0.21054563669229256</v>
      </c>
      <c r="S31" s="258"/>
      <c r="T31" s="258"/>
      <c r="U31" s="258">
        <f t="shared" si="56"/>
        <v>4.8582877801250073E-3</v>
      </c>
      <c r="V31" s="258">
        <f t="shared" si="56"/>
        <v>0</v>
      </c>
      <c r="W31" s="258">
        <f t="shared" si="56"/>
        <v>2.1042315482283244E-2</v>
      </c>
      <c r="X31" s="258">
        <f t="shared" si="56"/>
        <v>3.8902543694629898E-3</v>
      </c>
      <c r="Y31" s="258">
        <f t="shared" si="56"/>
        <v>-4.362406080536594E-2</v>
      </c>
      <c r="Z31" s="258">
        <f t="shared" si="56"/>
        <v>-4.7514315174828924E-2</v>
      </c>
      <c r="AA31" s="258"/>
      <c r="AB31" s="259"/>
      <c r="AC31" s="212"/>
      <c r="AD31" s="212"/>
      <c r="AE31" s="212"/>
    </row>
    <row r="32" spans="1:32" s="204" customFormat="1">
      <c r="A32" s="208" t="s">
        <v>1736</v>
      </c>
      <c r="B32" s="208"/>
      <c r="D32" s="209"/>
      <c r="E32" s="209"/>
      <c r="F32" s="209"/>
      <c r="G32" s="209"/>
      <c r="I32" s="257"/>
      <c r="J32" s="258"/>
      <c r="K32" s="258">
        <f>K9/$J$9</f>
        <v>6.6026146834769303E-2</v>
      </c>
      <c r="L32" s="258">
        <f>L9/$J$9</f>
        <v>0.10353457968796775</v>
      </c>
      <c r="M32" s="258">
        <f>M9/$J$9</f>
        <v>0.43</v>
      </c>
      <c r="N32" s="258"/>
      <c r="O32" s="258"/>
      <c r="P32" s="258"/>
      <c r="Q32" s="258">
        <f>Q9/$J$9</f>
        <v>0.22200332656930907</v>
      </c>
      <c r="R32" s="258">
        <f>(R9+S9+T9)/$J$9</f>
        <v>0.11123315924287283</v>
      </c>
      <c r="S32" s="258"/>
      <c r="T32" s="258"/>
      <c r="U32" s="258"/>
      <c r="V32" s="258">
        <f>V9/$J$9</f>
        <v>0</v>
      </c>
      <c r="W32" s="258">
        <f>W9/$J$9</f>
        <v>0</v>
      </c>
      <c r="X32" s="258">
        <f>X9/$J$9</f>
        <v>4.3011894366383526E-3</v>
      </c>
      <c r="Y32" s="258">
        <f>Y9/J9</f>
        <v>6.7202787665081046E-2</v>
      </c>
      <c r="Z32" s="258">
        <f>Z9/J9</f>
        <v>6.2901598228442684E-2</v>
      </c>
      <c r="AA32" s="258"/>
      <c r="AB32" s="259"/>
      <c r="AC32" s="212"/>
      <c r="AD32" s="212"/>
      <c r="AE32" s="212"/>
    </row>
    <row r="33" spans="1:32">
      <c r="A33" s="208" t="s">
        <v>2023</v>
      </c>
      <c r="B33" s="208"/>
      <c r="D33" s="209"/>
      <c r="E33" s="209"/>
      <c r="F33" s="209"/>
      <c r="G33" s="209"/>
      <c r="H33" s="204"/>
      <c r="I33" s="257"/>
      <c r="J33" s="258"/>
      <c r="K33" s="258">
        <f>K10/$J$10</f>
        <v>5.6032822773132623E-2</v>
      </c>
      <c r="L33" s="258">
        <f>L10/$J$10</f>
        <v>8.8563170842424321E-2</v>
      </c>
      <c r="M33" s="258">
        <f>M10/$J$10</f>
        <v>0.43</v>
      </c>
      <c r="N33" s="258"/>
      <c r="O33" s="258"/>
      <c r="P33" s="258"/>
      <c r="Q33" s="258">
        <f>Q10/$J$10</f>
        <v>0.2235657334055732</v>
      </c>
      <c r="R33" s="258">
        <f>(R10+S10+T10)/$J$10</f>
        <v>2.902139374148863E-2</v>
      </c>
      <c r="S33" s="258"/>
      <c r="T33" s="258"/>
      <c r="U33" s="258"/>
      <c r="V33" s="258">
        <f>V10/$J$10</f>
        <v>0</v>
      </c>
      <c r="W33" s="258">
        <f>W10/$J$10</f>
        <v>0</v>
      </c>
      <c r="X33" s="258">
        <f>X10/$J$10</f>
        <v>4.3011894366383517E-3</v>
      </c>
      <c r="Y33" s="258">
        <f>Y10/J10</f>
        <v>0.17281687923738109</v>
      </c>
      <c r="Z33" s="258">
        <f>Z10/J10</f>
        <v>0.16851568980074275</v>
      </c>
    </row>
    <row r="34" spans="1:32">
      <c r="A34" s="208" t="s">
        <v>2369</v>
      </c>
      <c r="B34" s="208"/>
      <c r="D34" s="209"/>
      <c r="E34" s="209"/>
      <c r="F34" s="209"/>
      <c r="G34" s="209"/>
      <c r="H34" s="204"/>
      <c r="I34" s="257"/>
      <c r="J34" s="258"/>
      <c r="K34" s="258">
        <f>K11/$J$11</f>
        <v>5.4130813609217177E-2</v>
      </c>
      <c r="L34" s="258">
        <f>L11/$J$11</f>
        <v>8.9548728013038495E-2</v>
      </c>
      <c r="M34" s="258">
        <f>M11/$J$11</f>
        <v>0.43</v>
      </c>
      <c r="N34" s="258"/>
      <c r="O34" s="258"/>
      <c r="P34" s="258"/>
      <c r="Q34" s="258">
        <f>Q11/$J$11</f>
        <v>0.22547461947541467</v>
      </c>
      <c r="R34" s="258">
        <f>(R11+S11+T11)/$J$11</f>
        <v>2.2696381139289762E-2</v>
      </c>
      <c r="S34" s="258"/>
      <c r="T34" s="258"/>
      <c r="U34" s="258"/>
      <c r="V34" s="258">
        <f>V11/$J$11</f>
        <v>0</v>
      </c>
      <c r="W34" s="258">
        <f>W11/$J$11</f>
        <v>1.2257431437900757E-2</v>
      </c>
      <c r="X34" s="258">
        <f>X11/$J$11</f>
        <v>4.3011894366383526E-3</v>
      </c>
      <c r="Y34" s="258">
        <f>Y11/J11</f>
        <v>0.19040688920094059</v>
      </c>
      <c r="Z34" s="258">
        <f>Z11/J11</f>
        <v>0.18610569976430222</v>
      </c>
    </row>
    <row r="35" spans="1:32">
      <c r="A35" s="208" t="s">
        <v>2685</v>
      </c>
      <c r="B35" s="208"/>
      <c r="D35" s="209"/>
      <c r="E35" s="209"/>
      <c r="F35" s="209"/>
      <c r="G35" s="209"/>
      <c r="H35" s="204"/>
      <c r="I35" s="257"/>
      <c r="J35" s="258"/>
      <c r="K35" s="258">
        <f>(K12+K13)/($J$12+$J$13)</f>
        <v>5.2676864176070447E-2</v>
      </c>
      <c r="L35" s="258">
        <f t="shared" ref="L35:Y35" si="57">(L12+L13)/($J$12+$J$13)</f>
        <v>0.10278101812278674</v>
      </c>
      <c r="M35" s="258">
        <f t="shared" si="57"/>
        <v>0.43000000000000005</v>
      </c>
      <c r="N35" s="258">
        <f t="shared" si="57"/>
        <v>0</v>
      </c>
      <c r="O35" s="258">
        <f t="shared" si="57"/>
        <v>0</v>
      </c>
      <c r="P35" s="258">
        <f t="shared" si="57"/>
        <v>0</v>
      </c>
      <c r="Q35" s="258">
        <f t="shared" si="57"/>
        <v>0.26870709036971058</v>
      </c>
      <c r="R35" s="258">
        <f>(R12+R13)/($J$12+$J$13)</f>
        <v>2.6189725392732212E-2</v>
      </c>
      <c r="S35" s="258"/>
      <c r="T35" s="258"/>
      <c r="U35" s="258"/>
      <c r="V35" s="258">
        <f t="shared" si="57"/>
        <v>0</v>
      </c>
      <c r="W35" s="258">
        <f t="shared" si="57"/>
        <v>4.8485457954129162E-3</v>
      </c>
      <c r="X35" s="258">
        <f t="shared" si="57"/>
        <v>4.2892516940889061E-3</v>
      </c>
      <c r="Y35" s="258">
        <f t="shared" si="57"/>
        <v>0.1337643391252504</v>
      </c>
      <c r="Z35" s="258">
        <f>(Z12+Z13)/($J$12+$J$13)</f>
        <v>0.12947508743116151</v>
      </c>
    </row>
    <row r="37" spans="1:32" s="255" customFormat="1">
      <c r="A37" s="251" t="s">
        <v>2688</v>
      </c>
      <c r="B37" s="251"/>
      <c r="C37" s="252"/>
      <c r="D37" s="253">
        <f>SUM(D8:D12)</f>
        <v>240130.03999999995</v>
      </c>
      <c r="E37" s="250">
        <f t="shared" ref="E37:AA37" si="58">SUM(E8:E12)</f>
        <v>958</v>
      </c>
      <c r="F37" s="250">
        <f t="shared" si="58"/>
        <v>579</v>
      </c>
      <c r="G37" s="250">
        <f t="shared" si="58"/>
        <v>30</v>
      </c>
      <c r="H37" s="253">
        <f t="shared" si="58"/>
        <v>1275436</v>
      </c>
      <c r="I37" s="253">
        <f t="shared" si="58"/>
        <v>-66124</v>
      </c>
      <c r="J37" s="253">
        <f>SUM(J8:J12)</f>
        <v>1209312</v>
      </c>
      <c r="K37" s="253">
        <f t="shared" si="58"/>
        <v>69788.849999999991</v>
      </c>
      <c r="L37" s="253">
        <f t="shared" si="58"/>
        <v>115619.00999999998</v>
      </c>
      <c r="M37" s="253">
        <f t="shared" si="58"/>
        <v>520004.16000000003</v>
      </c>
      <c r="N37" s="253">
        <f t="shared" si="58"/>
        <v>0</v>
      </c>
      <c r="O37" s="253">
        <f t="shared" si="58"/>
        <v>0</v>
      </c>
      <c r="P37" s="253">
        <f t="shared" si="58"/>
        <v>0</v>
      </c>
      <c r="Q37" s="253">
        <f t="shared" si="58"/>
        <v>279784.71999999997</v>
      </c>
      <c r="R37" s="253">
        <f>SUM(R8:R12)</f>
        <v>26644.39</v>
      </c>
      <c r="S37" s="253">
        <f>SUM(S8:S12)</f>
        <v>175</v>
      </c>
      <c r="T37" s="253">
        <f t="shared" si="58"/>
        <v>29535.9</v>
      </c>
      <c r="U37" s="253">
        <f t="shared" si="58"/>
        <v>2581.2199999999998</v>
      </c>
      <c r="V37" s="253">
        <f t="shared" si="58"/>
        <v>0</v>
      </c>
      <c r="W37" s="253">
        <f t="shared" si="58"/>
        <v>9178</v>
      </c>
      <c r="X37" s="253">
        <f>SUM(X8:X12)</f>
        <v>5201.4799999999996</v>
      </c>
      <c r="Y37" s="254">
        <f t="shared" si="58"/>
        <v>179519.18999999994</v>
      </c>
      <c r="Z37" s="254">
        <f>SUM(Z8:Z12)</f>
        <v>174317.7099999999</v>
      </c>
      <c r="AA37" s="254">
        <f t="shared" si="58"/>
        <v>174317.7099999999</v>
      </c>
      <c r="AB37" s="234"/>
      <c r="AD37" s="256"/>
      <c r="AE37" s="256"/>
      <c r="AF37" s="256"/>
    </row>
    <row r="39" spans="1:32" s="255" customFormat="1">
      <c r="A39" s="251" t="s">
        <v>3197</v>
      </c>
      <c r="B39" s="251"/>
      <c r="C39" s="252"/>
      <c r="D39" s="253">
        <f>SUM(D13:D18)</f>
        <v>186752.18000000005</v>
      </c>
      <c r="E39" s="250">
        <f>SUM(E13:E18)</f>
        <v>668</v>
      </c>
      <c r="F39" s="250">
        <f t="shared" ref="F39:AA39" si="59">SUM(F13:F18)</f>
        <v>349</v>
      </c>
      <c r="G39" s="250">
        <f t="shared" si="59"/>
        <v>17</v>
      </c>
      <c r="H39" s="253">
        <f t="shared" si="59"/>
        <v>840381</v>
      </c>
      <c r="I39" s="253">
        <f t="shared" si="59"/>
        <v>-39811</v>
      </c>
      <c r="J39" s="253">
        <f t="shared" si="59"/>
        <v>800570</v>
      </c>
      <c r="K39" s="253">
        <f>SUM(K13:K18)</f>
        <v>44335.98</v>
      </c>
      <c r="L39" s="253">
        <f t="shared" si="59"/>
        <v>70551.37000000001</v>
      </c>
      <c r="M39" s="253">
        <f t="shared" si="59"/>
        <v>344245.1</v>
      </c>
      <c r="N39" s="253">
        <f t="shared" si="59"/>
        <v>0</v>
      </c>
      <c r="O39" s="253">
        <f t="shared" si="59"/>
        <v>0</v>
      </c>
      <c r="P39" s="253">
        <f t="shared" si="59"/>
        <v>0</v>
      </c>
      <c r="Q39" s="253">
        <f t="shared" si="59"/>
        <v>179955.07</v>
      </c>
      <c r="R39" s="253">
        <f t="shared" si="59"/>
        <v>18811.680000000004</v>
      </c>
      <c r="S39" s="253">
        <f t="shared" si="59"/>
        <v>225</v>
      </c>
      <c r="T39" s="253">
        <f t="shared" si="59"/>
        <v>29.6</v>
      </c>
      <c r="U39" s="253">
        <f t="shared" si="59"/>
        <v>0</v>
      </c>
      <c r="V39" s="253">
        <f t="shared" si="59"/>
        <v>0</v>
      </c>
      <c r="W39" s="253">
        <f t="shared" si="59"/>
        <v>2754</v>
      </c>
      <c r="X39" s="253">
        <f t="shared" si="59"/>
        <v>3357.7300000000005</v>
      </c>
      <c r="Y39" s="254">
        <f>SUM(Y13:Y18)</f>
        <v>145170.20000000004</v>
      </c>
      <c r="Z39" s="254">
        <f t="shared" si="59"/>
        <v>141812.47000000003</v>
      </c>
      <c r="AA39" s="254">
        <f t="shared" si="59"/>
        <v>141812.47000000003</v>
      </c>
      <c r="AB39" s="234"/>
      <c r="AD39" s="256"/>
      <c r="AE39" s="256"/>
      <c r="AF39" s="256"/>
    </row>
  </sheetData>
  <mergeCells count="33">
    <mergeCell ref="A19:A23"/>
    <mergeCell ref="AA19:AA23"/>
    <mergeCell ref="A13:A18"/>
    <mergeCell ref="AA13:AA18"/>
    <mergeCell ref="AA8:AA12"/>
    <mergeCell ref="A8:A12"/>
    <mergeCell ref="Q1:Q2"/>
    <mergeCell ref="A3:A7"/>
    <mergeCell ref="AA3:AA7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</mergeCells>
  <conditionalFormatting sqref="J2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24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24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24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7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7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7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7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7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7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7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7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7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7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7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7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6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6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6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6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6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6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6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6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6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6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5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5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5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5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5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5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5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5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1 AC19:AC23">
    <cfRule type="dataBar" priority="8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1 AD19:AD23">
    <cfRule type="dataBar" priority="8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1 AE19:AE23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4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4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4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4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AF7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3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3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3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1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1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3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1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1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1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1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1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1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1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1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1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1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1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1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1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1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1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1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1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1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1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2">
    <cfRule type="dataBar" priority="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2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2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2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2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2">
    <cfRule type="dataBar" priority="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2"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2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2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2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2"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2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2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2"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2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2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2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2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2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2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2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2"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3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3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1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3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3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3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3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3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3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3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3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3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3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3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3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3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3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3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2:AC13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2:AD13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2:AE13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4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4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1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4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4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4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4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4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4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4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4">
    <cfRule type="dataBar" priority="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4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4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4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4"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4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4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4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4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4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4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4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5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5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1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5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5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5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5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5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5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5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5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5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5"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5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5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5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5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5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5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5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5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6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6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6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6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6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6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6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6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6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6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6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6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6"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6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6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6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6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6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6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6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7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7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7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7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7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7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7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7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7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7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7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7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7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7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7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7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7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7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7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7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7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conditionalFormatting sqref="L20:L23 L18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{13AB26A3-8424-4D40-AD97-52E1708CA1C9}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{FDA1E785-1A3E-41C9-AA59-69E5F586D3F9}</x14:id>
        </ext>
      </extLst>
    </cfRule>
  </conditionalFormatting>
  <conditionalFormatting sqref="M20:M23 M18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{8C04CA30-8DA0-4D66-894B-B621CDDA3235}</x14:id>
        </ext>
      </extLst>
    </cfRule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{7683D026-574E-4DEC-87B3-7E353937A16D}</x14:id>
        </ext>
      </extLst>
    </cfRule>
  </conditionalFormatting>
  <conditionalFormatting sqref="L20:L23 L18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{CF18A856-F4E2-4FB9-86F6-5641820E0CE3}</x14:id>
        </ext>
      </extLst>
    </cfRule>
  </conditionalFormatting>
  <conditionalFormatting sqref="M20:M23 M18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{553A8465-75A4-4B9C-9058-1E454BF4F260}</x14:id>
        </ext>
      </extLst>
    </cfRule>
  </conditionalFormatting>
  <conditionalFormatting sqref="L20:L23 L1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{538C7F8B-7A8F-4A5C-A6E2-11C1FD6466BF}</x14:id>
        </ext>
      </extLst>
    </cfRule>
  </conditionalFormatting>
  <conditionalFormatting sqref="M20:M23 M18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{3DC0EC87-9802-4A79-8004-350C905769E1}</x14:id>
        </ext>
      </extLst>
    </cfRule>
  </conditionalFormatting>
  <conditionalFormatting sqref="L20:L23 L1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{A4A3325E-A78D-4F49-80FD-DC38F35F1769}</x14:id>
        </ext>
      </extLst>
    </cfRule>
  </conditionalFormatting>
  <conditionalFormatting sqref="M20:M23 M18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{C2282F3A-4162-4438-94BD-80B3DCAAB4EF}</x14:id>
        </ext>
      </extLst>
    </cfRule>
  </conditionalFormatting>
  <conditionalFormatting sqref="L20:L23 L1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{EE8D3996-09C2-448E-B21B-FEBB7CFD8147}</x14:id>
        </ext>
      </extLst>
    </cfRule>
  </conditionalFormatting>
  <conditionalFormatting sqref="M20:M23 M18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{1EDAD37A-4FCB-462E-9A3E-28910291AF3E}</x14:id>
        </ext>
      </extLst>
    </cfRule>
  </conditionalFormatting>
  <conditionalFormatting sqref="L20:L23 L18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{8625E5EE-CC78-4EA7-A42D-BFD4F1F43AFC}</x14:id>
        </ext>
      </extLst>
    </cfRule>
  </conditionalFormatting>
  <conditionalFormatting sqref="M20:M23 M18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{5475D642-EE15-4E11-963D-8F2E292538DB}</x14:id>
        </ext>
      </extLst>
    </cfRule>
  </conditionalFormatting>
  <conditionalFormatting sqref="L20:L23 L18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{6A222E84-DE72-4544-A3FA-821934EAC312}</x14:id>
        </ext>
      </extLst>
    </cfRule>
  </conditionalFormatting>
  <conditionalFormatting sqref="M20:M23 M18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{4E90D26D-6D36-4FB5-A609-CE8DFC44589D}</x14:id>
        </ext>
      </extLst>
    </cfRule>
  </conditionalFormatting>
  <conditionalFormatting sqref="J20:J23 J18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{55EA1067-ED97-4677-9190-B0E271CD0AB3}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{DA06DF97-073B-48DB-9794-5EA9DBA02E45}</x14:id>
        </ext>
      </extLst>
    </cfRule>
  </conditionalFormatting>
  <conditionalFormatting sqref="J20:J23 J1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{3ED1F4F5-92E9-4F7A-9AC1-F30639814303}</x14:id>
        </ext>
      </extLst>
    </cfRule>
  </conditionalFormatting>
  <conditionalFormatting sqref="J20:J23 J1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{13CFFBE5-2C5E-4E1F-B4B9-6E3D7DE4F012}</x14:id>
        </ext>
      </extLst>
    </cfRule>
  </conditionalFormatting>
  <conditionalFormatting sqref="J20:J23 J1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{0DB7D59D-0C95-455B-A4C7-035AD167651A}</x14:id>
        </ext>
      </extLst>
    </cfRule>
  </conditionalFormatting>
  <conditionalFormatting sqref="J20:J23 J1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{404DF44B-180E-473A-8193-5D1CE75449CA}</x14:id>
        </ext>
      </extLst>
    </cfRule>
  </conditionalFormatting>
  <conditionalFormatting sqref="J20:J23 J1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{9A0D1B05-D2DB-44C0-B641-C36B7507016D}</x14:id>
        </ext>
      </extLst>
    </cfRule>
  </conditionalFormatting>
  <conditionalFormatting sqref="J20:J23 J1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{085C3415-6E25-4ECC-8FE0-98AB05C9127C}</x14:id>
        </ext>
      </extLst>
    </cfRule>
  </conditionalFormatting>
  <conditionalFormatting sqref="AC14:AC1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{4385CA1E-A82F-420B-81A0-CA7EDB730974}</x14:id>
        </ext>
      </extLst>
    </cfRule>
  </conditionalFormatting>
  <conditionalFormatting sqref="AD14:AD1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{544A93F0-A629-429D-A826-6361E5FCF532}</x14:id>
        </ext>
      </extLst>
    </cfRule>
  </conditionalFormatting>
  <conditionalFormatting sqref="AE14:AE1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{F1C056CA-4B73-4F15-8928-A40007589E76}</x14:id>
        </ext>
      </extLst>
    </cfRule>
  </conditionalFormatting>
  <conditionalFormatting sqref="L1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{4C96E7A7-EB15-4DEB-81CB-78F6B5B386F8}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{2976D56F-00A4-4A49-B08C-36AB703BE7DB}</x14:id>
        </ext>
      </extLst>
    </cfRule>
  </conditionalFormatting>
  <conditionalFormatting sqref="M1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{D27D24A5-FEBD-4700-94E3-48051563D62E}</x14:id>
        </ext>
      </extLst>
    </cfRule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{91F67ADC-7D00-4CEC-8FE8-E7569D045C5A}</x14:id>
        </ext>
      </extLst>
    </cfRule>
  </conditionalFormatting>
  <conditionalFormatting sqref="L19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{E965AE8A-7CDD-4EC6-8CA4-C0E3C4ECD653}</x14:id>
        </ext>
      </extLst>
    </cfRule>
  </conditionalFormatting>
  <conditionalFormatting sqref="M19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{B06E8B4E-74FE-423E-AB2B-C4C9C87CD6F0}</x14:id>
        </ext>
      </extLst>
    </cfRule>
  </conditionalFormatting>
  <conditionalFormatting sqref="L1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{70CF40DA-17D8-431D-9ED5-98731BEEC459}</x14:id>
        </ext>
      </extLst>
    </cfRule>
  </conditionalFormatting>
  <conditionalFormatting sqref="M1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{4AA4829C-CBA5-4DCA-8CE6-5278EB55D575}</x14:id>
        </ext>
      </extLst>
    </cfRule>
  </conditionalFormatting>
  <conditionalFormatting sqref="L1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{509AB742-E610-41A1-BAD7-4D841B9A92E4}</x14:id>
        </ext>
      </extLst>
    </cfRule>
  </conditionalFormatting>
  <conditionalFormatting sqref="M19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{C78A0C4C-FF45-4FD7-98FF-09E4EE9648CE}</x14:id>
        </ext>
      </extLst>
    </cfRule>
  </conditionalFormatting>
  <conditionalFormatting sqref="L1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{59E83862-59E7-49C7-8B00-E2633E90D670}</x14:id>
        </ext>
      </extLst>
    </cfRule>
  </conditionalFormatting>
  <conditionalFormatting sqref="M19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{E142D888-24AC-45B2-A352-61DF19AB7BCB}</x14:id>
        </ext>
      </extLst>
    </cfRule>
  </conditionalFormatting>
  <conditionalFormatting sqref="L1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{9D405503-6288-429C-9052-97C214C6BCF3}</x14:id>
        </ext>
      </extLst>
    </cfRule>
  </conditionalFormatting>
  <conditionalFormatting sqref="M19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{CD6D5F82-D55A-4575-B460-C02F60B24A7F}</x14:id>
        </ext>
      </extLst>
    </cfRule>
  </conditionalFormatting>
  <conditionalFormatting sqref="L1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{A6BD22AA-3609-41D5-8B5F-338070373613}</x14:id>
        </ext>
      </extLst>
    </cfRule>
  </conditionalFormatting>
  <conditionalFormatting sqref="M19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{580A9B2B-5B1C-4B02-84A8-680FB5673C82}</x14:id>
        </ext>
      </extLst>
    </cfRule>
  </conditionalFormatting>
  <conditionalFormatting sqref="J1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{C292D27F-F4DF-49CA-AFBB-8834188CDA8C}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{544FA04E-5BDE-4B40-BF64-B32B0572B198}</x14:id>
        </ext>
      </extLst>
    </cfRule>
  </conditionalFormatting>
  <conditionalFormatting sqref="J1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{68C5DFEB-E770-4E7E-AEA4-425A07989552}</x14:id>
        </ext>
      </extLst>
    </cfRule>
  </conditionalFormatting>
  <conditionalFormatting sqref="J1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{25399E3E-BAD6-4EDB-9C6A-8FF8A036A7DC}</x14:id>
        </ext>
      </extLst>
    </cfRule>
  </conditionalFormatting>
  <conditionalFormatting sqref="J1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{9F29F027-E782-4ADB-8815-16D7F6851F9F}</x14:id>
        </ext>
      </extLst>
    </cfRule>
  </conditionalFormatting>
  <conditionalFormatting sqref="J1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{E8A1C022-D0F4-48E5-BC11-52513C246149}</x14:id>
        </ext>
      </extLst>
    </cfRule>
  </conditionalFormatting>
  <conditionalFormatting sqref="J1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{8FB4A98A-0C87-4A83-A09C-BB5E0C0FC4E0}</x14:id>
        </ext>
      </extLst>
    </cfRule>
  </conditionalFormatting>
  <conditionalFormatting sqref="J1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{72D34743-1624-4EB5-AC2B-7D7693A691E3}</x14:id>
        </ext>
      </extLst>
    </cfRule>
  </conditionalFormatting>
  <conditionalFormatting sqref="AC1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{24567478-FD06-4DCC-84E0-8F6662771189}</x14:id>
        </ext>
      </extLst>
    </cfRule>
  </conditionalFormatting>
  <conditionalFormatting sqref="AD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{DAA58381-EC27-4E7E-89AC-98EAF27EA4E9}</x14:id>
        </ext>
      </extLst>
    </cfRule>
  </conditionalFormatting>
  <conditionalFormatting sqref="AE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{CC986835-BA7F-4E1A-B34E-86D17D113367}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AC24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AD24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AE24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AC3:AC11 AC19:AC23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AD3:AD11 AD19:AD23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AE3:AE11 AE19:AE23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AC12:AC13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AD12:AD13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AE12:AE13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3AB26A3-8424-4D40-AD97-52E1708CA1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A1E785-1A3E-41C9-AA59-69E5F586D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L20:L23 L18</xm:sqref>
        </x14:conditionalFormatting>
        <x14:conditionalFormatting xmlns:xm="http://schemas.microsoft.com/office/excel/2006/main">
          <x14:cfRule type="dataBar" id="{8C04CA30-8DA0-4D66-894B-B621CDDA32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3D026-574E-4DEC-87B3-7E353937A1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M20:M23 M18</xm:sqref>
        </x14:conditionalFormatting>
        <x14:conditionalFormatting xmlns:xm="http://schemas.microsoft.com/office/excel/2006/main">
          <x14:cfRule type="dataBar" id="{CF18A856-F4E2-4FB9-86F6-5641820E0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L20:L23 L18</xm:sqref>
        </x14:conditionalFormatting>
        <x14:conditionalFormatting xmlns:xm="http://schemas.microsoft.com/office/excel/2006/main">
          <x14:cfRule type="dataBar" id="{553A8465-75A4-4B9C-9058-1E454BF4F2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M20:M23 M18</xm:sqref>
        </x14:conditionalFormatting>
        <x14:conditionalFormatting xmlns:xm="http://schemas.microsoft.com/office/excel/2006/main">
          <x14:cfRule type="dataBar" id="{538C7F8B-7A8F-4A5C-A6E2-11C1FD646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L20:L23 L18</xm:sqref>
        </x14:conditionalFormatting>
        <x14:conditionalFormatting xmlns:xm="http://schemas.microsoft.com/office/excel/2006/main">
          <x14:cfRule type="dataBar" id="{3DC0EC87-9802-4A79-8004-350C905769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M20:M23 M18</xm:sqref>
        </x14:conditionalFormatting>
        <x14:conditionalFormatting xmlns:xm="http://schemas.microsoft.com/office/excel/2006/main">
          <x14:cfRule type="dataBar" id="{A4A3325E-A78D-4F49-80FD-DC38F35F1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L20:L23 L18</xm:sqref>
        </x14:conditionalFormatting>
        <x14:conditionalFormatting xmlns:xm="http://schemas.microsoft.com/office/excel/2006/main">
          <x14:cfRule type="dataBar" id="{C2282F3A-4162-4438-94BD-80B3DCAA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M20:M23 M18</xm:sqref>
        </x14:conditionalFormatting>
        <x14:conditionalFormatting xmlns:xm="http://schemas.microsoft.com/office/excel/2006/main">
          <x14:cfRule type="dataBar" id="{EE8D3996-09C2-448E-B21B-FEBB7CFD8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L20:L23 L18</xm:sqref>
        </x14:conditionalFormatting>
        <x14:conditionalFormatting xmlns:xm="http://schemas.microsoft.com/office/excel/2006/main">
          <x14:cfRule type="dataBar" id="{1EDAD37A-4FCB-462E-9A3E-28910291A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M20:M23 M18</xm:sqref>
        </x14:conditionalFormatting>
        <x14:conditionalFormatting xmlns:xm="http://schemas.microsoft.com/office/excel/2006/main">
          <x14:cfRule type="dataBar" id="{8625E5EE-CC78-4EA7-A42D-BFD4F1F43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L20:L23 L18</xm:sqref>
        </x14:conditionalFormatting>
        <x14:conditionalFormatting xmlns:xm="http://schemas.microsoft.com/office/excel/2006/main">
          <x14:cfRule type="dataBar" id="{5475D642-EE15-4E11-963D-8F2E292538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M20:M23 M18</xm:sqref>
        </x14:conditionalFormatting>
        <x14:conditionalFormatting xmlns:xm="http://schemas.microsoft.com/office/excel/2006/main">
          <x14:cfRule type="dataBar" id="{6A222E84-DE72-4544-A3FA-821934EAC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L20:L23 L18</xm:sqref>
        </x14:conditionalFormatting>
        <x14:conditionalFormatting xmlns:xm="http://schemas.microsoft.com/office/excel/2006/main">
          <x14:cfRule type="dataBar" id="{4E90D26D-6D36-4FB5-A609-CE8DFC445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M20:M23 M18</xm:sqref>
        </x14:conditionalFormatting>
        <x14:conditionalFormatting xmlns:xm="http://schemas.microsoft.com/office/excel/2006/main">
          <x14:cfRule type="dataBar" id="{55EA1067-ED97-4677-9190-B0E271CD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06DF97-073B-48DB-9794-5EA9DBA02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J20:J23 J18</xm:sqref>
        </x14:conditionalFormatting>
        <x14:conditionalFormatting xmlns:xm="http://schemas.microsoft.com/office/excel/2006/main">
          <x14:cfRule type="dataBar" id="{3ED1F4F5-92E9-4F7A-9AC1-F3063981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J20:J23 J18</xm:sqref>
        </x14:conditionalFormatting>
        <x14:conditionalFormatting xmlns:xm="http://schemas.microsoft.com/office/excel/2006/main">
          <x14:cfRule type="dataBar" id="{13CFFBE5-2C5E-4E1F-B4B9-6E3D7DE4F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J20:J23 J18</xm:sqref>
        </x14:conditionalFormatting>
        <x14:conditionalFormatting xmlns:xm="http://schemas.microsoft.com/office/excel/2006/main">
          <x14:cfRule type="dataBar" id="{0DB7D59D-0C95-455B-A4C7-035AD1676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J20:J23 J18</xm:sqref>
        </x14:conditionalFormatting>
        <x14:conditionalFormatting xmlns:xm="http://schemas.microsoft.com/office/excel/2006/main">
          <x14:cfRule type="dataBar" id="{404DF44B-180E-473A-8193-5D1CE75449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J20:J23 J18</xm:sqref>
        </x14:conditionalFormatting>
        <x14:conditionalFormatting xmlns:xm="http://schemas.microsoft.com/office/excel/2006/main">
          <x14:cfRule type="dataBar" id="{9A0D1B05-D2DB-44C0-B641-C36B75070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J20:J23 J18</xm:sqref>
        </x14:conditionalFormatting>
        <x14:conditionalFormatting xmlns:xm="http://schemas.microsoft.com/office/excel/2006/main">
          <x14:cfRule type="dataBar" id="{085C3415-6E25-4ECC-8FE0-98AB05C91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J20:J23 J18</xm:sqref>
        </x14:conditionalFormatting>
        <x14:conditionalFormatting xmlns:xm="http://schemas.microsoft.com/office/excel/2006/main">
          <x14:cfRule type="dataBar" id="{4385CA1E-A82F-420B-81A0-CA7EDB730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AC14:AC17</xm:sqref>
        </x14:conditionalFormatting>
        <x14:conditionalFormatting xmlns:xm="http://schemas.microsoft.com/office/excel/2006/main">
          <x14:cfRule type="dataBar" id="{544A93F0-A629-429D-A826-6361E5FCF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AD14:AD17</xm:sqref>
        </x14:conditionalFormatting>
        <x14:conditionalFormatting xmlns:xm="http://schemas.microsoft.com/office/excel/2006/main">
          <x14:cfRule type="dataBar" id="{F1C056CA-4B73-4F15-8928-A40007589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AE14:AE17</xm:sqref>
        </x14:conditionalFormatting>
        <x14:conditionalFormatting xmlns:xm="http://schemas.microsoft.com/office/excel/2006/main">
          <x14:cfRule type="dataBar" id="{4C96E7A7-EB15-4DEB-81CB-78F6B5B38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976D56F-00A4-4A49-B08C-36AB703BE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27D24A5-FEBD-4700-94E3-48051563D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F67ADC-7D00-4CEC-8FE8-E7569D045C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965AE8A-7CDD-4EC6-8CA4-C0E3C4ECD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06E8B4E-74FE-423E-AB2B-C4C9C87CD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70CF40DA-17D8-431D-9ED5-98731BEEC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AA4829C-CBA5-4DCA-8CE6-5278EB55D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509AB742-E610-41A1-BAD7-4D841B9A9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78A0C4C-FF45-4FD7-98FF-09E4EE964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59E83862-59E7-49C7-8B00-E2633E90D6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42D888-24AC-45B2-A352-61DF19AB7B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9D405503-6288-429C-9052-97C214C6B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D6D5F82-D55A-4575-B460-C02F60B24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6BD22AA-3609-41D5-8B5F-338070373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0A9B2B-5B1C-4B02-84A8-680FB5673C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C292D27F-F4DF-49CA-AFBB-8834188C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4FA04E-5BDE-4B40-BF64-B32B0572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68C5DFEB-E770-4E7E-AEA4-425A07989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25399E3E-BAD6-4EDB-9C6A-8FF8A036A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F29F027-E782-4ADB-8815-16D7F6851F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8A1C022-D0F4-48E5-BC11-52513C246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FB4A98A-0C87-4A83-A09C-BB5E0C0FC4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72D34743-1624-4EB5-AC2B-7D7693A69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24567478-FD06-4DCC-84E0-8F66627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AC18</xm:sqref>
        </x14:conditionalFormatting>
        <x14:conditionalFormatting xmlns:xm="http://schemas.microsoft.com/office/excel/2006/main">
          <x14:cfRule type="dataBar" id="{DAA58381-EC27-4E7E-89AC-98EAF27EA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AD18</xm:sqref>
        </x14:conditionalFormatting>
        <x14:conditionalFormatting xmlns:xm="http://schemas.microsoft.com/office/excel/2006/main">
          <x14:cfRule type="dataBar" id="{CC986835-BA7F-4E1A-B34E-86D17D113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ACE-6D9C-482D-A5C6-A9185C94C8F2}">
  <dimension ref="B1:M43"/>
  <sheetViews>
    <sheetView workbookViewId="0">
      <selection activeCell="B9" sqref="B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19" priority="4" operator="equal">
      <formula>"C"</formula>
    </cfRule>
    <cfRule type="cellIs" dxfId="418" priority="5" operator="equal">
      <formula>"B"</formula>
    </cfRule>
    <cfRule type="cellIs" dxfId="417" priority="6" operator="equal">
      <formula>"A"</formula>
    </cfRule>
  </conditionalFormatting>
  <conditionalFormatting sqref="M22:M41 D22:D41 K22:K41 F22:G41">
    <cfRule type="cellIs" dxfId="416" priority="1" operator="equal">
      <formula>"C"</formula>
    </cfRule>
    <cfRule type="cellIs" dxfId="415" priority="2" operator="equal">
      <formula>"B"</formula>
    </cfRule>
    <cfRule type="cellIs" dxfId="414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13" priority="4" operator="equal">
      <formula>"C"</formula>
    </cfRule>
    <cfRule type="cellIs" dxfId="412" priority="5" operator="equal">
      <formula>"B"</formula>
    </cfRule>
    <cfRule type="cellIs" dxfId="411" priority="6" operator="equal">
      <formula>"A"</formula>
    </cfRule>
  </conditionalFormatting>
  <conditionalFormatting sqref="M22:M41 D22:D41 K22:K41 F22:G41">
    <cfRule type="cellIs" dxfId="410" priority="1" operator="equal">
      <formula>"C"</formula>
    </cfRule>
    <cfRule type="cellIs" dxfId="409" priority="2" operator="equal">
      <formula>"B"</formula>
    </cfRule>
    <cfRule type="cellIs" dxfId="408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topLeftCell="A13"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МАРТ!AE8</f>
        <v>51272.103228991735</v>
      </c>
      <c r="D4" s="222">
        <f>C4/C$18</f>
        <v>0.29161416640061072</v>
      </c>
      <c r="E4" s="222">
        <f>D4</f>
        <v>0.29161416640061072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МАРТ!R8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МАРТ!AE7</f>
        <v>20636.904843177108</v>
      </c>
      <c r="D5" s="222">
        <f>C5/C$18</f>
        <v>0.11737403819878685</v>
      </c>
      <c r="E5" s="222">
        <f>D5+E4</f>
        <v>0.40898820459939755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МАРТ!R7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МАРТ!AE13</f>
        <v>19846.812063875168</v>
      </c>
      <c r="D6" s="222">
        <f t="shared" ref="D6:D17" si="2">C6/C$18</f>
        <v>0.1128803226555361</v>
      </c>
      <c r="E6" s="222">
        <f t="shared" ref="E6:E11" si="3">D6+E5</f>
        <v>0.52186852725493371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МАРТ!R15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МАРТ!AE15</f>
        <v>18762.48305282955</v>
      </c>
      <c r="D7" s="222">
        <f t="shared" si="2"/>
        <v>0.10671311513436564</v>
      </c>
      <c r="E7" s="222">
        <f t="shared" si="3"/>
        <v>0.62858164238929937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МАРТ!R13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МАРТ!AE16</f>
        <v>12363.111818974592</v>
      </c>
      <c r="D8" s="222">
        <f t="shared" si="2"/>
        <v>7.0316182098206295E-2</v>
      </c>
      <c r="E8" s="222">
        <f t="shared" si="3"/>
        <v>0.6988978244875057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МАРТ!R16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МАРТ!AE6</f>
        <v>11311.816064982944</v>
      </c>
      <c r="D9" s="222">
        <f t="shared" si="2"/>
        <v>6.4336853854705944E-2</v>
      </c>
      <c r="E9" s="222">
        <f t="shared" si="3"/>
        <v>0.7632346783422117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МАРТ!R6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МАРТ!AE11</f>
        <v>11207.938616106143</v>
      </c>
      <c r="D10" s="222">
        <f t="shared" si="2"/>
        <v>6.3746042599572922E-2</v>
      </c>
      <c r="E10" s="222">
        <f t="shared" si="3"/>
        <v>0.82698072094178465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МАРТ!R11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МАРТ!AE9</f>
        <v>8445.1786280172673</v>
      </c>
      <c r="D11" s="222">
        <f t="shared" si="2"/>
        <v>4.8032625357973605E-2</v>
      </c>
      <c r="E11" s="222">
        <f t="shared" si="3"/>
        <v>0.87501334629975824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МАРТ!R4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МАРТ!AE5</f>
        <v>8048.0592318866466</v>
      </c>
      <c r="D12" s="222">
        <f t="shared" si="2"/>
        <v>4.5773977197063699E-2</v>
      </c>
      <c r="E12" s="222">
        <f>D12+E5</f>
        <v>0.45476218179646127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МАРТ!R12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МАРТ!AE10</f>
        <v>6801.6328678590671</v>
      </c>
      <c r="D13" s="222">
        <f t="shared" si="2"/>
        <v>3.8684828084098899E-2</v>
      </c>
      <c r="E13" s="222">
        <f t="shared" ref="E13:E16" si="7">D13+E12</f>
        <v>0.49344700988056017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МАРТ!R10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МАРТ!AE4</f>
        <v>5615.4297235676231</v>
      </c>
      <c r="D14" s="222">
        <f t="shared" si="2"/>
        <v>3.1938203324833388E-2</v>
      </c>
      <c r="E14" s="222">
        <f t="shared" si="7"/>
        <v>0.52538521320539355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МАРТ!R9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МАРТ!AE12</f>
        <v>4968.7463591148571</v>
      </c>
      <c r="D15" s="222">
        <f t="shared" si="2"/>
        <v>2.8260140238406256E-2</v>
      </c>
      <c r="E15" s="222">
        <f t="shared" si="7"/>
        <v>0.55364535344379984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МАРТ!R3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МАРТ!AE14</f>
        <v>1002.4466593257209</v>
      </c>
      <c r="D16" s="222">
        <f t="shared" si="2"/>
        <v>5.7014951310803818E-3</v>
      </c>
      <c r="E16" s="222">
        <f t="shared" si="7"/>
        <v>0.55934684857488026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МАРТ!R5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МАРТ!AE3</f>
        <v>-4460.9468757083723</v>
      </c>
      <c r="D17" s="222">
        <f t="shared" si="2"/>
        <v>-2.5371990275240508E-2</v>
      </c>
      <c r="E17" s="222">
        <f>D17+E14</f>
        <v>0.50001322293015305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МАРТ!R14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175821.71628300002</v>
      </c>
      <c r="D18" s="225">
        <f>SUM(D4:D17)</f>
        <v>1.0000000000000002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7" priority="4" operator="equal">
      <formula>"C"</formula>
    </cfRule>
    <cfRule type="cellIs" dxfId="406" priority="5" operator="equal">
      <formula>"B"</formula>
    </cfRule>
    <cfRule type="cellIs" dxfId="405" priority="6" operator="equal">
      <formula>"A"</formula>
    </cfRule>
  </conditionalFormatting>
  <conditionalFormatting sqref="M22:M41 D22:D41 K22:K41 F22:G41">
    <cfRule type="cellIs" dxfId="404" priority="1" operator="equal">
      <formula>"C"</formula>
    </cfRule>
    <cfRule type="cellIs" dxfId="403" priority="2" operator="equal">
      <formula>"B"</formula>
    </cfRule>
    <cfRule type="cellIs" dxfId="402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1" priority="4" operator="equal">
      <formula>"C"</formula>
    </cfRule>
    <cfRule type="cellIs" dxfId="400" priority="5" operator="equal">
      <formula>"B"</formula>
    </cfRule>
    <cfRule type="cellIs" dxfId="399" priority="6" operator="equal">
      <formula>"A"</formula>
    </cfRule>
  </conditionalFormatting>
  <conditionalFormatting sqref="M22:M41 D22:D41 K22:K41 F22:G41">
    <cfRule type="cellIs" dxfId="398" priority="1" operator="equal">
      <formula>"C"</formula>
    </cfRule>
    <cfRule type="cellIs" dxfId="397" priority="2" operator="equal">
      <formula>"B"</formula>
    </cfRule>
    <cfRule type="cellIs" dxfId="396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95" priority="4" operator="equal">
      <formula>"C"</formula>
    </cfRule>
    <cfRule type="cellIs" dxfId="394" priority="5" operator="equal">
      <formula>"B"</formula>
    </cfRule>
    <cfRule type="cellIs" dxfId="393" priority="6" operator="equal">
      <formula>"A"</formula>
    </cfRule>
  </conditionalFormatting>
  <conditionalFormatting sqref="M22:M41 D22:D41 K22:K41 F22:G41">
    <cfRule type="cellIs" dxfId="392" priority="1" operator="equal">
      <formula>"C"</formula>
    </cfRule>
    <cfRule type="cellIs" dxfId="391" priority="2" operator="equal">
      <formula>"B"</formula>
    </cfRule>
    <cfRule type="cellIs" dxfId="390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9" priority="4" operator="equal">
      <formula>"C"</formula>
    </cfRule>
    <cfRule type="cellIs" dxfId="388" priority="5" operator="equal">
      <formula>"B"</formula>
    </cfRule>
    <cfRule type="cellIs" dxfId="387" priority="6" operator="equal">
      <formula>"A"</formula>
    </cfRule>
  </conditionalFormatting>
  <conditionalFormatting sqref="M22:M41 D22:D41 K22:K41 F22:G41">
    <cfRule type="cellIs" dxfId="386" priority="1" operator="equal">
      <formula>"C"</formula>
    </cfRule>
    <cfRule type="cellIs" dxfId="385" priority="2" operator="equal">
      <formula>"B"</formula>
    </cfRule>
    <cfRule type="cellIs" dxfId="384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3" priority="4" operator="equal">
      <formula>"C"</formula>
    </cfRule>
    <cfRule type="cellIs" dxfId="382" priority="5" operator="equal">
      <formula>"B"</formula>
    </cfRule>
    <cfRule type="cellIs" dxfId="381" priority="6" operator="equal">
      <formula>"A"</formula>
    </cfRule>
  </conditionalFormatting>
  <conditionalFormatting sqref="M22:M41 D22:D41 K22:K41 F22:G41">
    <cfRule type="cellIs" dxfId="380" priority="1" operator="equal">
      <formula>"C"</formula>
    </cfRule>
    <cfRule type="cellIs" dxfId="379" priority="2" operator="equal">
      <formula>"B"</formula>
    </cfRule>
    <cfRule type="cellIs" dxfId="378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77" priority="4" operator="equal">
      <formula>"C"</formula>
    </cfRule>
    <cfRule type="cellIs" dxfId="376" priority="5" operator="equal">
      <formula>"B"</formula>
    </cfRule>
    <cfRule type="cellIs" dxfId="375" priority="6" operator="equal">
      <formula>"A"</formula>
    </cfRule>
  </conditionalFormatting>
  <conditionalFormatting sqref="M22:M41 D22:D41 K22:K41 F22:G41">
    <cfRule type="cellIs" dxfId="374" priority="1" operator="equal">
      <formula>"C"</formula>
    </cfRule>
    <cfRule type="cellIs" dxfId="373" priority="2" operator="equal">
      <formula>"B"</formula>
    </cfRule>
    <cfRule type="cellIs" dxfId="372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71" priority="4" operator="equal">
      <formula>"C"</formula>
    </cfRule>
    <cfRule type="cellIs" dxfId="370" priority="5" operator="equal">
      <formula>"B"</formula>
    </cfRule>
    <cfRule type="cellIs" dxfId="369" priority="6" operator="equal">
      <formula>"A"</formula>
    </cfRule>
  </conditionalFormatting>
  <conditionalFormatting sqref="M22:M41 D22:D41 K22:K41 F22:G41">
    <cfRule type="cellIs" dxfId="368" priority="1" operator="equal">
      <formula>"C"</formula>
    </cfRule>
    <cfRule type="cellIs" dxfId="367" priority="2" operator="equal">
      <formula>"B"</formula>
    </cfRule>
    <cfRule type="cellIs" dxfId="366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65" priority="4" operator="equal">
      <formula>"C"</formula>
    </cfRule>
    <cfRule type="cellIs" dxfId="364" priority="5" operator="equal">
      <formula>"B"</formula>
    </cfRule>
    <cfRule type="cellIs" dxfId="363" priority="6" operator="equal">
      <formula>"A"</formula>
    </cfRule>
  </conditionalFormatting>
  <conditionalFormatting sqref="M22:M41 D22:D41 K22:K41 F22:G41">
    <cfRule type="cellIs" dxfId="362" priority="1" operator="equal">
      <formula>"C"</formula>
    </cfRule>
    <cfRule type="cellIs" dxfId="361" priority="2" operator="equal">
      <formula>"B"</formula>
    </cfRule>
    <cfRule type="cellIs" dxfId="360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359" priority="4" operator="equal">
      <formula>"C"</formula>
    </cfRule>
    <cfRule type="cellIs" dxfId="358" priority="5" operator="equal">
      <formula>"B"</formula>
    </cfRule>
    <cfRule type="cellIs" dxfId="357" priority="6" operator="equal">
      <formula>"A"</formula>
    </cfRule>
  </conditionalFormatting>
  <conditionalFormatting sqref="M22:M41 D22:D41 K22:K41 F22:G41">
    <cfRule type="cellIs" dxfId="356" priority="1" operator="equal">
      <formula>"C"</formula>
    </cfRule>
    <cfRule type="cellIs" dxfId="355" priority="2" operator="equal">
      <formula>"B"</formula>
    </cfRule>
    <cfRule type="cellIs" dxfId="354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53" priority="4" operator="equal">
      <formula>"C"</formula>
    </cfRule>
    <cfRule type="cellIs" dxfId="352" priority="5" operator="equal">
      <formula>"B"</formula>
    </cfRule>
    <cfRule type="cellIs" dxfId="351" priority="6" operator="equal">
      <formula>"A"</formula>
    </cfRule>
  </conditionalFormatting>
  <conditionalFormatting sqref="M22:M41 D22:D41 K22:K41 F22:G41">
    <cfRule type="cellIs" dxfId="350" priority="1" operator="equal">
      <formula>"C"</formula>
    </cfRule>
    <cfRule type="cellIs" dxfId="349" priority="2" operator="equal">
      <formula>"B"</formula>
    </cfRule>
    <cfRule type="cellIs" dxfId="348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47" priority="4" operator="equal">
      <formula>"C"</formula>
    </cfRule>
    <cfRule type="cellIs" dxfId="346" priority="5" operator="equal">
      <formula>"B"</formula>
    </cfRule>
    <cfRule type="cellIs" dxfId="345" priority="6" operator="equal">
      <formula>"A"</formula>
    </cfRule>
  </conditionalFormatting>
  <conditionalFormatting sqref="M22:M41 D22:D41 K22:K41 F22:G41">
    <cfRule type="cellIs" dxfId="344" priority="1" operator="equal">
      <formula>"C"</formula>
    </cfRule>
    <cfRule type="cellIs" dxfId="343" priority="2" operator="equal">
      <formula>"B"</formula>
    </cfRule>
    <cfRule type="cellIs" dxfId="342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41" priority="4" operator="equal">
      <formula>"C"</formula>
    </cfRule>
    <cfRule type="cellIs" dxfId="340" priority="5" operator="equal">
      <formula>"B"</formula>
    </cfRule>
    <cfRule type="cellIs" dxfId="339" priority="6" operator="equal">
      <formula>"A"</formula>
    </cfRule>
  </conditionalFormatting>
  <conditionalFormatting sqref="M22:M41 D22:D41 K22:K41 F22:G41">
    <cfRule type="cellIs" dxfId="338" priority="1" operator="equal">
      <formula>"C"</formula>
    </cfRule>
    <cfRule type="cellIs" dxfId="337" priority="2" operator="equal">
      <formula>"B"</formula>
    </cfRule>
    <cfRule type="cellIs" dxfId="336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35" priority="4" operator="equal">
      <formula>"C"</formula>
    </cfRule>
    <cfRule type="cellIs" dxfId="334" priority="5" operator="equal">
      <formula>"B"</formula>
    </cfRule>
    <cfRule type="cellIs" dxfId="333" priority="6" operator="equal">
      <formula>"A"</formula>
    </cfRule>
  </conditionalFormatting>
  <conditionalFormatting sqref="M22:M41 D22:D41 K22:K41 F22:G41">
    <cfRule type="cellIs" dxfId="332" priority="1" operator="equal">
      <formula>"C"</formula>
    </cfRule>
    <cfRule type="cellIs" dxfId="331" priority="2" operator="equal">
      <formula>"B"</formula>
    </cfRule>
    <cfRule type="cellIs" dxfId="330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29" priority="4" operator="equal">
      <formula>"C"</formula>
    </cfRule>
    <cfRule type="cellIs" dxfId="328" priority="5" operator="equal">
      <formula>"B"</formula>
    </cfRule>
    <cfRule type="cellIs" dxfId="327" priority="6" operator="equal">
      <formula>"A"</formula>
    </cfRule>
  </conditionalFormatting>
  <conditionalFormatting sqref="M22:M41 D22:D41 K22:K41 F22:G41">
    <cfRule type="cellIs" dxfId="326" priority="1" operator="equal">
      <formula>"C"</formula>
    </cfRule>
    <cfRule type="cellIs" dxfId="325" priority="2" operator="equal">
      <formula>"B"</formula>
    </cfRule>
    <cfRule type="cellIs" dxfId="324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23" priority="4" operator="equal">
      <formula>"C"</formula>
    </cfRule>
    <cfRule type="cellIs" dxfId="322" priority="5" operator="equal">
      <formula>"B"</formula>
    </cfRule>
    <cfRule type="cellIs" dxfId="321" priority="6" operator="equal">
      <formula>"A"</formula>
    </cfRule>
  </conditionalFormatting>
  <conditionalFormatting sqref="M22:M41 D22:D41 K22:K41 F22:G41">
    <cfRule type="cellIs" dxfId="320" priority="1" operator="equal">
      <formula>"C"</formula>
    </cfRule>
    <cfRule type="cellIs" dxfId="319" priority="2" operator="equal">
      <formula>"B"</formula>
    </cfRule>
    <cfRule type="cellIs" dxfId="318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37" t="s">
        <v>1072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40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2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17" priority="4" operator="equal">
      <formula>"C"</formula>
    </cfRule>
    <cfRule type="cellIs" dxfId="316" priority="5" operator="equal">
      <formula>"B"</formula>
    </cfRule>
    <cfRule type="cellIs" dxfId="315" priority="6" operator="equal">
      <formula>"A"</formula>
    </cfRule>
  </conditionalFormatting>
  <conditionalFormatting sqref="M22:M41 D22:D41 K22:K41 F22:G41">
    <cfRule type="cellIs" dxfId="314" priority="1" operator="equal">
      <formula>"C"</formula>
    </cfRule>
    <cfRule type="cellIs" dxfId="313" priority="2" operator="equal">
      <formula>"B"</formula>
    </cfRule>
    <cfRule type="cellIs" dxfId="312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P9" activePane="bottomRight" state="frozen"/>
      <selection pane="topRight" activeCell="C1" sqref="C1"/>
      <selection pane="bottomLeft" activeCell="A3" sqref="A3"/>
      <selection pane="bottomRight" activeCell="AA28" sqref="AA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/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45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ЯНВАРЬ!P3+ФЕВРАЛЬ!P3+МАРТ!P3</f>
        <v>39</v>
      </c>
      <c r="Q3" s="32">
        <f>ЯНВАРЬ!Q3+ФЕВРАЛЬ!Q3+МАРТ!Q3</f>
        <v>2</v>
      </c>
      <c r="R3" s="40">
        <f t="shared" ref="R3:R7" si="1">P3-Q3</f>
        <v>37</v>
      </c>
      <c r="S3" s="32">
        <f>ЯНВАРЬ!S3+ФЕВРАЛЬ!S3+МАРТ!S3</f>
        <v>80566</v>
      </c>
      <c r="T3" s="32">
        <f>ЯНВАРЬ!T3+ФЕВРАЛЬ!T3+МАРТ!T3</f>
        <v>-4800</v>
      </c>
      <c r="U3" s="40">
        <f t="shared" ref="U3:U7" si="2">S3+T3</f>
        <v>75766</v>
      </c>
      <c r="V3" s="43">
        <f t="shared" ref="V3:V14" si="3">U3/$U$24</f>
        <v>2.5939602761102715E-2</v>
      </c>
      <c r="W3" s="44">
        <f t="shared" ref="W3:W7" si="4">R3*H3</f>
        <v>5290.2599999999993</v>
      </c>
      <c r="X3" s="32">
        <f>ЯНВАРЬ!X3+ФЕВРАЛЬ!X3+МАРТ!X3</f>
        <v>32579.379999999997</v>
      </c>
      <c r="Y3" s="45">
        <f t="shared" ref="Y3:Y16" si="5">IF(U3=0,0,X3/U3)</f>
        <v>0.42999999999999994</v>
      </c>
      <c r="Z3" s="32">
        <f>ЯНВАРЬ!Z3+ФЕВРАЛЬ!Z3+МАРТ!Z3</f>
        <v>8632.5999999999985</v>
      </c>
      <c r="AA3" s="32">
        <f>ЯНВАРЬ!AA3+ФЕВРАЛЬ!AA3+МАРТ!AA3</f>
        <v>22732.90137</v>
      </c>
      <c r="AB3" s="42"/>
      <c r="AC3" s="42"/>
      <c r="AD3" s="32">
        <f>ЯНВАРЬ!AD3+ФЕВРАЛЬ!AD3+МАРТ!AD3</f>
        <v>310.21873236938717</v>
      </c>
      <c r="AE3" s="47">
        <f t="shared" ref="AE3:AE7" si="6">U3-W3-X3-Z3-AA3-AB3-AC3-AD3</f>
        <v>6220.6398976306227</v>
      </c>
      <c r="AF3" s="46"/>
      <c r="AG3" s="48">
        <f t="shared" ref="AG3:AG7" si="7">IF(R3=0,0,U3/R3)</f>
        <v>2047.7297297297298</v>
      </c>
      <c r="AH3" s="49">
        <f t="shared" ref="AH3:AH7" si="8">H3</f>
        <v>142.97999999999999</v>
      </c>
      <c r="AI3" s="49">
        <f t="shared" ref="AI3:AI7" si="9">IF(R3=0,0,X3/R3)</f>
        <v>880.52378378378376</v>
      </c>
      <c r="AJ3" s="49">
        <f t="shared" ref="AJ3:AJ7" si="10">IF(P3=0,Z3/1,Z3/P3)</f>
        <v>221.3487179487179</v>
      </c>
      <c r="AK3" s="49">
        <f t="shared" ref="AK3:AK7" si="11">IF(P3=0,0,AA3/P3)</f>
        <v>582.89490692307686</v>
      </c>
      <c r="AL3" s="49">
        <f>_xlfn.IFS(R3=0,AE3,R3&lt;0,AE3/-R3,R3&gt;0,AE3/R3)</f>
        <v>168.12540263866549</v>
      </c>
      <c r="AM3" s="50">
        <f t="shared" ref="AM3:AM7" si="12">IF(AG3=0,0,AL3/AG3)</f>
        <v>8.2103316759900527E-2</v>
      </c>
      <c r="AN3" s="51">
        <f t="shared" ref="AN3:AN7" si="13">IF(AH3=0,0,AL3/AH3)</f>
        <v>1.1758665732176914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73</v>
      </c>
      <c r="L4" s="36"/>
      <c r="M4" s="36"/>
      <c r="N4" s="37" t="e">
        <f t="shared" ref="N4:N16" si="15">K4/$O$1</f>
        <v>#DIV/0!</v>
      </c>
      <c r="O4" s="38" t="e">
        <f t="shared" ref="O4:O16" si="16">R4/$O$1</f>
        <v>#DIV/0!</v>
      </c>
      <c r="P4" s="32">
        <f>ЯНВАРЬ!P4+ФЕВРАЛЬ!P4+МАРТ!P4</f>
        <v>52</v>
      </c>
      <c r="Q4" s="32">
        <f>ЯНВАРЬ!Q4+ФЕВРАЛЬ!Q4+МАРТ!Q4</f>
        <v>2</v>
      </c>
      <c r="R4" s="40">
        <f t="shared" si="1"/>
        <v>50</v>
      </c>
      <c r="S4" s="32">
        <f>ЯНВАРЬ!S4+ФЕВРАЛЬ!S4+МАРТ!S4</f>
        <v>106086</v>
      </c>
      <c r="T4" s="32">
        <f>ЯНВАРЬ!T4+ФЕВРАЛЬ!T4+МАРТ!T4</f>
        <v>-4677</v>
      </c>
      <c r="U4" s="40">
        <f t="shared" si="2"/>
        <v>101409</v>
      </c>
      <c r="V4" s="43">
        <f t="shared" si="3"/>
        <v>3.4718860391213281E-2</v>
      </c>
      <c r="W4" s="44">
        <f t="shared" si="4"/>
        <v>6154.5</v>
      </c>
      <c r="X4" s="32">
        <f>ЯНВАРЬ!X4+ФЕВРАЛЬ!X4+МАРТ!X4</f>
        <v>43605.87</v>
      </c>
      <c r="Y4" s="45">
        <f t="shared" si="5"/>
        <v>0.43000000000000005</v>
      </c>
      <c r="Z4" s="32">
        <f>ЯНВАРЬ!Z4+ФЕВРАЛЬ!Z4+МАРТ!Z4</f>
        <v>9687.8100000000013</v>
      </c>
      <c r="AA4" s="32">
        <f>ЯНВАРЬ!AA4+ФЕВРАЛЬ!AA4+МАРТ!AA4</f>
        <v>17341.056943</v>
      </c>
      <c r="AB4" s="42"/>
      <c r="AC4" s="42"/>
      <c r="AD4" s="32">
        <f>ЯНВАРЬ!AD4+ФЕВРАЛЬ!AD4+МАРТ!AD4</f>
        <v>418.85997190048147</v>
      </c>
      <c r="AE4" s="47">
        <f t="shared" si="6"/>
        <v>24200.903085099511</v>
      </c>
      <c r="AF4" s="46"/>
      <c r="AG4" s="48">
        <f t="shared" si="7"/>
        <v>2028.18</v>
      </c>
      <c r="AH4" s="49">
        <f t="shared" si="8"/>
        <v>123.09</v>
      </c>
      <c r="AI4" s="49">
        <f t="shared" si="9"/>
        <v>872.11740000000009</v>
      </c>
      <c r="AJ4" s="49">
        <f t="shared" si="10"/>
        <v>186.30403846153848</v>
      </c>
      <c r="AK4" s="49">
        <f t="shared" si="11"/>
        <v>333.48186428846151</v>
      </c>
      <c r="AL4" s="49">
        <f t="array" ref="AL4">_xlfn.IFS(R4=0,AE4,R4&lt;0,AE4/-R4,R4&gt;0,AE4/R4)</f>
        <v>484.01806170199023</v>
      </c>
      <c r="AM4" s="50">
        <f t="shared" si="12"/>
        <v>0.2386465016428474</v>
      </c>
      <c r="AN4" s="51">
        <f t="shared" si="13"/>
        <v>3.9322289520025202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27</v>
      </c>
      <c r="L5" s="36"/>
      <c r="M5" s="36"/>
      <c r="N5" s="37" t="e">
        <f t="shared" si="15"/>
        <v>#DIV/0!</v>
      </c>
      <c r="O5" s="38" t="e">
        <f t="shared" si="16"/>
        <v>#DIV/0!</v>
      </c>
      <c r="P5" s="32">
        <f>ЯНВАРЬ!P5+ФЕВРАЛЬ!P5+МАРТ!P5</f>
        <v>32</v>
      </c>
      <c r="Q5" s="32">
        <f>ЯНВАРЬ!Q5+ФЕВРАЛЬ!Q5+МАРТ!Q5</f>
        <v>2</v>
      </c>
      <c r="R5" s="40">
        <f t="shared" si="1"/>
        <v>30</v>
      </c>
      <c r="S5" s="32">
        <f>ЯНВАРЬ!S5+ФЕВРАЛЬ!S5+МАРТ!S5</f>
        <v>67567</v>
      </c>
      <c r="T5" s="32">
        <f>ЯНВАРЬ!T5+ФЕВРАЛЬ!T5+МАРТ!T5</f>
        <v>-4667</v>
      </c>
      <c r="U5" s="40">
        <f t="shared" si="2"/>
        <v>62900</v>
      </c>
      <c r="V5" s="43">
        <f t="shared" si="3"/>
        <v>2.1534738717542971E-2</v>
      </c>
      <c r="W5" s="44">
        <f t="shared" si="4"/>
        <v>3692.7000000000003</v>
      </c>
      <c r="X5" s="32">
        <f>ЯНВАРЬ!X5+ФЕВРАЛЬ!X5+МАРТ!X5</f>
        <v>27047</v>
      </c>
      <c r="Y5" s="45">
        <f t="shared" si="5"/>
        <v>0.43</v>
      </c>
      <c r="Z5" s="32">
        <f>ЯНВАРЬ!Z5+ФЕВРАЛЬ!Z5+МАРТ!Z5</f>
        <v>5155.79</v>
      </c>
      <c r="AA5" s="32">
        <f>ЯНВАРЬ!AA5+ФЕВРАЛЬ!AA5+МАРТ!AA5</f>
        <v>10432.55883</v>
      </c>
      <c r="AB5" s="55"/>
      <c r="AC5" s="42"/>
      <c r="AD5" s="32">
        <f>ЯНВАРЬ!AD5+ФЕВРАЛЬ!AD5+МАРТ!AD5</f>
        <v>263.28825181491607</v>
      </c>
      <c r="AE5" s="47">
        <f t="shared" si="6"/>
        <v>16308.662918185084</v>
      </c>
      <c r="AF5" s="46"/>
      <c r="AG5" s="48">
        <f t="shared" si="7"/>
        <v>2096.6666666666665</v>
      </c>
      <c r="AH5" s="49">
        <f t="shared" si="8"/>
        <v>123.09</v>
      </c>
      <c r="AI5" s="49">
        <f t="shared" si="9"/>
        <v>901.56666666666672</v>
      </c>
      <c r="AJ5" s="49">
        <f t="shared" si="10"/>
        <v>161.1184375</v>
      </c>
      <c r="AK5" s="49">
        <f t="shared" si="11"/>
        <v>326.0174634375</v>
      </c>
      <c r="AL5" s="49">
        <f t="array" ref="AL5">_xlfn.IFS(R5=0,AE5,R5&lt;0,AE5/-R5,R5&gt;0,AE5/R5)</f>
        <v>543.62209727283619</v>
      </c>
      <c r="AM5" s="50">
        <f t="shared" si="12"/>
        <v>0.25927921968497752</v>
      </c>
      <c r="AN5" s="51">
        <f t="shared" si="13"/>
        <v>4.4164602914358291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143</v>
      </c>
      <c r="L6" s="36"/>
      <c r="M6" s="36"/>
      <c r="N6" s="37" t="e">
        <f t="shared" si="15"/>
        <v>#DIV/0!</v>
      </c>
      <c r="O6" s="38" t="e">
        <f t="shared" si="16"/>
        <v>#DIV/0!</v>
      </c>
      <c r="P6" s="32">
        <f>ЯНВАРЬ!P6+ФЕВРАЛЬ!P6+МАРТ!P6</f>
        <v>142</v>
      </c>
      <c r="Q6" s="32">
        <f>ЯНВАРЬ!Q6+ФЕВРАЛЬ!Q6+МАРТ!Q6</f>
        <v>8</v>
      </c>
      <c r="R6" s="40">
        <f t="shared" si="1"/>
        <v>134</v>
      </c>
      <c r="S6" s="32">
        <f>ЯНВАРЬ!S6+ФЕВРАЛЬ!S6+МАРТ!S6</f>
        <v>272313</v>
      </c>
      <c r="T6" s="32">
        <f>ЯНВАРЬ!T6+ФЕВРАЛЬ!T6+МАРТ!T6</f>
        <v>-15361</v>
      </c>
      <c r="U6" s="40">
        <f t="shared" si="2"/>
        <v>256952</v>
      </c>
      <c r="V6" s="43">
        <f t="shared" si="3"/>
        <v>8.7971290666933252E-2</v>
      </c>
      <c r="W6" s="44">
        <f t="shared" si="4"/>
        <v>16494.060000000001</v>
      </c>
      <c r="X6" s="32">
        <f>ЯНВАРЬ!X6+ФЕВРАЛЬ!X6+МАРТ!X6</f>
        <v>110489.36</v>
      </c>
      <c r="Y6" s="45">
        <f t="shared" si="5"/>
        <v>0.43</v>
      </c>
      <c r="Z6" s="32">
        <f>ЯНВАРЬ!Z6+ФЕВРАЛЬ!Z6+МАРТ!Z6</f>
        <v>22587.769999999997</v>
      </c>
      <c r="AA6" s="32">
        <f>ЯНВАРЬ!AA6+ФЕВРАЛЬ!AA6+МАРТ!AA6</f>
        <v>57783.919177000003</v>
      </c>
      <c r="AB6" s="55"/>
      <c r="AC6" s="42"/>
      <c r="AD6" s="32">
        <f>ЯНВАРЬ!AD6+ФЕВРАЛЬ!AD6+МАРТ!AD6</f>
        <v>1027.0078985357939</v>
      </c>
      <c r="AE6" s="47">
        <f t="shared" si="6"/>
        <v>48569.882924464204</v>
      </c>
      <c r="AF6" s="46"/>
      <c r="AG6" s="48">
        <f t="shared" si="7"/>
        <v>1917.5522388059701</v>
      </c>
      <c r="AH6" s="49">
        <f t="shared" si="8"/>
        <v>123.09</v>
      </c>
      <c r="AI6" s="49">
        <f t="shared" si="9"/>
        <v>824.5474626865672</v>
      </c>
      <c r="AJ6" s="49">
        <f t="shared" si="10"/>
        <v>159.06880281690138</v>
      </c>
      <c r="AK6" s="49">
        <f t="shared" si="11"/>
        <v>406.9290082887324</v>
      </c>
      <c r="AL6" s="49">
        <f t="array" ref="AL6">_xlfn.IFS(R6=0,AE6,R6&lt;0,AE6/-R6,R6&gt;0,AE6/R6)</f>
        <v>362.46181286913583</v>
      </c>
      <c r="AM6" s="50">
        <f t="shared" si="12"/>
        <v>0.1890231752407617</v>
      </c>
      <c r="AN6" s="51">
        <f t="shared" si="13"/>
        <v>2.9446893563176197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170</v>
      </c>
      <c r="L7" s="36"/>
      <c r="M7" s="36"/>
      <c r="N7" s="37" t="e">
        <f t="shared" si="15"/>
        <v>#DIV/0!</v>
      </c>
      <c r="O7" s="38" t="e">
        <f t="shared" si="16"/>
        <v>#DIV/0!</v>
      </c>
      <c r="P7" s="32">
        <f>ЯНВАРЬ!P7+ФЕВРАЛЬ!P7+МАРТ!P7</f>
        <v>157</v>
      </c>
      <c r="Q7" s="32">
        <f>ЯНВАРЬ!Q7+ФЕВРАЛЬ!Q7+МАРТ!Q7</f>
        <v>7</v>
      </c>
      <c r="R7" s="40">
        <f t="shared" si="1"/>
        <v>150</v>
      </c>
      <c r="S7" s="32">
        <f>ЯНВАРЬ!S7+ФЕВРАЛЬ!S7+МАРТ!S7</f>
        <v>334845</v>
      </c>
      <c r="T7" s="32">
        <f>ЯНВАРЬ!T7+ФЕВРАЛЬ!T7+МАРТ!T7</f>
        <v>-15124</v>
      </c>
      <c r="U7" s="40">
        <f t="shared" si="2"/>
        <v>319721</v>
      </c>
      <c r="V7" s="43">
        <f t="shared" si="3"/>
        <v>0.10946117961067657</v>
      </c>
      <c r="W7" s="44">
        <f t="shared" si="4"/>
        <v>17586</v>
      </c>
      <c r="X7" s="32">
        <f>ЯНВАРЬ!X7+ФЕВРАЛЬ!X7+МАРТ!X7</f>
        <v>137480.03</v>
      </c>
      <c r="Y7" s="45">
        <f t="shared" si="5"/>
        <v>0.43</v>
      </c>
      <c r="Z7" s="32">
        <f>ЯНВАРЬ!Z7+ФЕВРАЛЬ!Z7+МАРТ!Z7</f>
        <v>29576.519999999997</v>
      </c>
      <c r="AA7" s="32">
        <f>ЯНВАРЬ!AA7+ФЕВРАЛЬ!AA7+МАРТ!AA7</f>
        <v>85742.159480000002</v>
      </c>
      <c r="AB7" s="55"/>
      <c r="AC7" s="42"/>
      <c r="AD7" s="32">
        <f>ЯНВАРЬ!AD7+ФЕВРАЛЬ!AD7+МАРТ!AD7</f>
        <v>1321.6479334047037</v>
      </c>
      <c r="AE7" s="47">
        <f t="shared" si="6"/>
        <v>48014.642586595306</v>
      </c>
      <c r="AF7" s="46"/>
      <c r="AG7" s="48">
        <f t="shared" si="7"/>
        <v>2131.4733333333334</v>
      </c>
      <c r="AH7" s="49">
        <f t="shared" si="8"/>
        <v>117.24</v>
      </c>
      <c r="AI7" s="49">
        <f t="shared" si="9"/>
        <v>916.53353333333337</v>
      </c>
      <c r="AJ7" s="49">
        <f t="shared" si="10"/>
        <v>188.38547770700634</v>
      </c>
      <c r="AK7" s="49">
        <f t="shared" si="11"/>
        <v>546.12840433121016</v>
      </c>
      <c r="AL7" s="49">
        <f t="array" ref="AL7">_xlfn.IFS(R7=0,AE7,R7&lt;0,AE7/-R7,R7&gt;0,AE7/R7)</f>
        <v>320.09761724396873</v>
      </c>
      <c r="AM7" s="50">
        <f t="shared" si="12"/>
        <v>0.15017669338765771</v>
      </c>
      <c r="AN7" s="51">
        <f t="shared" si="13"/>
        <v>2.730276503275066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</f>
        <v>224</v>
      </c>
      <c r="L8" s="36"/>
      <c r="M8" s="36"/>
      <c r="N8" s="37" t="e">
        <f t="shared" si="15"/>
        <v>#DIV/0!</v>
      </c>
      <c r="O8" s="38" t="e">
        <f t="shared" si="16"/>
        <v>#DIV/0!</v>
      </c>
      <c r="P8" s="32">
        <f>ЯНВАРЬ!P8+ФЕВРАЛЬ!P8+МАРТ!P8</f>
        <v>176</v>
      </c>
      <c r="Q8" s="32">
        <f>ЯНВАРЬ!Q8+ФЕВРАЛЬ!Q8+МАРТ!Q8</f>
        <v>6</v>
      </c>
      <c r="R8" s="40">
        <f>P8-Q8</f>
        <v>170</v>
      </c>
      <c r="S8" s="32">
        <f>ЯНВАРЬ!S8+ФЕВРАЛЬ!S8+МАРТ!S8</f>
        <v>384455.00000000006</v>
      </c>
      <c r="T8" s="32">
        <f>ЯНВАРЬ!T8+ФЕВРАЛЬ!T8+МАРТ!T8</f>
        <v>-12741</v>
      </c>
      <c r="U8" s="40">
        <f>S8+T8</f>
        <v>371714.00000000006</v>
      </c>
      <c r="V8" s="43">
        <f t="shared" si="3"/>
        <v>0.12726174670354165</v>
      </c>
      <c r="W8" s="44">
        <f>R8*H8</f>
        <v>28881.3</v>
      </c>
      <c r="X8" s="32">
        <f>ЯНВАРЬ!X8+ФЕВРАЛЬ!X8+МАРТ!X8</f>
        <v>159837.02000000002</v>
      </c>
      <c r="Y8" s="45">
        <f t="shared" si="5"/>
        <v>0.43</v>
      </c>
      <c r="Z8" s="32">
        <f>ЯНВАРЬ!Z8+ФЕВРАЛЬ!Z8+МАРТ!Z8</f>
        <v>30728.47</v>
      </c>
      <c r="AA8" s="32">
        <f>ЯНВАРЬ!AA8+ФЕВРАЛЬ!AA8+МАРТ!AA8</f>
        <v>67593.234122000009</v>
      </c>
      <c r="AB8" s="55"/>
      <c r="AC8" s="42"/>
      <c r="AD8" s="32">
        <f>ЯНВАРЬ!AD8+ФЕВРАЛЬ!AD8+МАРТ!AD8</f>
        <v>1562.6118929557774</v>
      </c>
      <c r="AE8" s="47">
        <f>U8-W8-X8-Z8-AA8-AB8-AC8-AD8</f>
        <v>83111.363985044271</v>
      </c>
      <c r="AF8" s="46"/>
      <c r="AG8" s="48">
        <f>IF(R8=0,0,U8/R8)</f>
        <v>2186.552941176471</v>
      </c>
      <c r="AH8" s="49">
        <f>H8</f>
        <v>169.89</v>
      </c>
      <c r="AI8" s="49">
        <f>IF(R8=0,0,X8/R8)</f>
        <v>940.21776470588247</v>
      </c>
      <c r="AJ8" s="49">
        <f>IF(P8=0,Z8/1,Z8/P8)</f>
        <v>174.59357954545456</v>
      </c>
      <c r="AK8" s="49">
        <f>IF(P8=0,0,AA8/P8)</f>
        <v>384.05246660227277</v>
      </c>
      <c r="AL8" s="49">
        <f t="array" ref="AL8">_xlfn.IFS(R8=0,AE8,R8&lt;0,AE8/-R8,R8&gt;0,AE8/R8)</f>
        <v>488.89037638261334</v>
      </c>
      <c r="AM8" s="50">
        <f>IF(AG8=0,0,AL8/AG8)</f>
        <v>0.22358954460968447</v>
      </c>
      <c r="AN8" s="51">
        <f>IF(AH8=0,0,AL8/AH8)</f>
        <v>2.8776877766944104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31</v>
      </c>
      <c r="L9" s="36"/>
      <c r="M9" s="36"/>
      <c r="N9" s="37" t="e">
        <f t="shared" si="15"/>
        <v>#DIV/0!</v>
      </c>
      <c r="O9" s="38" t="e">
        <f t="shared" si="16"/>
        <v>#DIV/0!</v>
      </c>
      <c r="P9" s="32">
        <f>ЯНВАРЬ!P9+ФЕВРАЛЬ!P9+МАРТ!P9</f>
        <v>29</v>
      </c>
      <c r="Q9" s="32">
        <f>ЯНВАРЬ!Q9+ФЕВРАЛЬ!Q9+МАРТ!Q9</f>
        <v>3</v>
      </c>
      <c r="R9" s="40">
        <f t="shared" ref="R9:R16" si="17">P9-Q9</f>
        <v>26</v>
      </c>
      <c r="S9" s="32">
        <f>ЯНВАРЬ!S9+ФЕВРАЛЬ!S9+МАРТ!S9</f>
        <v>66501</v>
      </c>
      <c r="T9" s="32">
        <f>ЯНВАРЬ!T9+ФЕВРАЛЬ!T9+МАРТ!T9</f>
        <v>-6800</v>
      </c>
      <c r="U9" s="40">
        <f t="shared" ref="U9:U16" si="18">S9+T9</f>
        <v>59701</v>
      </c>
      <c r="V9" s="43">
        <f t="shared" si="3"/>
        <v>2.0439514088649174E-2</v>
      </c>
      <c r="W9" s="44">
        <f t="shared" ref="W9:W16" si="19">R9*H9</f>
        <v>3198</v>
      </c>
      <c r="X9" s="32">
        <f>ЯНВАРЬ!X9+ФЕВРАЛЬ!X9+МАРТ!X9</f>
        <v>25671.43</v>
      </c>
      <c r="Y9" s="45">
        <f t="shared" si="5"/>
        <v>0.43</v>
      </c>
      <c r="Z9" s="32">
        <f>ЯНВАРЬ!Z9+ФЕВРАЛЬ!Z9+МАРТ!Z9</f>
        <v>8229.8000000000029</v>
      </c>
      <c r="AA9" s="32">
        <f>ЯНВАРЬ!AA9+ФЕВРАЛЬ!AA9+МАРТ!AA9</f>
        <v>9515.8466759999992</v>
      </c>
      <c r="AB9" s="55"/>
      <c r="AC9" s="42"/>
      <c r="AD9" s="32">
        <f>ЯНВАРЬ!AD9+ФЕВРАЛЬ!AD9+МАРТ!AD9</f>
        <v>251.96895208514402</v>
      </c>
      <c r="AE9" s="47">
        <f t="shared" ref="AE9:AE16" si="20">U9-W9-X9-Z9-AA9-AB9-AC9-AD9</f>
        <v>12833.954371914853</v>
      </c>
      <c r="AF9" s="46"/>
      <c r="AG9" s="48">
        <f t="shared" ref="AG9:AG16" si="21">IF(R9=0,0,U9/R9)</f>
        <v>2296.1923076923076</v>
      </c>
      <c r="AH9" s="49">
        <f t="shared" ref="AH9:AH16" si="22">H9</f>
        <v>123</v>
      </c>
      <c r="AI9" s="49">
        <f t="shared" ref="AI9:AI16" si="23">IF(R9=0,0,X9/R9)</f>
        <v>987.36269230769233</v>
      </c>
      <c r="AJ9" s="49">
        <f t="shared" ref="AJ9:AJ16" si="24">IF(P9=0,Z9/1,Z9/P9)</f>
        <v>283.78620689655185</v>
      </c>
      <c r="AK9" s="49">
        <f t="shared" ref="AK9:AK16" si="25">IF(P9=0,0,AA9/P9)</f>
        <v>328.13264399999997</v>
      </c>
      <c r="AL9" s="49">
        <f t="array" ref="AL9">_xlfn.IFS(R9=0,AE9,R9&lt;0,AE9/-R9,R9&gt;0,AE9/R9)</f>
        <v>493.61362968903279</v>
      </c>
      <c r="AM9" s="50">
        <f t="shared" ref="AM9:AM16" si="26">IF(AG9=0,0,AL9/AG9)</f>
        <v>0.21497050923627498</v>
      </c>
      <c r="AN9" s="51">
        <f t="shared" ref="AN9:AN16" si="27">IF(AH9=0,0,AL9/AH9)</f>
        <v>4.0131189405612426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</f>
        <v>27</v>
      </c>
      <c r="L10" s="36"/>
      <c r="M10" s="36"/>
      <c r="N10" s="37" t="e">
        <f t="shared" si="15"/>
        <v>#DIV/0!</v>
      </c>
      <c r="O10" s="38" t="e">
        <f t="shared" si="16"/>
        <v>#DIV/0!</v>
      </c>
      <c r="P10" s="32">
        <f>ЯНВАРЬ!P10+ФЕВРАЛЬ!P10+МАРТ!P10</f>
        <v>40</v>
      </c>
      <c r="Q10" s="32">
        <f>ЯНВАРЬ!Q10+ФЕВРАЛЬ!Q10+МАРТ!Q10</f>
        <v>0</v>
      </c>
      <c r="R10" s="40">
        <f t="shared" si="17"/>
        <v>40</v>
      </c>
      <c r="S10" s="32">
        <f>ЯНВАРЬ!S10+ФЕВРАЛЬ!S10+МАРТ!S10</f>
        <v>89006</v>
      </c>
      <c r="T10" s="32">
        <f>ЯНВАРЬ!T10+ФЕВРАЛЬ!T10+МАРТ!T10</f>
        <v>0</v>
      </c>
      <c r="U10" s="40">
        <f t="shared" si="18"/>
        <v>89006</v>
      </c>
      <c r="V10" s="43">
        <f t="shared" si="3"/>
        <v>3.047251119703704E-2</v>
      </c>
      <c r="W10" s="44">
        <f t="shared" si="19"/>
        <v>4920</v>
      </c>
      <c r="X10" s="32">
        <f>ЯНВАРЬ!X10+ФЕВРАЛЬ!X10+МАРТ!X10</f>
        <v>38272.58</v>
      </c>
      <c r="Y10" s="45">
        <f t="shared" si="5"/>
        <v>0.43</v>
      </c>
      <c r="Z10" s="32">
        <f>ЯНВАРЬ!Z10+ФЕВРАЛЬ!Z10+МАРТ!Z10</f>
        <v>8312.6500000000015</v>
      </c>
      <c r="AA10" s="32">
        <f>ЯНВАРЬ!AA10+ФЕВРАЛЬ!AA10+МАРТ!AA10</f>
        <v>17478.822908000002</v>
      </c>
      <c r="AB10" s="55"/>
      <c r="AC10" s="42"/>
      <c r="AD10" s="32">
        <f>ЯНВАРЬ!AD10+ФЕВРАЛЬ!AD10+МАРТ!AD10</f>
        <v>381.43893619557343</v>
      </c>
      <c r="AE10" s="47">
        <f t="shared" si="20"/>
        <v>19640.508155804422</v>
      </c>
      <c r="AF10" s="46"/>
      <c r="AG10" s="48">
        <f t="shared" si="21"/>
        <v>2225.15</v>
      </c>
      <c r="AH10" s="49">
        <f t="shared" si="22"/>
        <v>123</v>
      </c>
      <c r="AI10" s="49">
        <f t="shared" si="23"/>
        <v>956.81450000000007</v>
      </c>
      <c r="AJ10" s="49">
        <f t="shared" si="24"/>
        <v>207.81625000000003</v>
      </c>
      <c r="AK10" s="49">
        <f t="shared" si="25"/>
        <v>436.97057270000005</v>
      </c>
      <c r="AL10" s="49">
        <f t="array" ref="AL10">_xlfn.IFS(R10=0,AE10,R10&lt;0,AE10/-R10,R10&gt;0,AE10/R10)</f>
        <v>491.01270389511058</v>
      </c>
      <c r="AM10" s="50">
        <f t="shared" si="26"/>
        <v>0.22066499062764783</v>
      </c>
      <c r="AN10" s="51">
        <f t="shared" si="27"/>
        <v>3.9919732023992731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</f>
        <v>290</v>
      </c>
      <c r="L11" s="36"/>
      <c r="M11" s="36"/>
      <c r="N11" s="37" t="e">
        <f t="shared" si="15"/>
        <v>#DIV/0!</v>
      </c>
      <c r="O11" s="38" t="e">
        <f t="shared" si="16"/>
        <v>#DIV/0!</v>
      </c>
      <c r="P11" s="32">
        <f>ЯНВАРЬ!P11+ФЕВРАЛЬ!P11+МАРТ!P11</f>
        <v>303</v>
      </c>
      <c r="Q11" s="32">
        <f>ЯНВАРЬ!Q11+ФЕВРАЛЬ!Q11+МАРТ!Q11</f>
        <v>10</v>
      </c>
      <c r="R11" s="40">
        <f t="shared" si="17"/>
        <v>293</v>
      </c>
      <c r="S11" s="32">
        <f>ЯНВАРЬ!S11+ФЕВРАЛЬ!S11+МАРТ!S11</f>
        <v>576954</v>
      </c>
      <c r="T11" s="32">
        <f>ЯНВАРЬ!T11+ФЕВРАЛЬ!T11+МАРТ!T11</f>
        <v>-19758</v>
      </c>
      <c r="U11" s="40">
        <f t="shared" si="18"/>
        <v>557196</v>
      </c>
      <c r="V11" s="43">
        <f t="shared" si="3"/>
        <v>0.19076423329825237</v>
      </c>
      <c r="W11" s="44">
        <f t="shared" si="19"/>
        <v>36039</v>
      </c>
      <c r="X11" s="32">
        <f>ЯНВАРЬ!X11+ФЕВРАЛЬ!X11+МАРТ!X11</f>
        <v>239594.27999999997</v>
      </c>
      <c r="Y11" s="45">
        <f t="shared" si="5"/>
        <v>0.42999999999999994</v>
      </c>
      <c r="Z11" s="32">
        <f>ЯНВАРЬ!Z11+ФЕВРАЛЬ!Z11+МАРТ!Z11</f>
        <v>57420.899999999987</v>
      </c>
      <c r="AA11" s="32">
        <f>ЯНВАРЬ!AA11+ФЕВРАЛЬ!AA11+МАРТ!AA11</f>
        <v>134522.13443199999</v>
      </c>
      <c r="AB11" s="55"/>
      <c r="AC11" s="42"/>
      <c r="AD11" s="32">
        <f>ЯНВАРЬ!AD11+ФЕВРАЛЬ!AD11+МАРТ!AD11</f>
        <v>2259.5143049052358</v>
      </c>
      <c r="AE11" s="47">
        <f t="shared" si="20"/>
        <v>87360.171263094802</v>
      </c>
      <c r="AF11" s="46"/>
      <c r="AG11" s="48">
        <f t="shared" si="21"/>
        <v>1901.6928327645051</v>
      </c>
      <c r="AH11" s="49">
        <f t="shared" si="22"/>
        <v>123</v>
      </c>
      <c r="AI11" s="49">
        <f t="shared" si="23"/>
        <v>817.72791808873706</v>
      </c>
      <c r="AJ11" s="49">
        <f t="shared" si="24"/>
        <v>189.50792079207918</v>
      </c>
      <c r="AK11" s="49">
        <f t="shared" si="25"/>
        <v>443.96744036963696</v>
      </c>
      <c r="AL11" s="49">
        <f t="array" ref="AL11">_xlfn.IFS(R11=0,AE11,R11&lt;0,AE11/-R11,R11&gt;0,AE11/R11)</f>
        <v>298.15758110271264</v>
      </c>
      <c r="AM11" s="50">
        <f t="shared" si="26"/>
        <v>0.15678535248475367</v>
      </c>
      <c r="AN11" s="51">
        <f t="shared" si="27"/>
        <v>2.4240453748188018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</f>
        <v>33</v>
      </c>
      <c r="L12" s="36"/>
      <c r="M12" s="36"/>
      <c r="N12" s="37" t="e">
        <f t="shared" si="15"/>
        <v>#DIV/0!</v>
      </c>
      <c r="O12" s="38" t="e">
        <f t="shared" si="16"/>
        <v>#DIV/0!</v>
      </c>
      <c r="P12" s="32">
        <f>ЯНВАРЬ!P12+ФЕВРАЛЬ!P12+МАРТ!P12</f>
        <v>38</v>
      </c>
      <c r="Q12" s="32">
        <f>ЯНВАРЬ!Q12+ФЕВРАЛЬ!Q12+МАРТ!Q12</f>
        <v>1</v>
      </c>
      <c r="R12" s="40">
        <f t="shared" si="17"/>
        <v>37</v>
      </c>
      <c r="S12" s="32">
        <f>ЯНВАРЬ!S12+ФЕВРАЛЬ!S12+МАРТ!S12</f>
        <v>88406</v>
      </c>
      <c r="T12" s="32">
        <f>ЯНВАРЬ!T12+ФЕВРАЛЬ!T12+МАРТ!T12</f>
        <v>-2393</v>
      </c>
      <c r="U12" s="40">
        <f t="shared" si="18"/>
        <v>86013</v>
      </c>
      <c r="V12" s="43">
        <f t="shared" si="3"/>
        <v>2.9447813693354908E-2</v>
      </c>
      <c r="W12" s="44">
        <f t="shared" si="19"/>
        <v>4329</v>
      </c>
      <c r="X12" s="32">
        <f>ЯНВАРЬ!X12+ФЕВРАЛЬ!X12+МАРТ!X12</f>
        <v>36985.589999999997</v>
      </c>
      <c r="Y12" s="45">
        <f t="shared" si="5"/>
        <v>0.42999999999999994</v>
      </c>
      <c r="Z12" s="32">
        <f>ЯНВАРЬ!Z12+ФЕВРАЛЬ!Z12+МАРТ!Z12</f>
        <v>8481.4900000000016</v>
      </c>
      <c r="AA12" s="32">
        <f>ЯНВАРЬ!AA12+ФЕВРАЛЬ!AA12+МАРТ!AA12</f>
        <v>27375.352445999997</v>
      </c>
      <c r="AB12" s="55"/>
      <c r="AC12" s="42"/>
      <c r="AD12" s="32">
        <f>ЯНВАРЬ!AD12+ФЕВРАЛЬ!AD12+МАРТ!AD12</f>
        <v>365.7622385594043</v>
      </c>
      <c r="AE12" s="47">
        <f t="shared" si="20"/>
        <v>8475.805315440597</v>
      </c>
      <c r="AF12" s="46"/>
      <c r="AG12" s="48">
        <f t="shared" si="21"/>
        <v>2324.6756756756758</v>
      </c>
      <c r="AH12" s="49">
        <f t="shared" si="22"/>
        <v>117</v>
      </c>
      <c r="AI12" s="49">
        <f t="shared" si="23"/>
        <v>999.61054054054046</v>
      </c>
      <c r="AJ12" s="49">
        <f t="shared" si="24"/>
        <v>223.19710526315794</v>
      </c>
      <c r="AK12" s="49">
        <f t="shared" si="25"/>
        <v>720.40401173684199</v>
      </c>
      <c r="AL12" s="49">
        <f t="array" ref="AL12">_xlfn.IFS(R12=0,AE12,R12&lt;0,AE12/-R12,R12&gt;0,AE12/R12)</f>
        <v>229.07581933623234</v>
      </c>
      <c r="AM12" s="50">
        <f t="shared" si="26"/>
        <v>9.8540980031397538E-2</v>
      </c>
      <c r="AN12" s="51">
        <f t="shared" si="27"/>
        <v>1.9579129857797637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</f>
        <v>47</v>
      </c>
      <c r="L13" s="36"/>
      <c r="M13" s="36"/>
      <c r="N13" s="37" t="e">
        <f t="shared" si="15"/>
        <v>#DIV/0!</v>
      </c>
      <c r="O13" s="38" t="e">
        <f t="shared" si="16"/>
        <v>#DIV/0!</v>
      </c>
      <c r="P13" s="32">
        <f>ЯНВАРЬ!P13+ФЕВРАЛЬ!P13+МАРТ!P13</f>
        <v>69</v>
      </c>
      <c r="Q13" s="32">
        <f>ЯНВАРЬ!Q13+ФЕВРАЛЬ!Q13+МАРТ!Q13</f>
        <v>3</v>
      </c>
      <c r="R13" s="40">
        <f t="shared" si="17"/>
        <v>66</v>
      </c>
      <c r="S13" s="32">
        <f>ЯНВАРЬ!S13+ФЕВРАЛЬ!S13+МАРТ!S13</f>
        <v>162951</v>
      </c>
      <c r="T13" s="32">
        <f>ЯНВАРЬ!T13+ФЕВРАЛЬ!T13+МАРТ!T13</f>
        <v>-7200</v>
      </c>
      <c r="U13" s="40">
        <f t="shared" si="18"/>
        <v>155751</v>
      </c>
      <c r="V13" s="43">
        <f t="shared" si="3"/>
        <v>5.3323642130302627E-2</v>
      </c>
      <c r="W13" s="44">
        <f t="shared" si="19"/>
        <v>8118</v>
      </c>
      <c r="X13" s="32">
        <f>ЯНВАРЬ!X13+ФЕВРАЛЬ!X13+МАРТ!X13</f>
        <v>66972.929999999993</v>
      </c>
      <c r="Y13" s="45">
        <f t="shared" si="5"/>
        <v>0.42999999999999994</v>
      </c>
      <c r="Z13" s="32">
        <f>ЯНВАРЬ!Z13+ФЕВРАЛЬ!Z13+МАРТ!Z13</f>
        <v>15333.11</v>
      </c>
      <c r="AA13" s="32">
        <f>ЯНВАРЬ!AA13+ФЕВРАЛЬ!AA13+МАРТ!AA13</f>
        <v>31352.586705000002</v>
      </c>
      <c r="AB13" s="55"/>
      <c r="AC13" s="42"/>
      <c r="AD13" s="32">
        <f>ЯНВАРЬ!AD13+ФЕВРАЛЬ!AD13+МАРТ!AD13</f>
        <v>658.92829005355679</v>
      </c>
      <c r="AE13" s="47">
        <f t="shared" si="20"/>
        <v>33315.44500494645</v>
      </c>
      <c r="AF13" s="46"/>
      <c r="AG13" s="48">
        <f t="shared" si="21"/>
        <v>2359.8636363636365</v>
      </c>
      <c r="AH13" s="49">
        <f t="shared" si="22"/>
        <v>123</v>
      </c>
      <c r="AI13" s="49">
        <f t="shared" si="23"/>
        <v>1014.7413636363635</v>
      </c>
      <c r="AJ13" s="49">
        <f t="shared" si="24"/>
        <v>222.21898550724637</v>
      </c>
      <c r="AK13" s="49">
        <f t="shared" si="25"/>
        <v>454.38531456521741</v>
      </c>
      <c r="AL13" s="49">
        <f t="array" ref="AL13">_xlfn.IFS(R13=0,AE13,R13&lt;0,AE13/-R13,R13&gt;0,AE13/R13)</f>
        <v>504.7794697719159</v>
      </c>
      <c r="AM13" s="50">
        <f t="shared" si="26"/>
        <v>0.21390196534819325</v>
      </c>
      <c r="AN13" s="51">
        <f t="shared" si="27"/>
        <v>4.1038981282269589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</f>
        <v>4</v>
      </c>
      <c r="N14" s="37" t="e">
        <f t="shared" si="15"/>
        <v>#DIV/0!</v>
      </c>
      <c r="O14" s="38" t="e">
        <f t="shared" si="16"/>
        <v>#DIV/0!</v>
      </c>
      <c r="P14" s="32">
        <f>ЯНВАРЬ!P14+ФЕВРАЛЬ!P14+МАРТ!P14</f>
        <v>25</v>
      </c>
      <c r="Q14" s="32">
        <f>ЯНВАРЬ!Q14+ФЕВРАЛЬ!Q14+МАРТ!Q14</f>
        <v>1</v>
      </c>
      <c r="R14" s="40">
        <f t="shared" si="17"/>
        <v>24</v>
      </c>
      <c r="S14" s="32">
        <f>ЯНВАРЬ!S14+ФЕВРАЛЬ!S14+МАРТ!S14</f>
        <v>54690</v>
      </c>
      <c r="T14" s="32">
        <f>ЯНВАРЬ!T14+ФЕВРАЛЬ!T14+МАРТ!T14</f>
        <v>-2000</v>
      </c>
      <c r="U14" s="40">
        <f t="shared" si="18"/>
        <v>52690</v>
      </c>
      <c r="V14" s="43">
        <f t="shared" si="3"/>
        <v>1.8039195278654042E-2</v>
      </c>
      <c r="W14" s="44">
        <f t="shared" si="19"/>
        <v>2952</v>
      </c>
      <c r="X14" s="32">
        <f>ЯНВАРЬ!X14+ФЕВРАЛЬ!X14+МАРТ!X14</f>
        <v>22656.7</v>
      </c>
      <c r="Y14" s="45">
        <f t="shared" si="5"/>
        <v>0.43</v>
      </c>
      <c r="Z14" s="32">
        <f>ЯНВАРЬ!Z14+ФЕВРАЛЬ!Z14+МАРТ!Z14</f>
        <v>4957.09</v>
      </c>
      <c r="AA14" s="32">
        <f>ЯНВАРЬ!AA14+ФЕВРАЛЬ!AA14+МАРТ!AA14</f>
        <v>12197.994333000001</v>
      </c>
      <c r="AB14" s="55"/>
      <c r="AC14" s="42"/>
      <c r="AD14" s="32">
        <f>ЯНВАРЬ!AD14+ФЕВРАЛЬ!AD14+МАРТ!AD14</f>
        <v>227.86429090052332</v>
      </c>
      <c r="AE14" s="47">
        <f t="shared" si="20"/>
        <v>9698.3513760994756</v>
      </c>
      <c r="AG14" s="48">
        <f t="shared" si="21"/>
        <v>2195.4166666666665</v>
      </c>
      <c r="AH14" s="49">
        <f t="shared" si="22"/>
        <v>123</v>
      </c>
      <c r="AI14" s="49">
        <f t="shared" si="23"/>
        <v>944.0291666666667</v>
      </c>
      <c r="AJ14" s="49">
        <f t="shared" si="24"/>
        <v>198.28360000000001</v>
      </c>
      <c r="AK14" s="49">
        <f t="shared" si="25"/>
        <v>487.91977332000005</v>
      </c>
      <c r="AL14" s="49">
        <f t="array" ref="AL14">_xlfn.IFS(R14=0,AE14,R14&lt;0,AE14/-R14,R14&gt;0,AE14/R14)</f>
        <v>404.09797400414482</v>
      </c>
      <c r="AM14" s="50">
        <f t="shared" si="26"/>
        <v>0.18406436470107185</v>
      </c>
      <c r="AN14" s="51">
        <f t="shared" si="27"/>
        <v>3.285349382147519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</f>
        <v>302</v>
      </c>
      <c r="L15" s="36"/>
      <c r="M15" s="36"/>
      <c r="N15" s="37" t="e">
        <f t="shared" si="15"/>
        <v>#DIV/0!</v>
      </c>
      <c r="O15" s="38" t="e">
        <f t="shared" si="16"/>
        <v>#DIV/0!</v>
      </c>
      <c r="P15" s="32">
        <f>ЯНВАРЬ!P15+ФЕВРАЛЬ!P15+МАРТ!P15</f>
        <v>304</v>
      </c>
      <c r="Q15" s="32">
        <f>ЯНВАРЬ!Q15+ФЕВРАЛЬ!Q15+МАРТ!Q15</f>
        <v>14</v>
      </c>
      <c r="R15" s="40">
        <f t="shared" si="17"/>
        <v>290</v>
      </c>
      <c r="S15" s="32">
        <f>ЯНВАРЬ!S15+ФЕВРАЛЬ!S15+МАРТ!S15</f>
        <v>610614</v>
      </c>
      <c r="T15" s="32">
        <f>ЯНВАРЬ!T15+ФЕВРАЛЬ!T15+МАРТ!T15</f>
        <v>-29059</v>
      </c>
      <c r="U15" s="40">
        <f t="shared" si="18"/>
        <v>581555</v>
      </c>
      <c r="V15" s="43">
        <f>U15/$U$24</f>
        <v>0.19910389467218922</v>
      </c>
      <c r="W15" s="44">
        <f t="shared" si="19"/>
        <v>35670</v>
      </c>
      <c r="X15" s="32">
        <f>ЯНВАРЬ!X15+ФЕВРАЛЬ!X15+МАРТ!X15</f>
        <v>250068.64999999997</v>
      </c>
      <c r="Y15" s="45">
        <f t="shared" si="5"/>
        <v>0.42999999999999994</v>
      </c>
      <c r="Z15" s="32">
        <f>ЯНВАРЬ!Z15+ФЕВРАЛЬ!Z15+МАРТ!Z15</f>
        <v>62260.579999999994</v>
      </c>
      <c r="AA15" s="32">
        <f>ЯНВАРЬ!AA15+ФЕВРАЛЬ!AA15+МАРТ!AA15</f>
        <v>137675.35494399999</v>
      </c>
      <c r="AB15" s="55"/>
      <c r="AC15" s="42"/>
      <c r="AD15" s="32">
        <f>ЯНВАРЬ!AD15+ФЕВРАЛЬ!AD15+МАРТ!AD15</f>
        <v>2345.527189154564</v>
      </c>
      <c r="AE15" s="47">
        <f t="shared" si="20"/>
        <v>93534.887866845485</v>
      </c>
      <c r="AF15" s="46"/>
      <c r="AG15" s="48">
        <f t="shared" si="21"/>
        <v>2005.3620689655172</v>
      </c>
      <c r="AH15" s="49">
        <f t="shared" si="22"/>
        <v>123</v>
      </c>
      <c r="AI15" s="49">
        <f t="shared" si="23"/>
        <v>862.30568965517227</v>
      </c>
      <c r="AJ15" s="49">
        <f t="shared" si="24"/>
        <v>204.8045394736842</v>
      </c>
      <c r="AK15" s="49">
        <f t="shared" si="25"/>
        <v>452.87945705263155</v>
      </c>
      <c r="AL15" s="49">
        <f t="array" ref="AL15">_xlfn.IFS(R15=0,AE15,R15&lt;0,AE15/-R15,R15&gt;0,AE15/R15)</f>
        <v>322.53409609257062</v>
      </c>
      <c r="AM15" s="50">
        <f t="shared" si="26"/>
        <v>0.16083584160886844</v>
      </c>
      <c r="AN15" s="51">
        <f t="shared" si="27"/>
        <v>2.6222284235168343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</f>
        <v>55</v>
      </c>
      <c r="N16" s="37" t="e">
        <f t="shared" si="15"/>
        <v>#DIV/0!</v>
      </c>
      <c r="O16" s="38" t="e">
        <f t="shared" si="16"/>
        <v>#DIV/0!</v>
      </c>
      <c r="P16" s="32">
        <f>ЯНВАРЬ!P16+ФЕВРАЛЬ!P16+МАРТ!P16</f>
        <v>66</v>
      </c>
      <c r="Q16" s="32">
        <f>ЯНВАРЬ!Q16+ФЕВРАЛЬ!Q16+МАРТ!Q16</f>
        <v>3</v>
      </c>
      <c r="R16" s="40">
        <f t="shared" si="17"/>
        <v>63</v>
      </c>
      <c r="S16" s="32">
        <f>ЯНВАРЬ!S16+ФЕВРАЛЬ!S16+МАРТ!S16</f>
        <v>157310</v>
      </c>
      <c r="T16" s="32">
        <f>ЯНВАРЬ!T16+ФЕВРАЛЬ!T16+МАРТ!T16</f>
        <v>-6822</v>
      </c>
      <c r="U16" s="40">
        <f t="shared" si="18"/>
        <v>150488</v>
      </c>
      <c r="V16" s="43">
        <f>U16/$U$24</f>
        <v>5.1521776790550186E-2</v>
      </c>
      <c r="W16" s="44">
        <f t="shared" si="19"/>
        <v>7371</v>
      </c>
      <c r="X16" s="32">
        <f>ЯНВАРЬ!X16+ФЕВРАЛЬ!X16+МАРТ!X16</f>
        <v>64709.84</v>
      </c>
      <c r="Y16" s="45">
        <f t="shared" si="5"/>
        <v>0.43</v>
      </c>
      <c r="Z16" s="32">
        <f>ЯНВАРЬ!Z16+ФЕВРАЛЬ!Z16+МАРТ!Z16</f>
        <v>13436.04</v>
      </c>
      <c r="AA16" s="32">
        <f>ЯНВАРЬ!AA16+ФЕВРАЛЬ!AA16+МАРТ!AA16</f>
        <v>38573.027994999997</v>
      </c>
      <c r="AB16" s="55"/>
      <c r="AC16" s="42"/>
      <c r="AD16" s="32">
        <f>ЯНВАРЬ!AD16+ФЕВРАЛЬ!AD16+МАРТ!AD16</f>
        <v>646.51271716493943</v>
      </c>
      <c r="AE16" s="47">
        <f t="shared" si="20"/>
        <v>25751.579287835066</v>
      </c>
      <c r="AF16" s="46"/>
      <c r="AG16" s="48">
        <f t="shared" si="21"/>
        <v>2388.6984126984125</v>
      </c>
      <c r="AH16" s="49">
        <f t="shared" si="22"/>
        <v>117</v>
      </c>
      <c r="AI16" s="49">
        <f t="shared" si="23"/>
        <v>1027.1403174603174</v>
      </c>
      <c r="AJ16" s="49">
        <f t="shared" si="24"/>
        <v>203.57636363636365</v>
      </c>
      <c r="AK16" s="49">
        <f t="shared" si="25"/>
        <v>584.43981810606056</v>
      </c>
      <c r="AL16" s="49">
        <f t="array" ref="AL16">_xlfn.IFS(R16=0,AE16,R16&lt;0,AE16/-R16,R16&gt;0,AE16/R16)</f>
        <v>408.75522679103278</v>
      </c>
      <c r="AM16" s="50">
        <f t="shared" si="26"/>
        <v>0.17112048327996296</v>
      </c>
      <c r="AN16" s="51">
        <f t="shared" si="27"/>
        <v>3.4936344170173741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2132.0390844492676</v>
      </c>
      <c r="AH17" s="58">
        <f t="shared" si="29"/>
        <v>127.26</v>
      </c>
      <c r="AI17" s="58">
        <f t="shared" si="29"/>
        <v>916.77680631318503</v>
      </c>
      <c r="AJ17" s="58">
        <f t="shared" si="29"/>
        <v>201.57182014710298</v>
      </c>
      <c r="AK17" s="58">
        <f t="shared" si="29"/>
        <v>454.16640981658321</v>
      </c>
      <c r="AL17" s="58">
        <f t="shared" si="29"/>
        <v>393.11435707699457</v>
      </c>
      <c r="AM17" s="59">
        <f t="shared" si="29"/>
        <v>0.18404480425877207</v>
      </c>
      <c r="AN17" s="59">
        <f t="shared" si="29"/>
        <v>3.1135181454148868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1471</v>
      </c>
      <c r="L18" s="67"/>
      <c r="M18" s="67"/>
      <c r="N18" s="68"/>
      <c r="O18" s="69"/>
      <c r="P18" s="64">
        <f t="shared" ref="P18:X18" si="30">SUM(P3:P16)</f>
        <v>1472</v>
      </c>
      <c r="Q18" s="64">
        <f t="shared" si="30"/>
        <v>62</v>
      </c>
      <c r="R18" s="64">
        <f t="shared" si="30"/>
        <v>1410</v>
      </c>
      <c r="S18" s="70">
        <f t="shared" si="30"/>
        <v>3052264</v>
      </c>
      <c r="T18" s="64">
        <f t="shared" si="30"/>
        <v>-131402</v>
      </c>
      <c r="U18" s="64">
        <f t="shared" si="30"/>
        <v>2920862</v>
      </c>
      <c r="V18" s="71">
        <f t="shared" si="30"/>
        <v>1</v>
      </c>
      <c r="W18" s="64">
        <f t="shared" si="30"/>
        <v>180695.82</v>
      </c>
      <c r="X18" s="64">
        <f t="shared" si="30"/>
        <v>1255970.6599999999</v>
      </c>
      <c r="Y18" s="72">
        <f>IF(U18=0,0,X18/U18)</f>
        <v>0.43</v>
      </c>
      <c r="Z18" s="64">
        <f t="shared" ref="Z18:AE18" si="31">SUM(Z3:Z16)</f>
        <v>284800.61999999994</v>
      </c>
      <c r="AA18" s="64">
        <f t="shared" si="31"/>
        <v>670316.95036099991</v>
      </c>
      <c r="AB18" s="64">
        <f t="shared" si="31"/>
        <v>0</v>
      </c>
      <c r="AC18" s="64">
        <f t="shared" si="31"/>
        <v>0</v>
      </c>
      <c r="AD18" s="73">
        <f t="shared" si="31"/>
        <v>12041.151600000001</v>
      </c>
      <c r="AE18" s="74">
        <f t="shared" si="31"/>
        <v>517036.79803900002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1471</v>
      </c>
      <c r="L24" s="119"/>
      <c r="M24" s="119"/>
      <c r="N24" s="119"/>
      <c r="O24" s="119"/>
      <c r="P24" s="120">
        <f>P18+P22</f>
        <v>1472</v>
      </c>
      <c r="Q24" s="118">
        <f>Q18+Q22</f>
        <v>62</v>
      </c>
      <c r="R24" s="121">
        <f>R18-R22</f>
        <v>1410</v>
      </c>
      <c r="S24" s="118">
        <f t="shared" ref="S24:X24" si="34">S18+S22</f>
        <v>3052264</v>
      </c>
      <c r="T24" s="118">
        <f t="shared" si="34"/>
        <v>-131402</v>
      </c>
      <c r="U24" s="121">
        <f t="shared" si="34"/>
        <v>2920862</v>
      </c>
      <c r="V24" s="122">
        <f t="shared" si="34"/>
        <v>1</v>
      </c>
      <c r="W24" s="118">
        <f t="shared" si="34"/>
        <v>180695.82</v>
      </c>
      <c r="X24" s="118">
        <f t="shared" si="34"/>
        <v>1255970.6599999999</v>
      </c>
      <c r="Y24" s="123">
        <f>X24/U24</f>
        <v>0.43</v>
      </c>
      <c r="Z24" s="118">
        <f>Z18+Z22</f>
        <v>284800.61999999994</v>
      </c>
      <c r="AA24" s="118">
        <f>ЯНВАРЬ!AA24+ФЕВРАЛЬ!AA24+МАРТ!AA24</f>
        <v>699049.11999999988</v>
      </c>
      <c r="AB24" s="125"/>
      <c r="AC24" s="125">
        <f>SUM(AC3:AC20)</f>
        <v>0</v>
      </c>
      <c r="AD24" s="118">
        <f>AD18+AD22</f>
        <v>12041.151600000001</v>
      </c>
      <c r="AE24" s="126">
        <f>AE18+AE22</f>
        <v>517036.79803900002</v>
      </c>
      <c r="AF24" s="127"/>
      <c r="AG24" s="128"/>
      <c r="AH24" s="129"/>
      <c r="AI24" s="129"/>
      <c r="AJ24" s="129"/>
      <c r="AK24" s="129">
        <f>AA25/P24</f>
        <v>455.37836301698366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670316.95036099991</v>
      </c>
      <c r="AB25" s="141"/>
      <c r="AC25" s="142"/>
      <c r="AE25" s="215">
        <f>Сводная!Z24+Сводная!R24+Сводная!S24+Сводная!T24+Сводная!V24-Сводная!U24-Сводная!W24+(AA24-AA25)</f>
        <v>519314.3280390001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02">
        <f>ФЕВРАЛЬ!AA26+МАРТ!AA26</f>
        <v>8850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2">
        <f>ФЕВРАЛЬ!AA27+МАРТ!AA27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1" priority="18" operator="greaterThan">
      <formula>120</formula>
    </cfRule>
  </conditionalFormatting>
  <conditionalFormatting sqref="N23">
    <cfRule type="cellIs" dxfId="310" priority="17" operator="between">
      <formula>0.000001</formula>
      <formula>25</formula>
    </cfRule>
  </conditionalFormatting>
  <conditionalFormatting sqref="V1 V25:V1048576">
    <cfRule type="cellIs" dxfId="309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308" priority="14" operator="greaterThan">
      <formula>120</formula>
    </cfRule>
  </conditionalFormatting>
  <conditionalFormatting sqref="Q23">
    <cfRule type="cellIs" dxfId="307" priority="13" operator="greaterThan">
      <formula>120</formula>
    </cfRule>
  </conditionalFormatting>
  <conditionalFormatting sqref="R23">
    <cfRule type="cellIs" dxfId="306" priority="12" operator="greaterThan">
      <formula>120</formula>
    </cfRule>
  </conditionalFormatting>
  <conditionalFormatting sqref="S23">
    <cfRule type="cellIs" dxfId="305" priority="11" operator="greaterThan">
      <formula>120</formula>
    </cfRule>
  </conditionalFormatting>
  <conditionalFormatting sqref="T23">
    <cfRule type="cellIs" dxfId="304" priority="10" operator="greaterThan">
      <formula>120</formula>
    </cfRule>
  </conditionalFormatting>
  <conditionalFormatting sqref="U23">
    <cfRule type="cellIs" dxfId="303" priority="9" operator="greaterThan">
      <formula>120</formula>
    </cfRule>
  </conditionalFormatting>
  <conditionalFormatting sqref="V23">
    <cfRule type="cellIs" dxfId="302" priority="8" operator="greaterThan">
      <formula>120</formula>
    </cfRule>
  </conditionalFormatting>
  <conditionalFormatting sqref="W23">
    <cfRule type="cellIs" dxfId="301" priority="7" operator="greaterThan">
      <formula>120</formula>
    </cfRule>
  </conditionalFormatting>
  <conditionalFormatting sqref="X23">
    <cfRule type="cellIs" dxfId="300" priority="6" operator="greaterThan">
      <formula>120</formula>
    </cfRule>
  </conditionalFormatting>
  <conditionalFormatting sqref="Z23">
    <cfRule type="cellIs" dxfId="29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17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f>'Юнит 30-31.03'!K3+'Юнит 01-05.04'!K3</f>
        <v>6</v>
      </c>
      <c r="L3" s="36"/>
      <c r="M3" s="36"/>
      <c r="N3" s="37">
        <f>K3/$O$1</f>
        <v>0.8571428571428571</v>
      </c>
      <c r="O3" s="38">
        <f>R3/$O$1</f>
        <v>0.5714285714285714</v>
      </c>
      <c r="P3" s="32">
        <f>'Юнит 30-31.03'!P3+'Юнит 01-05.04'!P3</f>
        <v>4</v>
      </c>
      <c r="Q3" s="32">
        <f>'Юнит 30-31.03'!Q3+'Юнит 01-05.04'!Q3</f>
        <v>0</v>
      </c>
      <c r="R3" s="40">
        <f t="shared" ref="R3:R7" si="1">P3-Q3</f>
        <v>4</v>
      </c>
      <c r="S3" s="32">
        <f>'Юнит 30-31.03'!S3+'Юнит 01-05.04'!S3</f>
        <v>10053</v>
      </c>
      <c r="T3" s="32">
        <f>'Юнит 30-31.03'!T3+'Юнит 01-05.04'!T3</f>
        <v>0</v>
      </c>
      <c r="U3" s="40">
        <f t="shared" ref="U3:U7" si="2">S3+T3</f>
        <v>10053</v>
      </c>
      <c r="V3" s="43">
        <f t="shared" ref="V3:V14" si="3">U3/$U$24</f>
        <v>5.279105183006879E-2</v>
      </c>
      <c r="W3" s="44">
        <f t="shared" ref="W3:W7" si="4">R3*H3</f>
        <v>571.91999999999996</v>
      </c>
      <c r="X3" s="32">
        <f>'Юнит 30-31.03'!X3+'Юнит 01-05.04'!X3</f>
        <v>4322.79</v>
      </c>
      <c r="Y3" s="45">
        <f t="shared" ref="Y3:Y16" si="5">IF(U3=0,0,X3/U3)</f>
        <v>0.43</v>
      </c>
      <c r="Z3" s="32">
        <f>'Юнит 30-31.03'!Z3+'Юнит 01-05.04'!Z3</f>
        <v>795.92</v>
      </c>
      <c r="AA3" s="32">
        <f>'Юнит 30-31.03'!AA3+'Юнит 01-05.04'!AA3</f>
        <v>3619.9511400000001</v>
      </c>
      <c r="AB3" s="42"/>
      <c r="AC3" s="42"/>
      <c r="AD3" s="32">
        <f>'Юнит 30-31.03'!AD3+'Юнит 01-05.04'!AD3</f>
        <v>40.237345674167742</v>
      </c>
      <c r="AE3" s="47">
        <f t="shared" ref="AE3:AE7" si="6">U3-W3-X3-Z3-AA3-AB3-AC3-AD3</f>
        <v>702.18151432583204</v>
      </c>
      <c r="AF3" s="46"/>
      <c r="AG3" s="48">
        <f t="shared" ref="AG3:AG7" si="7">IF(R3=0,0,U3/R3)</f>
        <v>2513.25</v>
      </c>
      <c r="AH3" s="49">
        <f t="shared" ref="AH3:AH7" si="8">H3</f>
        <v>142.97999999999999</v>
      </c>
      <c r="AI3" s="49">
        <f t="shared" ref="AI3:AI7" si="9">IF(R3=0,0,X3/R3)</f>
        <v>1080.6975</v>
      </c>
      <c r="AJ3" s="49">
        <f t="shared" ref="AJ3:AJ7" si="10">IF(P3=0,Z3/1,Z3/P3)</f>
        <v>198.98</v>
      </c>
      <c r="AK3" s="49">
        <f t="shared" ref="AK3:AK7" si="11">IF(P3=0,0,AA3/P3)</f>
        <v>904.98778500000003</v>
      </c>
      <c r="AL3" s="49">
        <f>_xlfn.IFS(R3=0,AE3,R3&lt;0,AE3/-R3,R3&gt;0,AE3/R3)</f>
        <v>175.54537858145801</v>
      </c>
      <c r="AM3" s="50">
        <f t="shared" ref="AM3:AM7" si="12">IF(AG3=0,0,AL3/AG3)</f>
        <v>6.9847957259109916E-2</v>
      </c>
      <c r="AN3" s="51">
        <f t="shared" ref="AN3:AN7" si="13">IF(AH3=0,0,AL3/AH3)</f>
        <v>1.2277617749437546</v>
      </c>
      <c r="AP3" s="53">
        <f t="shared" ref="AP3:AP7" si="14">AL3*C3</f>
        <v>60036.519474858636</v>
      </c>
    </row>
    <row r="4" spans="1:42">
      <c r="A4" s="30">
        <v>2676784638</v>
      </c>
      <c r="B4" s="31" t="s">
        <v>39</v>
      </c>
      <c r="C4" s="32">
        <f>'Юнит 01-05.04'!C4</f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f>'Юнит 30-31.03'!K4+'Юнит 01-05.04'!K4</f>
        <v>14</v>
      </c>
      <c r="L4" s="36"/>
      <c r="M4" s="36"/>
      <c r="N4" s="37">
        <f t="shared" ref="N4:N16" si="15">K4/$O$1</f>
        <v>2</v>
      </c>
      <c r="O4" s="38">
        <f t="shared" ref="O4:O16" si="16">R4/$O$1</f>
        <v>1.1428571428571428</v>
      </c>
      <c r="P4" s="32">
        <f>'Юнит 30-31.03'!P4+'Юнит 01-05.04'!P4</f>
        <v>9</v>
      </c>
      <c r="Q4" s="32">
        <f>'Юнит 30-31.03'!Q4+'Юнит 01-05.04'!Q4</f>
        <v>1</v>
      </c>
      <c r="R4" s="40">
        <f t="shared" si="1"/>
        <v>8</v>
      </c>
      <c r="S4" s="32">
        <f>'Юнит 30-31.03'!S4+'Юнит 01-05.04'!S4</f>
        <v>21115</v>
      </c>
      <c r="T4" s="32">
        <f>'Юнит 30-31.03'!T4+'Юнит 01-05.04'!T4</f>
        <v>-2103</v>
      </c>
      <c r="U4" s="40">
        <f t="shared" si="2"/>
        <v>19012</v>
      </c>
      <c r="V4" s="43">
        <f t="shared" si="3"/>
        <v>9.9837210523551961E-2</v>
      </c>
      <c r="W4" s="44">
        <f t="shared" si="4"/>
        <v>984.72</v>
      </c>
      <c r="X4" s="32">
        <f>'Юнит 30-31.03'!X4+'Юнит 01-05.04'!X4</f>
        <v>8175.16</v>
      </c>
      <c r="Y4" s="45">
        <f t="shared" si="5"/>
        <v>0.43</v>
      </c>
      <c r="Z4" s="32">
        <f>'Юнит 30-31.03'!Z4+'Юнит 01-05.04'!Z4</f>
        <v>1679.59</v>
      </c>
      <c r="AA4" s="32">
        <f>'Юнит 30-31.03'!AA4+'Юнит 01-05.04'!AA4</f>
        <v>4042.7887950000004</v>
      </c>
      <c r="AB4" s="42"/>
      <c r="AC4" s="42"/>
      <c r="AD4" s="32">
        <f>'Юнит 30-31.03'!AD4+'Юнит 01-05.04'!AD4</f>
        <v>76.183878855864165</v>
      </c>
      <c r="AE4" s="47">
        <f t="shared" si="6"/>
        <v>4053.5573261441341</v>
      </c>
      <c r="AF4" s="46"/>
      <c r="AG4" s="48">
        <f t="shared" si="7"/>
        <v>2376.5</v>
      </c>
      <c r="AH4" s="49">
        <f t="shared" si="8"/>
        <v>123.09</v>
      </c>
      <c r="AI4" s="49">
        <f t="shared" si="9"/>
        <v>1021.895</v>
      </c>
      <c r="AJ4" s="49">
        <f t="shared" si="10"/>
        <v>186.62111111111111</v>
      </c>
      <c r="AK4" s="49">
        <f t="shared" si="11"/>
        <v>449.19875500000006</v>
      </c>
      <c r="AL4" s="49">
        <f t="array" ref="AL4">_xlfn.IFS(R4=0,AE4,R4&lt;0,AE4/-R4,R4&gt;0,AE4/R4)</f>
        <v>506.69466576801676</v>
      </c>
      <c r="AM4" s="50">
        <f t="shared" si="12"/>
        <v>0.21321046318872997</v>
      </c>
      <c r="AN4" s="51">
        <f t="shared" si="13"/>
        <v>4.1164567858316419</v>
      </c>
      <c r="AP4" s="53">
        <f t="shared" si="14"/>
        <v>168222.62903498157</v>
      </c>
    </row>
    <row r="5" spans="1:42">
      <c r="A5" s="30">
        <v>2676784504</v>
      </c>
      <c r="B5" s="31" t="s">
        <v>40</v>
      </c>
      <c r="C5" s="32">
        <f>'Юнит 01-05.04'!C5</f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f>'Юнит 30-31.03'!K5+'Юнит 01-05.04'!K5</f>
        <v>1</v>
      </c>
      <c r="L5" s="36"/>
      <c r="M5" s="36"/>
      <c r="N5" s="37">
        <f t="shared" si="15"/>
        <v>0.14285714285714285</v>
      </c>
      <c r="O5" s="38">
        <f t="shared" si="16"/>
        <v>0.14285714285714285</v>
      </c>
      <c r="P5" s="32">
        <f>'Юнит 30-31.03'!P5+'Юнит 01-05.04'!P5</f>
        <v>1</v>
      </c>
      <c r="Q5" s="32">
        <f>'Юнит 30-31.03'!Q5+'Юнит 01-05.04'!Q5</f>
        <v>0</v>
      </c>
      <c r="R5" s="40">
        <f t="shared" si="1"/>
        <v>1</v>
      </c>
      <c r="S5" s="32">
        <f>'Юнит 30-31.03'!S5+'Юнит 01-05.04'!S5</f>
        <v>2650</v>
      </c>
      <c r="T5" s="32">
        <f>'Юнит 30-31.03'!T5+'Юнит 01-05.04'!T5</f>
        <v>0</v>
      </c>
      <c r="U5" s="40">
        <f t="shared" si="2"/>
        <v>2650</v>
      </c>
      <c r="V5" s="43">
        <f t="shared" si="3"/>
        <v>1.39158745995904E-2</v>
      </c>
      <c r="W5" s="44">
        <f t="shared" si="4"/>
        <v>123.09</v>
      </c>
      <c r="X5" s="32">
        <f>'Юнит 30-31.03'!X5+'Юнит 01-05.04'!X5</f>
        <v>1139.5</v>
      </c>
      <c r="Y5" s="45">
        <f t="shared" si="5"/>
        <v>0.43</v>
      </c>
      <c r="Z5" s="32">
        <f>'Юнит 30-31.03'!Z5+'Юнит 01-05.04'!Z5</f>
        <v>168.99</v>
      </c>
      <c r="AA5" s="32">
        <f>'Юнит 30-31.03'!AA5+'Юнит 01-05.04'!AA5</f>
        <v>0</v>
      </c>
      <c r="AB5" s="55"/>
      <c r="AC5" s="42"/>
      <c r="AD5" s="32">
        <f>'Юнит 30-31.03'!AD5+'Юнит 01-05.04'!AD5</f>
        <v>10.599224113354959</v>
      </c>
      <c r="AE5" s="47">
        <f t="shared" si="6"/>
        <v>1207.8207758866449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168.99</v>
      </c>
      <c r="AK5" s="49">
        <f t="shared" si="11"/>
        <v>0</v>
      </c>
      <c r="AL5" s="49">
        <f t="array" ref="AL5">_xlfn.IFS(R5=0,AE5,R5&lt;0,AE5/-R5,R5&gt;0,AE5/R5)</f>
        <v>1207.8207758866449</v>
      </c>
      <c r="AM5" s="50">
        <f t="shared" si="12"/>
        <v>0.45578142486288487</v>
      </c>
      <c r="AN5" s="51">
        <f t="shared" si="13"/>
        <v>9.8125012258237465</v>
      </c>
      <c r="AP5" s="53">
        <f t="shared" si="14"/>
        <v>429984.19621564558</v>
      </c>
    </row>
    <row r="6" spans="1:42">
      <c r="A6" s="30">
        <v>2676784514</v>
      </c>
      <c r="B6" s="31" t="s">
        <v>41</v>
      </c>
      <c r="C6" s="32">
        <f>'Юнит 01-05.04'!C6</f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si="16"/>
        <v>0.2857142857142857</v>
      </c>
      <c r="P6" s="32">
        <f>'Юнит 30-31.03'!P6+'Юнит 01-05.04'!P6</f>
        <v>2</v>
      </c>
      <c r="Q6" s="32">
        <f>'Юнит 30-31.03'!Q6+'Юнит 01-05.04'!Q6</f>
        <v>0</v>
      </c>
      <c r="R6" s="40">
        <f t="shared" si="1"/>
        <v>2</v>
      </c>
      <c r="S6" s="32">
        <f>'Юнит 30-31.03'!S6+'Юнит 01-05.04'!S6</f>
        <v>4360</v>
      </c>
      <c r="T6" s="32">
        <f>'Юнит 30-31.03'!T6+'Юнит 01-05.04'!T6</f>
        <v>0</v>
      </c>
      <c r="U6" s="40">
        <f t="shared" si="2"/>
        <v>4360</v>
      </c>
      <c r="V6" s="43">
        <f t="shared" si="3"/>
        <v>2.2895552171401566E-2</v>
      </c>
      <c r="W6" s="44">
        <f t="shared" si="4"/>
        <v>246.18</v>
      </c>
      <c r="X6" s="32">
        <f>'Юнит 30-31.03'!X6+'Юнит 01-05.04'!X6</f>
        <v>1874.8</v>
      </c>
      <c r="Y6" s="45">
        <f t="shared" si="5"/>
        <v>0.43</v>
      </c>
      <c r="Z6" s="32">
        <f>'Юнит 30-31.03'!Z6+'Юнит 01-05.04'!Z6</f>
        <v>547.15000000000009</v>
      </c>
      <c r="AA6" s="32">
        <f>'Юнит 30-31.03'!AA6+'Юнит 01-05.04'!AA6</f>
        <v>0</v>
      </c>
      <c r="AB6" s="55"/>
      <c r="AC6" s="42"/>
      <c r="AD6" s="32">
        <f>'Юнит 30-31.03'!AD6+'Юнит 01-05.04'!AD6</f>
        <v>17.468048298971389</v>
      </c>
      <c r="AE6" s="47">
        <f t="shared" si="6"/>
        <v>1674.4019517010281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273.57500000000005</v>
      </c>
      <c r="AK6" s="49">
        <f t="shared" si="11"/>
        <v>0</v>
      </c>
      <c r="AL6" s="49">
        <f t="array" ref="AL6">_xlfn.IFS(R6=0,AE6,R6&lt;0,AE6/-R6,R6&gt;0,AE6/R6)</f>
        <v>837.20097585051406</v>
      </c>
      <c r="AM6" s="50">
        <f t="shared" si="12"/>
        <v>0.3840371448855569</v>
      </c>
      <c r="AN6" s="51">
        <f t="shared" si="13"/>
        <v>6.8015352656634498</v>
      </c>
      <c r="AP6" s="53">
        <f t="shared" si="14"/>
        <v>531622.61966507637</v>
      </c>
    </row>
    <row r="7" spans="1:42">
      <c r="A7" s="30">
        <v>2676784181</v>
      </c>
      <c r="B7" s="31" t="s">
        <v>42</v>
      </c>
      <c r="C7" s="32">
        <f>'Юнит 01-05.04'!C7</f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f>'Юнит 30-31.03'!K7+'Юнит 01-05.04'!K7</f>
        <v>16</v>
      </c>
      <c r="L7" s="36"/>
      <c r="M7" s="36"/>
      <c r="N7" s="37">
        <f t="shared" si="15"/>
        <v>2.2857142857142856</v>
      </c>
      <c r="O7" s="38">
        <f t="shared" si="16"/>
        <v>1.5714285714285714</v>
      </c>
      <c r="P7" s="32">
        <f>'Юнит 30-31.03'!P7+'Юнит 01-05.04'!P7</f>
        <v>11</v>
      </c>
      <c r="Q7" s="32">
        <f>'Юнит 30-31.03'!Q7+'Юнит 01-05.04'!Q7</f>
        <v>0</v>
      </c>
      <c r="R7" s="40">
        <f t="shared" si="1"/>
        <v>11</v>
      </c>
      <c r="S7" s="32">
        <f>'Юнит 30-31.03'!S7+'Юнит 01-05.04'!S7</f>
        <v>26626</v>
      </c>
      <c r="T7" s="32">
        <f>'Юнит 30-31.03'!T7+'Юнит 01-05.04'!T7</f>
        <v>0</v>
      </c>
      <c r="U7" s="40">
        <f t="shared" si="2"/>
        <v>26626</v>
      </c>
      <c r="V7" s="43">
        <f t="shared" si="3"/>
        <v>0.13982040644856378</v>
      </c>
      <c r="W7" s="44">
        <f t="shared" si="4"/>
        <v>1289.6399999999999</v>
      </c>
      <c r="X7" s="32">
        <f>'Юнит 30-31.03'!X7+'Юнит 01-05.04'!X7</f>
        <v>11449.179999999998</v>
      </c>
      <c r="Y7" s="45">
        <f t="shared" si="5"/>
        <v>0.42999999999999994</v>
      </c>
      <c r="Z7" s="32">
        <f>'Юнит 30-31.03'!Z7+'Юнит 01-05.04'!Z7</f>
        <v>1506.79</v>
      </c>
      <c r="AA7" s="32">
        <f>'Юнит 30-31.03'!AA7+'Юнит 01-05.04'!AA7</f>
        <v>4351.2689959999998</v>
      </c>
      <c r="AB7" s="55"/>
      <c r="AC7" s="42"/>
      <c r="AD7" s="32">
        <f>'Юнит 30-31.03'!AD7+'Юнит 01-05.04'!AD7</f>
        <v>106.59093158565624</v>
      </c>
      <c r="AE7" s="47">
        <f t="shared" si="6"/>
        <v>7922.5300724143472</v>
      </c>
      <c r="AF7" s="46"/>
      <c r="AG7" s="48">
        <f t="shared" si="7"/>
        <v>2420.5454545454545</v>
      </c>
      <c r="AH7" s="49">
        <f t="shared" si="8"/>
        <v>117.24</v>
      </c>
      <c r="AI7" s="49">
        <f t="shared" si="9"/>
        <v>1040.8345454545454</v>
      </c>
      <c r="AJ7" s="49">
        <f t="shared" si="10"/>
        <v>136.98090909090908</v>
      </c>
      <c r="AK7" s="49">
        <f t="shared" si="11"/>
        <v>395.56990872727272</v>
      </c>
      <c r="AL7" s="49">
        <f t="array" ref="AL7">_xlfn.IFS(R7=0,AE7,R7&lt;0,AE7/-R7,R7&gt;0,AE7/R7)</f>
        <v>720.23000658312242</v>
      </c>
      <c r="AM7" s="50">
        <f t="shared" si="12"/>
        <v>0.29754863939060866</v>
      </c>
      <c r="AN7" s="51">
        <f t="shared" si="13"/>
        <v>6.1432105645097446</v>
      </c>
      <c r="AP7" s="53">
        <f t="shared" si="14"/>
        <v>413412.02377871226</v>
      </c>
    </row>
    <row r="8" spans="1:42">
      <c r="A8" s="30">
        <v>2676783005</v>
      </c>
      <c r="B8" s="31" t="s">
        <v>43</v>
      </c>
      <c r="C8" s="32">
        <f>'Юнит 01-05.04'!C8</f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f>'Юнит 30-31.03'!K8+'Юнит 01-05.04'!K8</f>
        <v>30</v>
      </c>
      <c r="L8" s="36"/>
      <c r="M8" s="36"/>
      <c r="N8" s="37">
        <f t="shared" si="15"/>
        <v>4.2857142857142856</v>
      </c>
      <c r="O8" s="38">
        <f t="shared" si="16"/>
        <v>2</v>
      </c>
      <c r="P8" s="32">
        <f>'Юнит 30-31.03'!P8+'Юнит 01-05.04'!P8</f>
        <v>14</v>
      </c>
      <c r="Q8" s="32">
        <f>'Юнит 30-31.03'!Q8+'Юнит 01-05.04'!Q8</f>
        <v>0</v>
      </c>
      <c r="R8" s="40">
        <f>P8-Q8</f>
        <v>14</v>
      </c>
      <c r="S8" s="32">
        <f>'Юнит 30-31.03'!S8+'Юнит 01-05.04'!S8</f>
        <v>37789</v>
      </c>
      <c r="T8" s="32">
        <f>'Юнит 30-31.03'!T8+'Юнит 01-05.04'!T8</f>
        <v>0</v>
      </c>
      <c r="U8" s="40">
        <f>S8+T8</f>
        <v>37789</v>
      </c>
      <c r="V8" s="43">
        <f t="shared" si="3"/>
        <v>0.19844037179015911</v>
      </c>
      <c r="W8" s="44">
        <f>R8*H8</f>
        <v>2378.46</v>
      </c>
      <c r="X8" s="32">
        <f>'Юнит 30-31.03'!X8+'Юнит 01-05.04'!X8</f>
        <v>16249.27</v>
      </c>
      <c r="Y8" s="45">
        <f t="shared" si="5"/>
        <v>0.43</v>
      </c>
      <c r="Z8" s="32">
        <f>'Юнит 30-31.03'!Z8+'Юнит 01-05.04'!Z8</f>
        <v>2533.0799999999995</v>
      </c>
      <c r="AA8" s="32">
        <f>'Юнит 30-31.03'!AA8+'Юнит 01-05.04'!AA8</f>
        <v>3246.0395129999997</v>
      </c>
      <c r="AB8" s="55"/>
      <c r="AC8" s="42"/>
      <c r="AD8" s="32">
        <f>'Юнит 30-31.03'!AD8+'Юнит 01-05.04'!AD8</f>
        <v>151.32033344655235</v>
      </c>
      <c r="AE8" s="47">
        <f>U8-W8-X8-Z8-AA8-AB8-AC8-AD8</f>
        <v>13230.83015355345</v>
      </c>
      <c r="AF8" s="46"/>
      <c r="AG8" s="48">
        <f>IF(R8=0,0,U8/R8)</f>
        <v>2699.2142857142858</v>
      </c>
      <c r="AH8" s="49">
        <f>H8</f>
        <v>169.89</v>
      </c>
      <c r="AI8" s="49">
        <f>IF(R8=0,0,X8/R8)</f>
        <v>1160.662142857143</v>
      </c>
      <c r="AJ8" s="49">
        <f>IF(P8=0,Z8/1,Z8/P8)</f>
        <v>180.93428571428566</v>
      </c>
      <c r="AK8" s="49">
        <f>IF(P8=0,0,AA8/P8)</f>
        <v>231.85996521428569</v>
      </c>
      <c r="AL8" s="49">
        <f t="array" ref="AL8">_xlfn.IFS(R8=0,AE8,R8&lt;0,AE8/-R8,R8&gt;0,AE8/R8)</f>
        <v>945.05929668238934</v>
      </c>
      <c r="AM8" s="50">
        <f>IF(AG8=0,0,AL8/AG8)</f>
        <v>0.35012384962696685</v>
      </c>
      <c r="AN8" s="51">
        <f>IF(AH8=0,0,AL8/AH8)</f>
        <v>5.5627717739854576</v>
      </c>
      <c r="AP8" s="53">
        <f>AL8*C8</f>
        <v>172945.85129287725</v>
      </c>
    </row>
    <row r="9" spans="1:42">
      <c r="A9" s="30">
        <v>3405092860</v>
      </c>
      <c r="B9" s="31" t="s">
        <v>55</v>
      </c>
      <c r="C9" s="32">
        <f>'Юнит 01-05.04'!C9</f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f>'Юнит 30-31.03'!K9+'Юнит 01-05.04'!K9</f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2">
        <f>'Юнит 30-31.03'!P9+'Юнит 01-05.04'!P9</f>
        <v>1</v>
      </c>
      <c r="Q9" s="32">
        <f>'Юнит 30-31.03'!Q9+'Юнит 01-05.04'!Q9</f>
        <v>0</v>
      </c>
      <c r="R9" s="40">
        <f t="shared" ref="R9:R16" si="17">P9-Q9</f>
        <v>1</v>
      </c>
      <c r="S9" s="32">
        <f>'Юнит 30-31.03'!S9+'Юнит 01-05.04'!S9</f>
        <v>2420</v>
      </c>
      <c r="T9" s="32">
        <f>'Юнит 30-31.03'!T9+'Юнит 01-05.04'!T9</f>
        <v>0</v>
      </c>
      <c r="U9" s="40">
        <f t="shared" ref="U9:U16" si="18">S9+T9</f>
        <v>2420</v>
      </c>
      <c r="V9" s="43">
        <f t="shared" si="3"/>
        <v>1.270808170981463E-2</v>
      </c>
      <c r="W9" s="44">
        <f t="shared" ref="W9:W16" si="19">R9*H9</f>
        <v>123</v>
      </c>
      <c r="X9" s="32">
        <f>'Юнит 30-31.03'!X9+'Юнит 01-05.04'!X9</f>
        <v>1040.5999999999999</v>
      </c>
      <c r="Y9" s="45">
        <f t="shared" si="5"/>
        <v>0.42999999999999994</v>
      </c>
      <c r="Z9" s="32">
        <f>'Юнит 30-31.03'!Z9+'Юнит 01-05.04'!Z9</f>
        <v>227.76</v>
      </c>
      <c r="AA9" s="32">
        <f>'Юнит 30-31.03'!AA9+'Юнит 01-05.04'!AA9</f>
        <v>0</v>
      </c>
      <c r="AB9" s="55"/>
      <c r="AC9" s="42"/>
      <c r="AD9" s="32">
        <f>'Юнит 30-31.03'!AD9+'Юнит 01-05.04'!AD9</f>
        <v>9.7118447306366757</v>
      </c>
      <c r="AE9" s="47">
        <f t="shared" ref="AE9:AE16" si="20">U9-W9-X9-Z9-AA9-AB9-AC9-AD9</f>
        <v>1018.9281552693634</v>
      </c>
      <c r="AF9" s="46"/>
      <c r="AG9" s="48">
        <f t="shared" ref="AG9:AG16" si="21">IF(R9=0,0,U9/R9)</f>
        <v>2420</v>
      </c>
      <c r="AH9" s="49">
        <f t="shared" ref="AH9:AH16" si="22">H9</f>
        <v>123</v>
      </c>
      <c r="AI9" s="49">
        <f t="shared" ref="AI9:AI16" si="23">IF(R9=0,0,X9/R9)</f>
        <v>1040.5999999999999</v>
      </c>
      <c r="AJ9" s="49">
        <f t="shared" ref="AJ9:AJ16" si="24">IF(P9=0,Z9/1,Z9/P9)</f>
        <v>227.76</v>
      </c>
      <c r="AK9" s="49">
        <f t="shared" ref="AK9:AK16" si="25">IF(P9=0,0,AA9/P9)</f>
        <v>0</v>
      </c>
      <c r="AL9" s="49">
        <f t="array" ref="AL9">_xlfn.IFS(R9=0,AE9,R9&lt;0,AE9/-R9,R9&gt;0,AE9/R9)</f>
        <v>1018.9281552693634</v>
      </c>
      <c r="AM9" s="50">
        <f t="shared" ref="AM9:AM16" si="26">IF(AG9=0,0,AL9/AG9)</f>
        <v>0.42104469226006752</v>
      </c>
      <c r="AN9" s="51">
        <f t="shared" ref="AN9:AN16" si="27">IF(AH9=0,0,AL9/AH9)</f>
        <v>8.2839687420273442</v>
      </c>
      <c r="AP9" s="53">
        <f t="shared" ref="AP9:AP16" si="28">AL9*C9</f>
        <v>374965.56113912573</v>
      </c>
    </row>
    <row r="10" spans="1:42">
      <c r="A10" s="30">
        <v>3405092836</v>
      </c>
      <c r="B10" s="31" t="s">
        <v>56</v>
      </c>
      <c r="C10" s="32">
        <f>'Юнит 01-05.04'!C10</f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>
        <f>'Юнит 30-31.03'!K10+'Юнит 01-05.04'!K10</f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2">
        <f>'Юнит 30-31.03'!P10+'Юнит 01-05.04'!P10</f>
        <v>2</v>
      </c>
      <c r="Q10" s="32">
        <f>'Юнит 30-31.03'!Q10+'Юнит 01-05.04'!Q10</f>
        <v>0</v>
      </c>
      <c r="R10" s="40">
        <f t="shared" si="17"/>
        <v>2</v>
      </c>
      <c r="S10" s="32">
        <f>'Юнит 30-31.03'!S10+'Юнит 01-05.04'!S10</f>
        <v>4840</v>
      </c>
      <c r="T10" s="32">
        <f>'Юнит 30-31.03'!T10+'Юнит 01-05.04'!T10</f>
        <v>0</v>
      </c>
      <c r="U10" s="40">
        <f t="shared" si="18"/>
        <v>4840</v>
      </c>
      <c r="V10" s="43">
        <f t="shared" si="3"/>
        <v>2.541616341962926E-2</v>
      </c>
      <c r="W10" s="44">
        <f t="shared" si="19"/>
        <v>246</v>
      </c>
      <c r="X10" s="32">
        <f>'Юнит 30-31.03'!X10+'Юнит 01-05.04'!X10</f>
        <v>2081.1999999999998</v>
      </c>
      <c r="Y10" s="45">
        <f t="shared" si="5"/>
        <v>0.42999999999999994</v>
      </c>
      <c r="Z10" s="32">
        <f>'Юнит 30-31.03'!Z10+'Юнит 01-05.04'!Z10</f>
        <v>183.28</v>
      </c>
      <c r="AA10" s="32">
        <f>'Юнит 30-31.03'!AA10+'Юнит 01-05.04'!AA10</f>
        <v>322</v>
      </c>
      <c r="AB10" s="55"/>
      <c r="AC10" s="42"/>
      <c r="AD10" s="32">
        <f>'Юнит 30-31.03'!AD10+'Юнит 01-05.04'!AD10</f>
        <v>19.391136185096677</v>
      </c>
      <c r="AE10" s="47">
        <f t="shared" si="20"/>
        <v>1988.1288638149033</v>
      </c>
      <c r="AF10" s="46"/>
      <c r="AG10" s="48">
        <f t="shared" si="21"/>
        <v>2420</v>
      </c>
      <c r="AH10" s="49">
        <f t="shared" si="22"/>
        <v>123</v>
      </c>
      <c r="AI10" s="49">
        <f t="shared" si="23"/>
        <v>1040.5999999999999</v>
      </c>
      <c r="AJ10" s="49">
        <f t="shared" si="24"/>
        <v>91.64</v>
      </c>
      <c r="AK10" s="49">
        <f t="shared" si="25"/>
        <v>161</v>
      </c>
      <c r="AL10" s="49">
        <f t="array" ref="AL10">_xlfn.IFS(R10=0,AE10,R10&lt;0,AE10/-R10,R10&gt;0,AE10/R10)</f>
        <v>994.06443190745165</v>
      </c>
      <c r="AM10" s="50">
        <f t="shared" si="26"/>
        <v>0.41077042640803785</v>
      </c>
      <c r="AN10" s="51">
        <f t="shared" si="27"/>
        <v>8.0818246496540791</v>
      </c>
      <c r="AP10" s="53">
        <f t="shared" si="28"/>
        <v>354881.00219096022</v>
      </c>
    </row>
    <row r="11" spans="1:42">
      <c r="A11" s="30">
        <v>3064346962</v>
      </c>
      <c r="B11" s="31" t="s">
        <v>52</v>
      </c>
      <c r="C11" s="32">
        <f>'Юнит 01-05.04'!C11</f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f>'Юнит 30-31.03'!K11+'Юнит 01-05.04'!K11</f>
        <v>18</v>
      </c>
      <c r="L11" s="36"/>
      <c r="M11" s="36"/>
      <c r="N11" s="37">
        <f t="shared" si="15"/>
        <v>2.5714285714285716</v>
      </c>
      <c r="O11" s="38">
        <f t="shared" si="16"/>
        <v>1.8571428571428572</v>
      </c>
      <c r="P11" s="32">
        <f>'Юнит 30-31.03'!P11+'Юнит 01-05.04'!P11</f>
        <v>13</v>
      </c>
      <c r="Q11" s="32">
        <f>'Юнит 30-31.03'!Q11+'Юнит 01-05.04'!Q11</f>
        <v>0</v>
      </c>
      <c r="R11" s="40">
        <f t="shared" si="17"/>
        <v>13</v>
      </c>
      <c r="S11" s="32">
        <f>'Юнит 30-31.03'!S11+'Юнит 01-05.04'!S11</f>
        <v>30777.999999999996</v>
      </c>
      <c r="T11" s="32">
        <f>'Юнит 30-31.03'!T11+'Юнит 01-05.04'!T11</f>
        <v>0</v>
      </c>
      <c r="U11" s="40">
        <f t="shared" si="18"/>
        <v>30777.999999999996</v>
      </c>
      <c r="V11" s="43">
        <f t="shared" si="3"/>
        <v>0.16162369374573332</v>
      </c>
      <c r="W11" s="44">
        <f t="shared" si="19"/>
        <v>1599</v>
      </c>
      <c r="X11" s="32">
        <f>'Юнит 30-31.03'!X11+'Юнит 01-05.04'!X11</f>
        <v>13234.54</v>
      </c>
      <c r="Y11" s="45">
        <f t="shared" si="5"/>
        <v>0.4300000000000001</v>
      </c>
      <c r="Z11" s="32">
        <f>'Юнит 30-31.03'!Z11+'Юнит 01-05.04'!Z11</f>
        <v>1902.3300000000002</v>
      </c>
      <c r="AA11" s="32">
        <f>'Юнит 30-31.03'!AA11+'Юнит 01-05.04'!AA11</f>
        <v>6494.7458850000003</v>
      </c>
      <c r="AB11" s="55"/>
      <c r="AC11" s="42"/>
      <c r="AD11" s="32">
        <f>'Юнит 30-31.03'!AD11+'Юнит 01-05.04'!AD11</f>
        <v>123.21937327721093</v>
      </c>
      <c r="AE11" s="47">
        <f t="shared" si="20"/>
        <v>7424.1647417227841</v>
      </c>
      <c r="AF11" s="46"/>
      <c r="AG11" s="48">
        <f t="shared" si="21"/>
        <v>2367.5384615384614</v>
      </c>
      <c r="AH11" s="49">
        <f t="shared" si="22"/>
        <v>123</v>
      </c>
      <c r="AI11" s="49">
        <f t="shared" si="23"/>
        <v>1018.0415384615385</v>
      </c>
      <c r="AJ11" s="49">
        <f t="shared" si="24"/>
        <v>146.33307692307693</v>
      </c>
      <c r="AK11" s="49">
        <f t="shared" si="25"/>
        <v>499.59583730769231</v>
      </c>
      <c r="AL11" s="49">
        <f t="array" ref="AL11">_xlfn.IFS(R11=0,AE11,R11&lt;0,AE11/-R11,R11&gt;0,AE11/R11)</f>
        <v>571.08959551713724</v>
      </c>
      <c r="AM11" s="50">
        <f t="shared" si="26"/>
        <v>0.24121660737288922</v>
      </c>
      <c r="AN11" s="51">
        <f t="shared" si="27"/>
        <v>4.6430048416027416</v>
      </c>
      <c r="AP11" s="53">
        <f t="shared" si="28"/>
        <v>348364.6532654537</v>
      </c>
    </row>
    <row r="12" spans="1:42">
      <c r="A12" s="30">
        <v>3405092873</v>
      </c>
      <c r="B12" s="171" t="s">
        <v>57</v>
      </c>
      <c r="C12" s="32">
        <f>'Юнит 01-05.04'!C12</f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f>'Юнит 30-31.03'!K12+'Юнит 01-05.04'!K12</f>
        <v>13</v>
      </c>
      <c r="L12" s="36"/>
      <c r="M12" s="36"/>
      <c r="N12" s="37">
        <f t="shared" si="15"/>
        <v>1.8571428571428572</v>
      </c>
      <c r="O12" s="38">
        <f t="shared" si="16"/>
        <v>0.5714285714285714</v>
      </c>
      <c r="P12" s="32">
        <f>'Юнит 30-31.03'!P12+'Юнит 01-05.04'!P12</f>
        <v>4</v>
      </c>
      <c r="Q12" s="32">
        <f>'Юнит 30-31.03'!Q12+'Юнит 01-05.04'!Q12</f>
        <v>0</v>
      </c>
      <c r="R12" s="40">
        <f t="shared" si="17"/>
        <v>4</v>
      </c>
      <c r="S12" s="32">
        <f>'Юнит 30-31.03'!S12+'Юнит 01-05.04'!S12</f>
        <v>9572</v>
      </c>
      <c r="T12" s="32">
        <f>'Юнит 30-31.03'!T12+'Юнит 01-05.04'!T12</f>
        <v>0</v>
      </c>
      <c r="U12" s="40">
        <f t="shared" si="18"/>
        <v>9572</v>
      </c>
      <c r="V12" s="43">
        <f t="shared" si="3"/>
        <v>5.0265189308407288E-2</v>
      </c>
      <c r="W12" s="44">
        <f t="shared" si="19"/>
        <v>468</v>
      </c>
      <c r="X12" s="32">
        <f>'Юнит 30-31.03'!X12+'Юнит 01-05.04'!X12</f>
        <v>4115.96</v>
      </c>
      <c r="Y12" s="45">
        <f t="shared" si="5"/>
        <v>0.43</v>
      </c>
      <c r="Z12" s="32">
        <f>'Юнит 30-31.03'!Z12+'Юнит 01-05.04'!Z12</f>
        <v>1006.86</v>
      </c>
      <c r="AA12" s="32">
        <f>'Юнит 30-31.03'!AA12+'Юнит 01-05.04'!AA12</f>
        <v>4057.5081639999999</v>
      </c>
      <c r="AB12" s="55"/>
      <c r="AC12" s="42"/>
      <c r="AD12" s="32">
        <f>'Юнит 30-31.03'!AD12+'Юнит 01-05.04'!AD12</f>
        <v>38.317387517347896</v>
      </c>
      <c r="AE12" s="47">
        <f t="shared" si="20"/>
        <v>-114.64555151734791</v>
      </c>
      <c r="AF12" s="46"/>
      <c r="AG12" s="48">
        <f t="shared" si="21"/>
        <v>2393</v>
      </c>
      <c r="AH12" s="49">
        <f t="shared" si="22"/>
        <v>117</v>
      </c>
      <c r="AI12" s="49">
        <f t="shared" si="23"/>
        <v>1028.99</v>
      </c>
      <c r="AJ12" s="49">
        <f t="shared" si="24"/>
        <v>251.715</v>
      </c>
      <c r="AK12" s="49">
        <f t="shared" si="25"/>
        <v>1014.377041</v>
      </c>
      <c r="AL12" s="49">
        <f t="array" ref="AL12">_xlfn.IFS(R12=0,AE12,R12&lt;0,AE12/-R12,R12&gt;0,AE12/R12)</f>
        <v>-28.661387879336978</v>
      </c>
      <c r="AM12" s="50">
        <f t="shared" si="26"/>
        <v>-1.1977178386684904E-2</v>
      </c>
      <c r="AN12" s="51">
        <f t="shared" si="27"/>
        <v>-0.24496912717382033</v>
      </c>
      <c r="AP12" s="53">
        <f t="shared" si="28"/>
        <v>-8770.3846910771153</v>
      </c>
    </row>
    <row r="13" spans="1:42">
      <c r="A13" s="30">
        <v>3405092993</v>
      </c>
      <c r="B13" s="31" t="s">
        <v>58</v>
      </c>
      <c r="C13" s="32">
        <f>'Юнит 01-05.04'!C13</f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f>'Юнит 30-31.03'!K13+'Юнит 01-05.04'!K13</f>
        <v>25</v>
      </c>
      <c r="L13" s="36"/>
      <c r="M13" s="36"/>
      <c r="N13" s="37">
        <f t="shared" si="15"/>
        <v>3.5714285714285716</v>
      </c>
      <c r="O13" s="38">
        <f t="shared" si="16"/>
        <v>1.4285714285714286</v>
      </c>
      <c r="P13" s="32">
        <f>'Юнит 30-31.03'!P13+'Юнит 01-05.04'!P13</f>
        <v>10</v>
      </c>
      <c r="Q13" s="32">
        <f>'Юнит 30-31.03'!Q13+'Юнит 01-05.04'!Q13</f>
        <v>0</v>
      </c>
      <c r="R13" s="40">
        <f t="shared" si="17"/>
        <v>10</v>
      </c>
      <c r="S13" s="32">
        <f>'Юнит 30-31.03'!S13+'Юнит 01-05.04'!S13</f>
        <v>24430</v>
      </c>
      <c r="T13" s="32">
        <f>'Юнит 30-31.03'!T13+'Юнит 01-05.04'!T13</f>
        <v>0</v>
      </c>
      <c r="U13" s="40">
        <f t="shared" si="18"/>
        <v>24430</v>
      </c>
      <c r="V13" s="43">
        <f t="shared" si="3"/>
        <v>0.12828860998792208</v>
      </c>
      <c r="W13" s="44">
        <f t="shared" si="19"/>
        <v>1230</v>
      </c>
      <c r="X13" s="32">
        <f>'Юнит 30-31.03'!X13+'Юнит 01-05.04'!X13</f>
        <v>10504.9</v>
      </c>
      <c r="Y13" s="45">
        <f t="shared" si="5"/>
        <v>0.43</v>
      </c>
      <c r="Z13" s="32">
        <f>'Юнит 30-31.03'!Z13+'Юнит 01-05.04'!Z13</f>
        <v>1424.2600000000002</v>
      </c>
      <c r="AA13" s="32">
        <f>'Юнит 30-31.03'!AA13+'Юнит 01-05.04'!AA13</f>
        <v>4530.7875309999999</v>
      </c>
      <c r="AB13" s="55"/>
      <c r="AC13" s="42"/>
      <c r="AD13" s="32">
        <f>'Юнит 30-31.03'!AD13+'Юнит 01-05.04'!AD13</f>
        <v>97.811435203949031</v>
      </c>
      <c r="AE13" s="47">
        <f t="shared" si="20"/>
        <v>6642.2410337960509</v>
      </c>
      <c r="AF13" s="46"/>
      <c r="AG13" s="48">
        <f t="shared" si="21"/>
        <v>2443</v>
      </c>
      <c r="AH13" s="49">
        <f t="shared" si="22"/>
        <v>123</v>
      </c>
      <c r="AI13" s="49">
        <f t="shared" si="23"/>
        <v>1050.49</v>
      </c>
      <c r="AJ13" s="49">
        <f t="shared" si="24"/>
        <v>142.42600000000002</v>
      </c>
      <c r="AK13" s="49">
        <f t="shared" si="25"/>
        <v>453.07875309999997</v>
      </c>
      <c r="AL13" s="49">
        <f t="array" ref="AL13">_xlfn.IFS(R13=0,AE13,R13&lt;0,AE13/-R13,R13&gt;0,AE13/R13)</f>
        <v>664.22410337960514</v>
      </c>
      <c r="AM13" s="50">
        <f t="shared" si="26"/>
        <v>0.27188870379844665</v>
      </c>
      <c r="AN13" s="51">
        <f t="shared" si="27"/>
        <v>5.4001959624358138</v>
      </c>
      <c r="AP13" s="53">
        <f t="shared" si="28"/>
        <v>203916.79973753876</v>
      </c>
    </row>
    <row r="14" spans="1:42">
      <c r="A14" s="30">
        <v>3405092868</v>
      </c>
      <c r="B14" s="31" t="s">
        <v>59</v>
      </c>
      <c r="C14" s="32">
        <f>'Юнит 01-05.04'!C14</f>
        <v>332</v>
      </c>
      <c r="H14" s="35">
        <v>123</v>
      </c>
      <c r="I14" s="54">
        <f t="shared" si="0"/>
        <v>40836</v>
      </c>
      <c r="K14" s="32">
        <f>'Юнит 30-31.03'!K14+'Юнит 01-05.04'!K14</f>
        <v>1</v>
      </c>
      <c r="N14" s="37">
        <f t="shared" si="15"/>
        <v>0.14285714285714285</v>
      </c>
      <c r="O14" s="38">
        <f t="shared" si="16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7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32">
        <f>'Юнит 30-31.03'!X14+'Юнит 01-05.04'!X14</f>
        <v>0</v>
      </c>
      <c r="Y14" s="45">
        <f t="shared" si="5"/>
        <v>0</v>
      </c>
      <c r="Z14" s="32">
        <f>'Юнит 30-31.03'!Z14+'Юнит 01-05.04'!Z14</f>
        <v>113.88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20"/>
        <v>-113.88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113.88</v>
      </c>
      <c r="AK14" s="49">
        <f t="shared" si="25"/>
        <v>0</v>
      </c>
      <c r="AL14" s="49">
        <f t="array" ref="AL14">_xlfn.IFS(R14=0,AE14,R14&lt;0,AE14/-R14,R14&gt;0,AE14/R14)</f>
        <v>-113.88</v>
      </c>
      <c r="AM14" s="50">
        <f t="shared" si="26"/>
        <v>0</v>
      </c>
      <c r="AN14" s="51">
        <f t="shared" si="27"/>
        <v>-0.9258536585365853</v>
      </c>
      <c r="AP14" s="53">
        <f t="shared" si="28"/>
        <v>-37808.159999999996</v>
      </c>
    </row>
    <row r="15" spans="1:42">
      <c r="A15" s="30">
        <v>3064346642</v>
      </c>
      <c r="B15" s="31" t="s">
        <v>53</v>
      </c>
      <c r="C15" s="32">
        <f>'Юнит 01-05.04'!C15</f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f>'Юнит 30-31.03'!K15+'Юнит 01-05.04'!K15</f>
        <v>2</v>
      </c>
      <c r="L15" s="36"/>
      <c r="M15" s="36"/>
      <c r="N15" s="37">
        <f t="shared" si="15"/>
        <v>0.2857142857142857</v>
      </c>
      <c r="O15" s="38">
        <f t="shared" si="16"/>
        <v>0.2857142857142857</v>
      </c>
      <c r="P15" s="32">
        <f>'Юнит 30-31.03'!P15+'Юнит 01-05.04'!P15</f>
        <v>2</v>
      </c>
      <c r="Q15" s="32">
        <f>'Юнит 30-31.03'!Q15+'Юнит 01-05.04'!Q15</f>
        <v>0</v>
      </c>
      <c r="R15" s="40">
        <f t="shared" si="17"/>
        <v>2</v>
      </c>
      <c r="S15" s="32">
        <f>'Юнит 30-31.03'!S15+'Юнит 01-05.04'!S15</f>
        <v>4950</v>
      </c>
      <c r="T15" s="32">
        <f>'Юнит 30-31.03'!T15+'Юнит 01-05.04'!T15</f>
        <v>0</v>
      </c>
      <c r="U15" s="40">
        <f t="shared" si="18"/>
        <v>4950</v>
      </c>
      <c r="V15" s="43">
        <f>U15/$U$24</f>
        <v>2.5993803497348106E-2</v>
      </c>
      <c r="W15" s="44">
        <f t="shared" si="19"/>
        <v>246</v>
      </c>
      <c r="X15" s="32">
        <f>'Юнит 30-31.03'!X15+'Юнит 01-05.04'!X15</f>
        <v>2128.5</v>
      </c>
      <c r="Y15" s="45">
        <f t="shared" si="5"/>
        <v>0.43</v>
      </c>
      <c r="Z15" s="32">
        <f>'Юнит 30-31.03'!Z15+'Юнит 01-05.04'!Z15</f>
        <v>215.06</v>
      </c>
      <c r="AA15" s="32">
        <f>'Юнит 30-31.03'!AA15+'Юнит 01-05.04'!AA15</f>
        <v>247</v>
      </c>
      <c r="AB15" s="55"/>
      <c r="AC15" s="42"/>
      <c r="AD15" s="32">
        <f>'Юнит 30-31.03'!AD15+'Юнит 01-05.04'!AD15</f>
        <v>19.798550702304546</v>
      </c>
      <c r="AE15" s="47">
        <f t="shared" si="20"/>
        <v>2093.6414492976955</v>
      </c>
      <c r="AF15" s="46"/>
      <c r="AG15" s="48">
        <f t="shared" si="21"/>
        <v>2475</v>
      </c>
      <c r="AH15" s="49">
        <f t="shared" si="22"/>
        <v>123</v>
      </c>
      <c r="AI15" s="49">
        <f t="shared" si="23"/>
        <v>1064.25</v>
      </c>
      <c r="AJ15" s="49">
        <f t="shared" si="24"/>
        <v>107.53</v>
      </c>
      <c r="AK15" s="49">
        <f t="shared" si="25"/>
        <v>123.5</v>
      </c>
      <c r="AL15" s="49">
        <f t="array" ref="AL15">_xlfn.IFS(R15=0,AE15,R15&lt;0,AE15/-R15,R15&gt;0,AE15/R15)</f>
        <v>1046.8207246488478</v>
      </c>
      <c r="AM15" s="50">
        <f t="shared" si="26"/>
        <v>0.42295786854498901</v>
      </c>
      <c r="AN15" s="51">
        <f t="shared" si="27"/>
        <v>8.5107375987711205</v>
      </c>
      <c r="AP15" s="53">
        <f t="shared" si="28"/>
        <v>555861.80478853814</v>
      </c>
    </row>
    <row r="16" spans="1:42">
      <c r="A16" s="30">
        <v>3405092287</v>
      </c>
      <c r="B16" s="31" t="s">
        <v>60</v>
      </c>
      <c r="C16" s="32">
        <f>'Юнит 01-05.04'!C16</f>
        <v>313</v>
      </c>
      <c r="H16" s="35">
        <v>117</v>
      </c>
      <c r="I16" s="54">
        <f t="shared" si="0"/>
        <v>36621</v>
      </c>
      <c r="K16" s="32">
        <f>'Юнит 30-31.03'!K16+'Юнит 01-05.04'!K16</f>
        <v>15</v>
      </c>
      <c r="N16" s="37">
        <f t="shared" si="15"/>
        <v>2.1428571428571428</v>
      </c>
      <c r="O16" s="38">
        <f t="shared" si="16"/>
        <v>0.7142857142857143</v>
      </c>
      <c r="P16" s="32">
        <f>'Юнит 30-31.03'!P16+'Юнит 01-05.04'!P16</f>
        <v>5</v>
      </c>
      <c r="Q16" s="32">
        <f>'Юнит 30-31.03'!Q16+'Юнит 01-05.04'!Q16</f>
        <v>0</v>
      </c>
      <c r="R16" s="40">
        <f t="shared" si="17"/>
        <v>5</v>
      </c>
      <c r="S16" s="32">
        <f>'Юнит 30-31.03'!S16+'Юнит 01-05.04'!S16</f>
        <v>12950</v>
      </c>
      <c r="T16" s="32">
        <f>'Юнит 30-31.03'!T16+'Юнит 01-05.04'!T16</f>
        <v>0</v>
      </c>
      <c r="U16" s="40">
        <f t="shared" si="18"/>
        <v>12950</v>
      </c>
      <c r="V16" s="43">
        <f>U16/$U$24</f>
        <v>6.8003990967809694E-2</v>
      </c>
      <c r="W16" s="44">
        <f t="shared" si="19"/>
        <v>585</v>
      </c>
      <c r="X16" s="32">
        <f>'Юнит 30-31.03'!X16+'Юнит 01-05.04'!X16</f>
        <v>5568.5</v>
      </c>
      <c r="Y16" s="45">
        <f t="shared" si="5"/>
        <v>0.43</v>
      </c>
      <c r="Z16" s="32">
        <f>'Юнит 30-31.03'!Z16+'Юнит 01-05.04'!Z16</f>
        <v>993.31000000000017</v>
      </c>
      <c r="AA16" s="32">
        <f>'Юнит 30-31.03'!AA16+'Юнит 01-05.04'!AA16</f>
        <v>5396.5089100000005</v>
      </c>
      <c r="AB16" s="55"/>
      <c r="AC16" s="42"/>
      <c r="AD16" s="32">
        <f>'Юнит 30-31.03'!AD16+'Юнит 01-05.04'!AD16</f>
        <v>51.830510408887406</v>
      </c>
      <c r="AE16" s="47">
        <f t="shared" si="20"/>
        <v>354.85057959111174</v>
      </c>
      <c r="AF16" s="46"/>
      <c r="AG16" s="48">
        <f t="shared" si="21"/>
        <v>2590</v>
      </c>
      <c r="AH16" s="49">
        <f t="shared" si="22"/>
        <v>117</v>
      </c>
      <c r="AI16" s="49">
        <f t="shared" si="23"/>
        <v>1113.7</v>
      </c>
      <c r="AJ16" s="49">
        <f t="shared" si="24"/>
        <v>198.66200000000003</v>
      </c>
      <c r="AK16" s="49">
        <f t="shared" si="25"/>
        <v>1079.301782</v>
      </c>
      <c r="AL16" s="49">
        <f t="array" ref="AL16">_xlfn.IFS(R16=0,AE16,R16&lt;0,AE16/-R16,R16&gt;0,AE16/R16)</f>
        <v>70.970115918222348</v>
      </c>
      <c r="AM16" s="50">
        <f t="shared" si="26"/>
        <v>2.7401589157614807E-2</v>
      </c>
      <c r="AN16" s="51">
        <f t="shared" si="27"/>
        <v>0.60658218733523372</v>
      </c>
      <c r="AP16" s="53">
        <f t="shared" si="28"/>
        <v>22213.646282403595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2446.5040168165165</v>
      </c>
      <c r="AH17" s="58">
        <f t="shared" si="29"/>
        <v>127.26</v>
      </c>
      <c r="AI17" s="58">
        <f t="shared" si="29"/>
        <v>1051.9967272311021</v>
      </c>
      <c r="AJ17" s="58">
        <f t="shared" si="29"/>
        <v>171.33579867995255</v>
      </c>
      <c r="AK17" s="58">
        <f t="shared" si="29"/>
        <v>470.35200503880566</v>
      </c>
      <c r="AL17" s="58">
        <f t="shared" si="29"/>
        <v>657.31820939963188</v>
      </c>
      <c r="AM17" s="59">
        <f t="shared" si="29"/>
        <v>0.29387088326763355</v>
      </c>
      <c r="AN17" s="59">
        <f t="shared" si="29"/>
        <v>5.1856266461183456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145</v>
      </c>
      <c r="L18" s="67"/>
      <c r="M18" s="67"/>
      <c r="N18" s="68"/>
      <c r="O18" s="69"/>
      <c r="P18" s="64">
        <f t="shared" ref="P18:X18" si="30">SUM(P3:P16)</f>
        <v>78</v>
      </c>
      <c r="Q18" s="64">
        <f t="shared" si="30"/>
        <v>1</v>
      </c>
      <c r="R18" s="64">
        <f t="shared" si="30"/>
        <v>77</v>
      </c>
      <c r="S18" s="70">
        <f t="shared" si="30"/>
        <v>192533</v>
      </c>
      <c r="T18" s="64">
        <f t="shared" si="30"/>
        <v>-2103</v>
      </c>
      <c r="U18" s="64">
        <f t="shared" si="30"/>
        <v>190430</v>
      </c>
      <c r="V18" s="71">
        <f t="shared" si="30"/>
        <v>1</v>
      </c>
      <c r="W18" s="64">
        <f t="shared" si="30"/>
        <v>10091.01</v>
      </c>
      <c r="X18" s="64">
        <f t="shared" si="30"/>
        <v>81884.899999999994</v>
      </c>
      <c r="Y18" s="72">
        <f>IF(U18=0,0,X18/U18)</f>
        <v>0.43</v>
      </c>
      <c r="Z18" s="64">
        <f t="shared" ref="Z18:AE18" si="31">SUM(Z3:Z16)</f>
        <v>13298.26</v>
      </c>
      <c r="AA18" s="64">
        <f t="shared" si="31"/>
        <v>36308.598933999994</v>
      </c>
      <c r="AB18" s="64">
        <f t="shared" si="31"/>
        <v>0</v>
      </c>
      <c r="AC18" s="64">
        <f t="shared" si="31"/>
        <v>0</v>
      </c>
      <c r="AD18" s="73">
        <f t="shared" si="31"/>
        <v>762.48</v>
      </c>
      <c r="AE18" s="74">
        <f t="shared" si="31"/>
        <v>48084.751066000004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3589848.7621750943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145</v>
      </c>
      <c r="L24" s="119"/>
      <c r="M24" s="119"/>
      <c r="N24" s="119"/>
      <c r="O24" s="119"/>
      <c r="P24" s="120">
        <f>P18+P22</f>
        <v>78</v>
      </c>
      <c r="Q24" s="118">
        <f>Q18+Q22</f>
        <v>1</v>
      </c>
      <c r="R24" s="121">
        <f>R18-R22</f>
        <v>77</v>
      </c>
      <c r="S24" s="118">
        <f t="shared" ref="S24:X24" si="34">S18+S22</f>
        <v>192533</v>
      </c>
      <c r="T24" s="118">
        <f t="shared" si="34"/>
        <v>-2103</v>
      </c>
      <c r="U24" s="121">
        <f t="shared" si="34"/>
        <v>190430</v>
      </c>
      <c r="V24" s="122">
        <f t="shared" si="34"/>
        <v>1</v>
      </c>
      <c r="W24" s="118">
        <f t="shared" si="34"/>
        <v>10091.01</v>
      </c>
      <c r="X24" s="118">
        <f t="shared" si="34"/>
        <v>81884.899999999994</v>
      </c>
      <c r="Y24" s="123">
        <f>X24/U24</f>
        <v>0.43</v>
      </c>
      <c r="Z24" s="118">
        <f>Z18+Z22</f>
        <v>13298.26</v>
      </c>
      <c r="AA24" s="118">
        <f>AA18+AA22</f>
        <v>36308.598933999994</v>
      </c>
      <c r="AB24" s="125"/>
      <c r="AC24" s="125">
        <f>SUM(AC3:AC20)</f>
        <v>0</v>
      </c>
      <c r="AD24" s="118">
        <f>AD18+AD22</f>
        <v>762.48</v>
      </c>
      <c r="AE24" s="126">
        <f>AE18+AE22</f>
        <v>48084.751066000004</v>
      </c>
      <c r="AF24" s="127"/>
      <c r="AG24" s="128"/>
      <c r="AH24" s="129"/>
      <c r="AI24" s="129"/>
      <c r="AJ24" s="129"/>
      <c r="AK24" s="129">
        <f>AA25/P24</f>
        <v>465.49485812820507</v>
      </c>
      <c r="AL24" s="129"/>
      <c r="AM24" s="129"/>
      <c r="AN24" s="130"/>
      <c r="AP24" s="126">
        <f>SUM(AP3:AP20)</f>
        <v>7179697.5243501887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36308.598933999994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450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8" priority="19" operator="greaterThan">
      <formula>120</formula>
    </cfRule>
  </conditionalFormatting>
  <conditionalFormatting sqref="N23">
    <cfRule type="cellIs" dxfId="297" priority="18" operator="between">
      <formula>0.000001</formula>
      <formula>25</formula>
    </cfRule>
  </conditionalFormatting>
  <conditionalFormatting sqref="V1 V25:V1048576">
    <cfRule type="cellIs" dxfId="29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295" priority="14" operator="greaterThan">
      <formula>120</formula>
    </cfRule>
  </conditionalFormatting>
  <conditionalFormatting sqref="Q23">
    <cfRule type="cellIs" dxfId="294" priority="13" operator="greaterThan">
      <formula>120</formula>
    </cfRule>
  </conditionalFormatting>
  <conditionalFormatting sqref="R23">
    <cfRule type="cellIs" dxfId="293" priority="12" operator="greaterThan">
      <formula>120</formula>
    </cfRule>
  </conditionalFormatting>
  <conditionalFormatting sqref="S23">
    <cfRule type="cellIs" dxfId="292" priority="11" operator="greaterThan">
      <formula>120</formula>
    </cfRule>
  </conditionalFormatting>
  <conditionalFormatting sqref="T23">
    <cfRule type="cellIs" dxfId="291" priority="10" operator="greaterThan">
      <formula>120</formula>
    </cfRule>
  </conditionalFormatting>
  <conditionalFormatting sqref="U23">
    <cfRule type="cellIs" dxfId="290" priority="9" operator="greaterThan">
      <formula>120</formula>
    </cfRule>
  </conditionalFormatting>
  <conditionalFormatting sqref="V23">
    <cfRule type="cellIs" dxfId="289" priority="8" operator="greaterThan">
      <formula>120</formula>
    </cfRule>
  </conditionalFormatting>
  <conditionalFormatting sqref="W23">
    <cfRule type="cellIs" dxfId="288" priority="7" operator="greaterThan">
      <formula>120</formula>
    </cfRule>
  </conditionalFormatting>
  <conditionalFormatting sqref="X23">
    <cfRule type="cellIs" dxfId="287" priority="6" operator="greaterThan">
      <formula>120</formula>
    </cfRule>
  </conditionalFormatting>
  <conditionalFormatting sqref="Z23">
    <cfRule type="cellIs" dxfId="28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51451+460</f>
        <v>51911</v>
      </c>
      <c r="AE1" s="266">
        <f>U24/AD1</f>
        <v>2.5001830055286933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v>3</v>
      </c>
      <c r="L3" s="36"/>
      <c r="M3" s="36"/>
      <c r="N3" s="37">
        <f>K3/$O$1</f>
        <v>0.6</v>
      </c>
      <c r="O3" s="38">
        <f>R3/$O$1</f>
        <v>0.6</v>
      </c>
      <c r="P3" s="39">
        <f>SUMIFS('Отчет 01-05.04'!H:H,'Отчет 01-05.04'!D:D,"Выручка",'Отчет 01-05.04'!E:E,B3)</f>
        <v>3</v>
      </c>
      <c r="Q3" s="39">
        <f>SUMIFS('Отчет 01-05.04'!H:H,'Отчет 01-05.04'!D:D,"Возврат выручки",'Отчет 01-05.04'!E:E,B3)</f>
        <v>0</v>
      </c>
      <c r="R3" s="40">
        <f t="shared" ref="R3:R7" si="1">P3-Q3</f>
        <v>3</v>
      </c>
      <c r="S3" s="41">
        <f>SUMIFS('Отчет 01-05.04'!P:P,'Отчет 01-05.04'!C:C,"Продажи",'Отчет 01-05.04'!E:E,B3)</f>
        <v>7950</v>
      </c>
      <c r="T3" s="42">
        <f>SUMIFS('Отчет 01-05.04'!P:P,'Отчет 01-05.04'!C:C,"Возвраты",'Отчет 01-05.04'!E:E,B3)</f>
        <v>0</v>
      </c>
      <c r="U3" s="40">
        <f t="shared" ref="U3:U7" si="2">S3+T3</f>
        <v>7950</v>
      </c>
      <c r="V3" s="43">
        <f t="shared" ref="V3:V14" si="3">U3/$U$24</f>
        <v>6.1254208819065084E-2</v>
      </c>
      <c r="W3" s="44">
        <f t="shared" ref="W3:W7" si="4">R3*H3</f>
        <v>428.93999999999994</v>
      </c>
      <c r="X3" s="42">
        <f>-SUMIFS('Отчет 01-05.04'!P:P,'Отчет 01-05.04'!C:C,"Вознаграждение Ozon",'Отчет 01-05.04'!E:E,B3)</f>
        <v>3418.5</v>
      </c>
      <c r="Y3" s="45">
        <f t="shared" ref="Y3:Y16" si="5">IF(U3=0,0,X3/U3)</f>
        <v>0.43</v>
      </c>
      <c r="Z3" s="42">
        <f>-SUMIFS('Отчет 01-05.04'!P:P,'Отчет 01-05.04'!C:C,"Услуги доставки",'Отчет 01-05.04'!E:E,B3)</f>
        <v>613.06999999999994</v>
      </c>
      <c r="AA3" s="32">
        <v>2174.4071530000001</v>
      </c>
      <c r="AB3" s="42"/>
      <c r="AC3" s="42"/>
      <c r="AD3" s="46">
        <f>IFERROR(U3*1%/$AE$1,0)</f>
        <v>31.797672340064874</v>
      </c>
      <c r="AE3" s="47">
        <f t="shared" ref="AE3:AE7" si="6">U3-W3-X3-Z3-AA3-AB3-AC3-AD3</f>
        <v>1283.2851746599358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204.35666666666665</v>
      </c>
      <c r="AK3" s="49">
        <f t="shared" ref="AK3:AK7" si="11">IF(P3=0,0,AA3/P3)</f>
        <v>724.80238433333341</v>
      </c>
      <c r="AL3" s="49">
        <f>_xlfn.IFS(R3=0,AE3,R3&lt;0,AE3/-R3,R3&gt;0,AE3/R3)</f>
        <v>427.76172488664525</v>
      </c>
      <c r="AM3" s="50">
        <f t="shared" ref="AM3:AM7" si="12">IF(AG3=0,0,AL3/AG3)</f>
        <v>0.16141951882514916</v>
      </c>
      <c r="AN3" s="51">
        <f t="shared" ref="AN3:AN7" si="13">IF(AH3=0,0,AL3/AH3)</f>
        <v>2.9917591613277752</v>
      </c>
      <c r="AP3" s="53">
        <f t="shared" ref="AP3:AP7" si="14">AL3*C3</f>
        <v>146294.50991123269</v>
      </c>
    </row>
    <row r="4" spans="1:42">
      <c r="A4" s="30">
        <v>2676784638</v>
      </c>
      <c r="B4" s="31" t="s">
        <v>39</v>
      </c>
      <c r="C4" s="32"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v>7</v>
      </c>
      <c r="L4" s="36"/>
      <c r="M4" s="36"/>
      <c r="N4" s="37">
        <f t="shared" ref="N4:N16" si="15">K4/$O$1</f>
        <v>1.4</v>
      </c>
      <c r="O4" s="38">
        <f t="shared" ref="O4:O16" si="16">R4/$O$1</f>
        <v>0.6</v>
      </c>
      <c r="P4" s="39">
        <f>SUMIFS('Отчет 01-05.04'!H:H,'Отчет 01-05.04'!D:D,"Выручка",'Отчет 01-05.04'!E:E,B4)</f>
        <v>4</v>
      </c>
      <c r="Q4" s="39">
        <f>SUMIFS('Отчет 01-05.04'!H:H,'Отчет 01-05.04'!D:D,"Возврат выручки",'Отчет 01-05.04'!E:E,B4)</f>
        <v>1</v>
      </c>
      <c r="R4" s="40">
        <f t="shared" si="1"/>
        <v>3</v>
      </c>
      <c r="S4" s="41">
        <f>SUMIFS('Отчет 01-05.04'!P:P,'Отчет 01-05.04'!C:C,"Продажи",'Отчет 01-05.04'!E:E,B4)</f>
        <v>10600</v>
      </c>
      <c r="T4" s="42">
        <f>SUMIFS('Отчет 01-05.04'!P:P,'Отчет 01-05.04'!C:C,"Возвраты",'Отчет 01-05.04'!E:E,B4)</f>
        <v>-2103</v>
      </c>
      <c r="U4" s="40">
        <f t="shared" si="2"/>
        <v>8497</v>
      </c>
      <c r="V4" s="43">
        <f t="shared" si="3"/>
        <v>6.5468806583093841E-2</v>
      </c>
      <c r="W4" s="44">
        <f t="shared" si="4"/>
        <v>369.27</v>
      </c>
      <c r="X4" s="42">
        <f>-SUMIFS('Отчет 01-05.04'!P:P,'Отчет 01-05.04'!C:C,"Вознаграждение Ozon",'Отчет 01-05.04'!E:E,B4)</f>
        <v>3653.71</v>
      </c>
      <c r="Y4" s="45">
        <f t="shared" si="5"/>
        <v>0.43</v>
      </c>
      <c r="Z4" s="42">
        <f>-SUMIFS('Отчет 01-05.04'!P:P,'Отчет 01-05.04'!C:C,"Услуги доставки",'Отчет 01-05.04'!E:E,B4)</f>
        <v>969.13999999999987</v>
      </c>
      <c r="AA4" s="32">
        <v>2881.1071080000002</v>
      </c>
      <c r="AB4" s="42"/>
      <c r="AC4" s="42"/>
      <c r="AD4" s="46">
        <f t="shared" ref="AD4:AD16" si="17">IFERROR(U4*1%/$AE$1,0)</f>
        <v>33.98551218534984</v>
      </c>
      <c r="AE4" s="47">
        <f t="shared" si="6"/>
        <v>589.78737981464963</v>
      </c>
      <c r="AF4" s="46"/>
      <c r="AG4" s="48">
        <f t="shared" si="7"/>
        <v>2832.3333333333335</v>
      </c>
      <c r="AH4" s="49">
        <f t="shared" si="8"/>
        <v>123.09</v>
      </c>
      <c r="AI4" s="49">
        <f t="shared" si="9"/>
        <v>1217.9033333333334</v>
      </c>
      <c r="AJ4" s="49">
        <f t="shared" si="10"/>
        <v>242.28499999999997</v>
      </c>
      <c r="AK4" s="49">
        <f t="shared" si="11"/>
        <v>720.27677700000004</v>
      </c>
      <c r="AL4" s="49">
        <f t="array" ref="AL4">_xlfn.IFS(R4=0,AE4,R4&lt;0,AE4/-R4,R4&gt;0,AE4/R4)</f>
        <v>196.59579327154987</v>
      </c>
      <c r="AM4" s="50">
        <f t="shared" si="12"/>
        <v>6.9411248654189669E-2</v>
      </c>
      <c r="AN4" s="51">
        <f t="shared" si="13"/>
        <v>1.597171120899747</v>
      </c>
      <c r="AP4" s="53">
        <f t="shared" si="14"/>
        <v>65269.803366154556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1</v>
      </c>
      <c r="L5" s="36"/>
      <c r="M5" s="36"/>
      <c r="N5" s="37">
        <f t="shared" si="15"/>
        <v>0.2</v>
      </c>
      <c r="O5" s="38">
        <f t="shared" si="16"/>
        <v>0.2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0</v>
      </c>
      <c r="R5" s="40">
        <f t="shared" si="1"/>
        <v>1</v>
      </c>
      <c r="S5" s="41">
        <f>SUMIFS('Отчет 01-05.04'!P:P,'Отчет 01-05.04'!C:C,"Продажи",'Отчет 01-05.04'!E:E,B5)</f>
        <v>2650</v>
      </c>
      <c r="T5" s="42">
        <f>SUMIFS('Отчет 01-05.04'!P:P,'Отчет 01-05.04'!C:C,"Возвраты",'Отчет 01-05.04'!E:E,B5)</f>
        <v>0</v>
      </c>
      <c r="U5" s="40">
        <f t="shared" si="2"/>
        <v>2650</v>
      </c>
      <c r="V5" s="43">
        <f t="shared" si="3"/>
        <v>2.0418069606355029E-2</v>
      </c>
      <c r="W5" s="44">
        <f t="shared" si="4"/>
        <v>123.09</v>
      </c>
      <c r="X5" s="42">
        <f>-SUMIFS('Отчет 01-05.04'!P:P,'Отчет 01-05.04'!C:C,"Вознаграждение Ozon",'Отчет 01-05.04'!E:E,B5)</f>
        <v>1139.5</v>
      </c>
      <c r="Y5" s="45">
        <f t="shared" si="5"/>
        <v>0.43</v>
      </c>
      <c r="Z5" s="42">
        <f>-SUMIFS('Отчет 01-05.04'!P:P,'Отчет 01-05.04'!C:C,"Услуги доставки",'Отчет 01-05.04'!E:E,B5)</f>
        <v>75.45</v>
      </c>
      <c r="AA5" s="32"/>
      <c r="AB5" s="55"/>
      <c r="AC5" s="42"/>
      <c r="AD5" s="46">
        <f t="shared" si="17"/>
        <v>10.599224113354959</v>
      </c>
      <c r="AE5" s="47">
        <f t="shared" si="6"/>
        <v>1301.3607758866449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75.45</v>
      </c>
      <c r="AK5" s="49">
        <f t="shared" si="11"/>
        <v>0</v>
      </c>
      <c r="AL5" s="49">
        <f t="array" ref="AL5">_xlfn.IFS(R5=0,AE5,R5&lt;0,AE5/-R5,R5&gt;0,AE5/R5)</f>
        <v>1301.3607758866449</v>
      </c>
      <c r="AM5" s="50">
        <f t="shared" si="12"/>
        <v>0.49107953807043203</v>
      </c>
      <c r="AN5" s="51">
        <f t="shared" si="13"/>
        <v>10.572432983074538</v>
      </c>
      <c r="AP5" s="53">
        <f t="shared" si="14"/>
        <v>463284.43621564558</v>
      </c>
    </row>
    <row r="6" spans="1:42">
      <c r="A6" s="30">
        <v>2676784514</v>
      </c>
      <c r="B6" s="31" t="s">
        <v>41</v>
      </c>
      <c r="C6" s="32"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/>
      <c r="L6" s="36"/>
      <c r="M6" s="36"/>
      <c r="N6" s="37">
        <f t="shared" si="15"/>
        <v>0</v>
      </c>
      <c r="O6" s="38">
        <f t="shared" si="16"/>
        <v>0.2</v>
      </c>
      <c r="P6" s="39">
        <f>SUMIFS('Отчет 01-05.04'!H:H,'Отчет 01-05.04'!D:D,"Выручка",'Отчет 01-05.04'!E:E,B6)</f>
        <v>1</v>
      </c>
      <c r="Q6" s="39">
        <f>SUMIFS('Отчет 01-05.04'!H:H,'Отчет 01-05.04'!D:D,"Возврат выручки",'Отчет 01-05.04'!E:E,B6)</f>
        <v>0</v>
      </c>
      <c r="R6" s="40">
        <f t="shared" si="1"/>
        <v>1</v>
      </c>
      <c r="S6" s="41">
        <f>SUMIFS('Отчет 01-05.04'!P:P,'Отчет 01-05.04'!C:C,"Продажи",'Отчет 01-05.04'!E:E,B6)</f>
        <v>2180</v>
      </c>
      <c r="T6" s="42">
        <f>SUMIFS('Отчет 01-05.04'!P:P,'Отчет 01-05.04'!C:C,"Возвраты",'Отчет 01-05.04'!E:E,B6)</f>
        <v>0</v>
      </c>
      <c r="U6" s="40">
        <f t="shared" si="2"/>
        <v>2180</v>
      </c>
      <c r="V6" s="43">
        <f t="shared" si="3"/>
        <v>1.6796751600699607E-2</v>
      </c>
      <c r="W6" s="44">
        <f t="shared" si="4"/>
        <v>123.09</v>
      </c>
      <c r="X6" s="42">
        <f>-SUMIFS('Отчет 01-05.04'!P:P,'Отчет 01-05.04'!C:C,"Вознаграждение Ozon",'Отчет 01-05.04'!E:E,B6)</f>
        <v>937.4</v>
      </c>
      <c r="Y6" s="45">
        <f t="shared" si="5"/>
        <v>0.43</v>
      </c>
      <c r="Z6" s="42">
        <f>-SUMIFS('Отчет 01-05.04'!P:P,'Отчет 01-05.04'!C:C,"Услуги доставки",'Отчет 01-05.04'!E:E,B6)</f>
        <v>277.47000000000003</v>
      </c>
      <c r="AA6" s="32">
        <v>0</v>
      </c>
      <c r="AB6" s="55"/>
      <c r="AC6" s="42"/>
      <c r="AD6" s="46">
        <f t="shared" si="17"/>
        <v>8.7193617234391745</v>
      </c>
      <c r="AE6" s="47">
        <f t="shared" si="6"/>
        <v>833.32063827656054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277.47000000000003</v>
      </c>
      <c r="AK6" s="49">
        <f t="shared" si="11"/>
        <v>0</v>
      </c>
      <c r="AL6" s="49">
        <f t="array" ref="AL6">_xlfn.IFS(R6=0,AE6,R6&lt;0,AE6/-R6,R6&gt;0,AE6/R6)</f>
        <v>833.32063827656054</v>
      </c>
      <c r="AM6" s="50">
        <f t="shared" si="12"/>
        <v>0.38225717352135807</v>
      </c>
      <c r="AN6" s="51">
        <f t="shared" si="13"/>
        <v>6.7700108723418682</v>
      </c>
      <c r="AP6" s="53">
        <f t="shared" si="14"/>
        <v>529158.60530561593</v>
      </c>
    </row>
    <row r="7" spans="1:42">
      <c r="A7" s="30">
        <v>2676784181</v>
      </c>
      <c r="B7" s="31" t="s">
        <v>42</v>
      </c>
      <c r="C7" s="32"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v>11</v>
      </c>
      <c r="L7" s="36"/>
      <c r="M7" s="36"/>
      <c r="N7" s="37">
        <f t="shared" si="15"/>
        <v>2.2000000000000002</v>
      </c>
      <c r="O7" s="38">
        <f t="shared" si="16"/>
        <v>1.6</v>
      </c>
      <c r="P7" s="39">
        <f>SUMIFS('Отчет 01-05.04'!H:H,'Отчет 01-05.04'!D:D,"Выручка",'Отчет 01-05.04'!E:E,B7)</f>
        <v>8</v>
      </c>
      <c r="Q7" s="39">
        <f>SUMIFS('Отчет 01-05.04'!H:H,'Отчет 01-05.04'!D:D,"Возврат выручки",'Отчет 01-05.04'!E:E,B7)</f>
        <v>0</v>
      </c>
      <c r="R7" s="40">
        <f t="shared" si="1"/>
        <v>8</v>
      </c>
      <c r="S7" s="41">
        <f>SUMIFS('Отчет 01-05.04'!P:P,'Отчет 01-05.04'!C:C,"Продажи",'Отчет 01-05.04'!E:E,B7)</f>
        <v>19584</v>
      </c>
      <c r="T7" s="42">
        <f>SUMIFS('Отчет 01-05.04'!P:P,'Отчет 01-05.04'!C:C,"Возвраты",'Отчет 01-05.04'!E:E,B7)</f>
        <v>0</v>
      </c>
      <c r="U7" s="40">
        <f t="shared" si="2"/>
        <v>19584</v>
      </c>
      <c r="V7" s="43">
        <f t="shared" si="3"/>
        <v>0.15089338685692713</v>
      </c>
      <c r="W7" s="44">
        <f t="shared" si="4"/>
        <v>937.92</v>
      </c>
      <c r="X7" s="42">
        <f>-SUMIFS('Отчет 01-05.04'!P:P,'Отчет 01-05.04'!C:C,"Вознаграждение Ozon",'Отчет 01-05.04'!E:E,B7)</f>
        <v>8421.119999999999</v>
      </c>
      <c r="Y7" s="45">
        <f t="shared" si="5"/>
        <v>0.42999999999999994</v>
      </c>
      <c r="Z7" s="42">
        <f>-SUMIFS('Отчет 01-05.04'!P:P,'Отчет 01-05.04'!C:C,"Услуги доставки",'Отчет 01-05.04'!E:E,B7)</f>
        <v>1058.4299999999998</v>
      </c>
      <c r="AA7" s="32">
        <v>3802.1490059999996</v>
      </c>
      <c r="AB7" s="55"/>
      <c r="AC7" s="42"/>
      <c r="AD7" s="46">
        <f t="shared" si="17"/>
        <v>78.330266051299432</v>
      </c>
      <c r="AE7" s="47">
        <f t="shared" si="6"/>
        <v>5286.0507279487038</v>
      </c>
      <c r="AF7" s="46"/>
      <c r="AG7" s="48">
        <f t="shared" si="7"/>
        <v>2448</v>
      </c>
      <c r="AH7" s="49">
        <f t="shared" si="8"/>
        <v>117.24</v>
      </c>
      <c r="AI7" s="49">
        <f t="shared" si="9"/>
        <v>1052.6399999999999</v>
      </c>
      <c r="AJ7" s="49">
        <f t="shared" si="10"/>
        <v>132.30374999999998</v>
      </c>
      <c r="AK7" s="49">
        <f t="shared" si="11"/>
        <v>475.26862574999996</v>
      </c>
      <c r="AL7" s="49">
        <f t="array" ref="AL7">_xlfn.IFS(R7=0,AE7,R7&lt;0,AE7/-R7,R7&gt;0,AE7/R7)</f>
        <v>660.75634099358797</v>
      </c>
      <c r="AM7" s="50">
        <f t="shared" si="12"/>
        <v>0.26991680596143297</v>
      </c>
      <c r="AN7" s="51">
        <f t="shared" si="13"/>
        <v>5.6359292135242924</v>
      </c>
      <c r="AP7" s="53">
        <f t="shared" si="14"/>
        <v>379274.1397303195</v>
      </c>
    </row>
    <row r="8" spans="1:42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v>16</v>
      </c>
      <c r="L8" s="36"/>
      <c r="M8" s="36"/>
      <c r="N8" s="37">
        <f t="shared" si="15"/>
        <v>3.2</v>
      </c>
      <c r="O8" s="38">
        <f t="shared" si="16"/>
        <v>1.8</v>
      </c>
      <c r="P8" s="39">
        <f>SUMIFS('Отчет 01-05.04'!H:H,'Отчет 01-05.04'!D:D,"Выручка",'Отчет 01-05.04'!E:E,B8)</f>
        <v>9</v>
      </c>
      <c r="Q8" s="39">
        <f>SUMIFS('Отчет 01-05.04'!H:H,'Отчет 01-05.04'!D:D,"Возврат выручки",'Отчет 01-05.04'!E:E,B8)</f>
        <v>0</v>
      </c>
      <c r="R8" s="40">
        <f>P8-Q8</f>
        <v>9</v>
      </c>
      <c r="S8" s="41">
        <f>SUMIFS('Отчет 01-05.04'!P:P,'Отчет 01-05.04'!C:C,"Продажи",'Отчет 01-05.04'!E:E,B8)</f>
        <v>24750.000000000004</v>
      </c>
      <c r="T8" s="42">
        <f>SUMIFS('Отчет 01-05.04'!P:P,'Отчет 01-05.04'!C:C,"Возвраты",'Отчет 01-05.04'!E:E,B8)</f>
        <v>0</v>
      </c>
      <c r="U8" s="40">
        <f>S8+T8</f>
        <v>24750.000000000004</v>
      </c>
      <c r="V8" s="43">
        <f t="shared" si="3"/>
        <v>0.19069706519142907</v>
      </c>
      <c r="W8" s="44">
        <f>R8*H8</f>
        <v>1529.0099999999998</v>
      </c>
      <c r="X8" s="42">
        <f>-SUMIFS('Отчет 01-05.04'!P:P,'Отчет 01-05.04'!C:C,"Вознаграждение Ozon",'Отчет 01-05.04'!E:E,B8)</f>
        <v>10642.5</v>
      </c>
      <c r="Y8" s="45">
        <f t="shared" si="5"/>
        <v>0.42999999999999994</v>
      </c>
      <c r="Z8" s="42">
        <f>-SUMIFS('Отчет 01-05.04'!P:P,'Отчет 01-05.04'!C:C,"Услуги доставки",'Отчет 01-05.04'!E:E,B8)</f>
        <v>1797.6999999999996</v>
      </c>
      <c r="AA8" s="32">
        <v>1558.6267789999999</v>
      </c>
      <c r="AB8" s="55"/>
      <c r="AC8" s="42"/>
      <c r="AD8" s="46">
        <f t="shared" si="17"/>
        <v>98.992753511522736</v>
      </c>
      <c r="AE8" s="47">
        <f>U8-W8-X8-Z8-AA8-AB8-AC8-AD8</f>
        <v>9123.1704674884841</v>
      </c>
      <c r="AF8" s="46"/>
      <c r="AG8" s="48">
        <f>IF(R8=0,0,U8/R8)</f>
        <v>2750.0000000000005</v>
      </c>
      <c r="AH8" s="49">
        <f>H8</f>
        <v>169.89</v>
      </c>
      <c r="AI8" s="49">
        <f>IF(R8=0,0,X8/R8)</f>
        <v>1182.5</v>
      </c>
      <c r="AJ8" s="49">
        <f>IF(P8=0,Z8/1,Z8/P8)</f>
        <v>199.74444444444441</v>
      </c>
      <c r="AK8" s="49">
        <f>IF(P8=0,0,AA8/P8)</f>
        <v>173.18075322222222</v>
      </c>
      <c r="AL8" s="49">
        <f t="array" ref="AL8">_xlfn.IFS(R8=0,AE8,R8&lt;0,AE8/-R8,R8&gt;0,AE8/R8)</f>
        <v>1013.6856074987204</v>
      </c>
      <c r="AM8" s="50">
        <f>IF(AG8=0,0,AL8/AG8)</f>
        <v>0.36861294818135282</v>
      </c>
      <c r="AN8" s="51">
        <f>IF(AH8=0,0,AL8/AH8)</f>
        <v>5.9667173317954001</v>
      </c>
      <c r="AP8" s="53">
        <f>AL8*C8</f>
        <v>185504.46617226582</v>
      </c>
    </row>
    <row r="9" spans="1:42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v>1</v>
      </c>
      <c r="L9" s="36"/>
      <c r="M9" s="36"/>
      <c r="N9" s="37">
        <f t="shared" si="15"/>
        <v>0.2</v>
      </c>
      <c r="O9" s="38">
        <f t="shared" si="16"/>
        <v>0</v>
      </c>
      <c r="P9" s="39">
        <f>SUMIFS('Отчет 01-05.04'!H:H,'Отчет 01-05.04'!D:D,"Выручка",'Отчет 01-05.04'!E:E,B9)</f>
        <v>0</v>
      </c>
      <c r="Q9" s="39">
        <f>SUMIFS('Отчет 01-05.04'!H:H,'Отчет 01-05.04'!D:D,"Возврат выручки",'Отчет 01-05.04'!E:E,B9)</f>
        <v>0</v>
      </c>
      <c r="R9" s="40">
        <f t="shared" ref="R9:R16" si="18">P9-Q9</f>
        <v>0</v>
      </c>
      <c r="S9" s="41">
        <f>SUMIFS('Отчет 01-05.04'!P:P,'Отчет 01-05.04'!C:C,"Продажи",'Отчет 01-05.04'!E:E,B9)</f>
        <v>0</v>
      </c>
      <c r="T9" s="42">
        <f>SUMIFS('Отчет 01-05.04'!P:P,'Отчет 01-05.04'!C:C,"Возвраты",'Отчет 01-05.04'!E:E,B9)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01-05.04'!P:P,'Отчет 01-05.04'!C:C,"Вознаграждение Ozon",'Отчет 01-05.04'!E:E,B9)</f>
        <v>0</v>
      </c>
      <c r="Y9" s="45">
        <f t="shared" si="5"/>
        <v>0</v>
      </c>
      <c r="Z9" s="42">
        <f>-SUMIFS('Отчет 01-05.04'!P:P,'Отчет 01-05.04'!C:C,"Услуги доставки",'Отчет 01-05.04'!E:E,B9)</f>
        <v>113.88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-113.88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-113.88</v>
      </c>
      <c r="AM9" s="50">
        <f t="shared" ref="AM9:AM16" si="27">IF(AG9=0,0,AL9/AG9)</f>
        <v>0</v>
      </c>
      <c r="AN9" s="51">
        <f t="shared" ref="AN9:AN16" si="28">IF(AH9=0,0,AL9/AH9)</f>
        <v>-0.9258536585365853</v>
      </c>
      <c r="AP9" s="53">
        <f t="shared" ref="AP9:AP16" si="29">AL9*C9</f>
        <v>-41907.839999999997</v>
      </c>
    </row>
    <row r="10" spans="1:42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/>
      <c r="L10" s="36"/>
      <c r="M10" s="36"/>
      <c r="N10" s="37">
        <f t="shared" si="15"/>
        <v>0</v>
      </c>
      <c r="O10" s="38">
        <f t="shared" si="16"/>
        <v>0.2</v>
      </c>
      <c r="P10" s="39">
        <f>SUMIFS('Отчет 01-05.04'!H:H,'Отчет 01-05.04'!D:D,"Выручка",'Отчет 01-05.04'!E:E,B10)</f>
        <v>1</v>
      </c>
      <c r="Q10" s="39">
        <f>SUMIFS('Отчет 01-05.04'!H:H,'Отчет 01-05.04'!D:D,"Возврат выручки",'Отчет 01-05.04'!E:E,B10)</f>
        <v>0</v>
      </c>
      <c r="R10" s="40">
        <f t="shared" si="18"/>
        <v>1</v>
      </c>
      <c r="S10" s="41">
        <f>SUMIFS('Отчет 01-05.04'!P:P,'Отчет 01-05.04'!C:C,"Продажи",'Отчет 01-05.04'!E:E,B10)</f>
        <v>2420</v>
      </c>
      <c r="T10" s="42">
        <f>SUMIFS('Отчет 01-05.04'!P:P,'Отчет 01-05.04'!C:C,"Возвраты",'Отчет 01-05.04'!E:E,B10)</f>
        <v>0</v>
      </c>
      <c r="U10" s="40">
        <f t="shared" si="19"/>
        <v>2420</v>
      </c>
      <c r="V10" s="43">
        <f t="shared" si="3"/>
        <v>1.8645935263161949E-2</v>
      </c>
      <c r="W10" s="44">
        <f t="shared" si="20"/>
        <v>123</v>
      </c>
      <c r="X10" s="42">
        <f>-SUMIFS('Отчет 01-05.04'!P:P,'Отчет 01-05.04'!C:C,"Вознаграждение Ozon",'Отчет 01-05.04'!E:E,B10)</f>
        <v>1040.5999999999999</v>
      </c>
      <c r="Y10" s="45">
        <f t="shared" si="5"/>
        <v>0.42999999999999994</v>
      </c>
      <c r="Z10" s="42">
        <f>-SUMIFS('Отчет 01-05.04'!P:P,'Отчет 01-05.04'!C:C,"Услуги доставки",'Отчет 01-05.04'!E:E,B10)</f>
        <v>85.41</v>
      </c>
      <c r="AA10" s="32">
        <v>322</v>
      </c>
      <c r="AB10" s="55"/>
      <c r="AC10" s="42"/>
      <c r="AD10" s="46">
        <f t="shared" si="17"/>
        <v>9.6792914544599995</v>
      </c>
      <c r="AE10" s="47">
        <f t="shared" si="21"/>
        <v>839.31070854554002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85.41</v>
      </c>
      <c r="AK10" s="49">
        <f t="shared" si="26"/>
        <v>322</v>
      </c>
      <c r="AL10" s="49">
        <f t="array" ref="AL10">_xlfn.IFS(R10=0,AE10,R10&lt;0,AE10/-R10,R10&gt;0,AE10/R10)</f>
        <v>839.31070854554002</v>
      </c>
      <c r="AM10" s="50">
        <f t="shared" si="27"/>
        <v>0.346822606837</v>
      </c>
      <c r="AN10" s="51">
        <f t="shared" si="28"/>
        <v>6.8236642971182118</v>
      </c>
      <c r="AP10" s="53">
        <f t="shared" si="29"/>
        <v>299633.92295075778</v>
      </c>
    </row>
    <row r="11" spans="1:42">
      <c r="A11" s="30">
        <v>3064346962</v>
      </c>
      <c r="B11" s="31" t="s">
        <v>52</v>
      </c>
      <c r="C11" s="32"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v>10</v>
      </c>
      <c r="L11" s="36"/>
      <c r="M11" s="36"/>
      <c r="N11" s="37">
        <f t="shared" si="15"/>
        <v>2</v>
      </c>
      <c r="O11" s="38">
        <f t="shared" si="16"/>
        <v>1.8</v>
      </c>
      <c r="P11" s="39">
        <f>SUMIFS('Отчет 01-05.04'!H:H,'Отчет 01-05.04'!D:D,"Выручка",'Отчет 01-05.04'!E:E,B11)</f>
        <v>9</v>
      </c>
      <c r="Q11" s="39">
        <f>SUMIFS('Отчет 01-05.04'!H:H,'Отчет 01-05.04'!D:D,"Возврат выручки",'Отчет 01-05.04'!E:E,B11)</f>
        <v>0</v>
      </c>
      <c r="R11" s="40">
        <f t="shared" si="18"/>
        <v>9</v>
      </c>
      <c r="S11" s="41">
        <f>SUMIFS('Отчет 01-05.04'!P:P,'Отчет 01-05.04'!C:C,"Продажи",'Отчет 01-05.04'!E:E,B11)</f>
        <v>22125.999999999996</v>
      </c>
      <c r="T11" s="42">
        <f>SUMIFS('Отчет 01-05.04'!P:P,'Отчет 01-05.04'!C:C,"Возвраты",'Отчет 01-05.04'!E:E,B11)</f>
        <v>0</v>
      </c>
      <c r="U11" s="40">
        <f t="shared" si="19"/>
        <v>22125.999999999996</v>
      </c>
      <c r="V11" s="43">
        <f t="shared" si="3"/>
        <v>0.17047932381517406</v>
      </c>
      <c r="W11" s="44">
        <f t="shared" si="20"/>
        <v>1107</v>
      </c>
      <c r="X11" s="42">
        <f>-SUMIFS('Отчет 01-05.04'!P:P,'Отчет 01-05.04'!C:C,"Вознаграждение Ozon",'Отчет 01-05.04'!E:E,B11)</f>
        <v>9514.18</v>
      </c>
      <c r="Y11" s="45">
        <f t="shared" si="5"/>
        <v>0.4300000000000001</v>
      </c>
      <c r="Z11" s="42">
        <f>-SUMIFS('Отчет 01-05.04'!P:P,'Отчет 01-05.04'!C:C,"Услуги доставки",'Отчет 01-05.04'!E:E,B11)</f>
        <v>987.12000000000012</v>
      </c>
      <c r="AA11" s="32">
        <v>4386.2368820000002</v>
      </c>
      <c r="AB11" s="55"/>
      <c r="AC11" s="42"/>
      <c r="AD11" s="46">
        <f t="shared" si="17"/>
        <v>88.497521785695014</v>
      </c>
      <c r="AE11" s="47">
        <f t="shared" si="21"/>
        <v>6042.9655962142997</v>
      </c>
      <c r="AF11" s="46"/>
      <c r="AG11" s="48">
        <f t="shared" si="22"/>
        <v>2458.4444444444439</v>
      </c>
      <c r="AH11" s="49">
        <f t="shared" si="23"/>
        <v>123</v>
      </c>
      <c r="AI11" s="49">
        <f t="shared" si="24"/>
        <v>1057.1311111111111</v>
      </c>
      <c r="AJ11" s="49">
        <f t="shared" si="25"/>
        <v>109.68</v>
      </c>
      <c r="AK11" s="49">
        <f t="shared" si="26"/>
        <v>487.35965355555555</v>
      </c>
      <c r="AL11" s="49">
        <f t="array" ref="AL11">_xlfn.IFS(R11=0,AE11,R11&lt;0,AE11/-R11,R11&gt;0,AE11/R11)</f>
        <v>671.4406218015888</v>
      </c>
      <c r="AM11" s="50">
        <f t="shared" si="27"/>
        <v>0.27311604430146891</v>
      </c>
      <c r="AN11" s="51">
        <f t="shared" si="28"/>
        <v>5.4588668439153558</v>
      </c>
      <c r="AP11" s="53">
        <f t="shared" si="29"/>
        <v>409578.7792989692</v>
      </c>
    </row>
    <row r="12" spans="1:42">
      <c r="A12" s="30">
        <v>3405092873</v>
      </c>
      <c r="B12" s="171" t="s">
        <v>57</v>
      </c>
      <c r="C12" s="32"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v>10</v>
      </c>
      <c r="L12" s="36"/>
      <c r="M12" s="36"/>
      <c r="N12" s="37">
        <f t="shared" si="15"/>
        <v>2</v>
      </c>
      <c r="O12" s="38">
        <f t="shared" si="16"/>
        <v>0.6</v>
      </c>
      <c r="P12" s="39">
        <f>SUMIFS('Отчет 01-05.04'!H:H,'Отчет 01-05.04'!D:D,"Выручка",'Отчет 01-05.04'!E:E,B12)</f>
        <v>3</v>
      </c>
      <c r="Q12" s="39">
        <f>SUMIFS('Отчет 01-05.04'!H:H,'Отчет 01-05.04'!D:D,"Возврат выручки",'Отчет 01-05.04'!E:E,B12)</f>
        <v>0</v>
      </c>
      <c r="R12" s="40">
        <f t="shared" si="18"/>
        <v>3</v>
      </c>
      <c r="S12" s="41">
        <f>SUMIFS('Отчет 01-05.04'!P:P,'Отчет 01-05.04'!C:C,"Продажи",'Отчет 01-05.04'!E:E,B12)</f>
        <v>7179</v>
      </c>
      <c r="T12" s="42">
        <f>SUMIFS('Отчет 01-05.04'!P:P,'Отчет 01-05.04'!C:C,"Возвраты",'Отчет 01-05.04'!E:E,B12)</f>
        <v>0</v>
      </c>
      <c r="U12" s="40">
        <f t="shared" si="19"/>
        <v>7179</v>
      </c>
      <c r="V12" s="43">
        <f t="shared" si="3"/>
        <v>5.5313706303404812E-2</v>
      </c>
      <c r="W12" s="44">
        <f t="shared" si="20"/>
        <v>351</v>
      </c>
      <c r="X12" s="42">
        <f>-SUMIFS('Отчет 01-05.04'!P:P,'Отчет 01-05.04'!C:C,"Вознаграждение Ozon",'Отчет 01-05.04'!E:E,B12)</f>
        <v>3086.9700000000003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672.72</v>
      </c>
      <c r="AA12" s="32">
        <v>2985.091668</v>
      </c>
      <c r="AB12" s="55"/>
      <c r="AC12" s="42"/>
      <c r="AD12" s="46">
        <f t="shared" si="17"/>
        <v>28.713898079160472</v>
      </c>
      <c r="AE12" s="47">
        <f t="shared" si="21"/>
        <v>54.504433920838991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224.24</v>
      </c>
      <c r="AK12" s="49">
        <f t="shared" si="26"/>
        <v>995.03055600000005</v>
      </c>
      <c r="AL12" s="49">
        <f t="array" ref="AL12">_xlfn.IFS(R12=0,AE12,R12&lt;0,AE12/-R12,R12&gt;0,AE12/R12)</f>
        <v>18.168144640279664</v>
      </c>
      <c r="AM12" s="50">
        <f t="shared" si="27"/>
        <v>7.5922041956872814E-3</v>
      </c>
      <c r="AN12" s="51">
        <f t="shared" si="28"/>
        <v>0.15528328752375781</v>
      </c>
      <c r="AP12" s="53">
        <f t="shared" si="29"/>
        <v>5559.452259925577</v>
      </c>
    </row>
    <row r="13" spans="1:42">
      <c r="A13" s="30">
        <v>3405092993</v>
      </c>
      <c r="B13" s="31" t="s">
        <v>58</v>
      </c>
      <c r="C13" s="32"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v>20</v>
      </c>
      <c r="L13" s="36"/>
      <c r="M13" s="36"/>
      <c r="N13" s="37">
        <f t="shared" si="15"/>
        <v>4</v>
      </c>
      <c r="O13" s="38">
        <f t="shared" si="16"/>
        <v>1.4</v>
      </c>
      <c r="P13" s="39">
        <f>SUMIFS('Отчет 01-05.04'!H:H,'Отчет 01-05.04'!D:D,"Выручка",'Отчет 01-05.04'!E:E,B13)</f>
        <v>7</v>
      </c>
      <c r="Q13" s="39">
        <f>SUMIFS('Отчет 01-05.04'!H:H,'Отчет 01-05.04'!D:D,"Возврат выручки",'Отчет 01-05.04'!E:E,B13)</f>
        <v>0</v>
      </c>
      <c r="R13" s="40">
        <f t="shared" si="18"/>
        <v>7</v>
      </c>
      <c r="S13" s="41">
        <f>SUMIFS('Отчет 01-05.04'!P:P,'Отчет 01-05.04'!C:C,"Продажи",'Отчет 01-05.04'!E:E,B13)</f>
        <v>17101</v>
      </c>
      <c r="T13" s="42">
        <f>SUMIFS('Отчет 01-05.04'!P:P,'Отчет 01-05.04'!C:C,"Возвраты",'Отчет 01-05.04'!E:E,B13)</f>
        <v>0</v>
      </c>
      <c r="U13" s="40">
        <f t="shared" si="19"/>
        <v>17101</v>
      </c>
      <c r="V13" s="43">
        <f t="shared" si="3"/>
        <v>0.13176204088236881</v>
      </c>
      <c r="W13" s="44">
        <f t="shared" si="20"/>
        <v>861</v>
      </c>
      <c r="X13" s="42">
        <f>-SUMIFS('Отчет 01-05.04'!P:P,'Отчет 01-05.04'!C:C,"Вознаграждение Ozon",'Отчет 01-05.04'!E:E,B13)</f>
        <v>7353.4299999999994</v>
      </c>
      <c r="Y13" s="45">
        <f t="shared" si="5"/>
        <v>0.42999999999999994</v>
      </c>
      <c r="Z13" s="42">
        <f>-SUMIFS('Отчет 01-05.04'!P:P,'Отчет 01-05.04'!C:C,"Услуги доставки",'Отчет 01-05.04'!E:E,B13)</f>
        <v>1097.6300000000001</v>
      </c>
      <c r="AA13" s="32">
        <v>3460.4555659999996</v>
      </c>
      <c r="AB13" s="55"/>
      <c r="AC13" s="42"/>
      <c r="AD13" s="46">
        <f t="shared" si="17"/>
        <v>68.398993042446463</v>
      </c>
      <c r="AE13" s="47">
        <f t="shared" si="21"/>
        <v>4260.0854409575531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156.80428571428573</v>
      </c>
      <c r="AK13" s="49">
        <f t="shared" si="26"/>
        <v>494.35079514285707</v>
      </c>
      <c r="AL13" s="49">
        <f t="array" ref="AL13">_xlfn.IFS(R13=0,AE13,R13&lt;0,AE13/-R13,R13&gt;0,AE13/R13)</f>
        <v>608.58363442250754</v>
      </c>
      <c r="AM13" s="50">
        <f t="shared" si="27"/>
        <v>0.24911323553929904</v>
      </c>
      <c r="AN13" s="51">
        <f t="shared" si="28"/>
        <v>4.9478344261992486</v>
      </c>
      <c r="AP13" s="53">
        <f t="shared" si="29"/>
        <v>186835.17576770982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</v>
      </c>
      <c r="N14" s="37">
        <f t="shared" si="15"/>
        <v>0.2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8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2</v>
      </c>
      <c r="L15" s="36"/>
      <c r="M15" s="36"/>
      <c r="N15" s="37">
        <f t="shared" si="15"/>
        <v>0.4</v>
      </c>
      <c r="O15" s="38">
        <f t="shared" si="16"/>
        <v>0.4</v>
      </c>
      <c r="P15" s="39">
        <f>SUMIFS('Отчет 01-05.04'!H:H,'Отчет 01-05.04'!D:D,"Выручка",'Отчет 01-05.04'!E:E,B15)</f>
        <v>2</v>
      </c>
      <c r="Q15" s="39">
        <f>SUMIFS('Отчет 01-05.04'!H:H,'Отчет 01-05.04'!D:D,"Возврат выручки",'Отчет 01-05.04'!E:E,B15)</f>
        <v>0</v>
      </c>
      <c r="R15" s="40">
        <f t="shared" si="18"/>
        <v>2</v>
      </c>
      <c r="S15" s="41">
        <f>SUMIFS('Отчет 01-05.04'!P:P,'Отчет 01-05.04'!C:C,"Продажи",'Отчет 01-05.04'!E:E,B15)</f>
        <v>4950</v>
      </c>
      <c r="T15" s="42">
        <f>SUMIFS('Отчет 01-05.04'!P:P,'Отчет 01-05.04'!C:C,"Возвраты",'Отчет 01-05.04'!E:E,B15)</f>
        <v>0</v>
      </c>
      <c r="U15" s="40">
        <f t="shared" si="19"/>
        <v>4950</v>
      </c>
      <c r="V15" s="43">
        <f>U15/$U$24</f>
        <v>3.8139413038285809E-2</v>
      </c>
      <c r="W15" s="44">
        <f t="shared" si="20"/>
        <v>246</v>
      </c>
      <c r="X15" s="42">
        <f>-SUMIFS('Отчет 01-05.04'!P:P,'Отчет 01-05.04'!C:C,"Вознаграждение Ozon",'Отчет 01-05.04'!E:E,B15)</f>
        <v>2128.5</v>
      </c>
      <c r="Y15" s="45">
        <f t="shared" si="5"/>
        <v>0.43</v>
      </c>
      <c r="Z15" s="42">
        <f>-SUMIFS('Отчет 01-05.04'!P:P,'Отчет 01-05.04'!C:C,"Услуги доставки",'Отчет 01-05.04'!E:E,B15)</f>
        <v>215.06</v>
      </c>
      <c r="AA15" s="32">
        <v>247</v>
      </c>
      <c r="AB15" s="55"/>
      <c r="AC15" s="42"/>
      <c r="AD15" s="46">
        <f t="shared" si="17"/>
        <v>19.798550702304546</v>
      </c>
      <c r="AE15" s="47">
        <f t="shared" si="21"/>
        <v>2093.6414492976955</v>
      </c>
      <c r="AF15" s="46"/>
      <c r="AG15" s="48">
        <f t="shared" si="22"/>
        <v>2475</v>
      </c>
      <c r="AH15" s="49">
        <f t="shared" si="23"/>
        <v>123</v>
      </c>
      <c r="AI15" s="49">
        <f t="shared" si="24"/>
        <v>1064.25</v>
      </c>
      <c r="AJ15" s="49">
        <f t="shared" si="25"/>
        <v>107.53</v>
      </c>
      <c r="AK15" s="49">
        <f t="shared" si="26"/>
        <v>123.5</v>
      </c>
      <c r="AL15" s="49">
        <f t="array" ref="AL15">_xlfn.IFS(R15=0,AE15,R15&lt;0,AE15/-R15,R15&gt;0,AE15/R15)</f>
        <v>1046.8207246488478</v>
      </c>
      <c r="AM15" s="50">
        <f t="shared" si="27"/>
        <v>0.42295786854498901</v>
      </c>
      <c r="AN15" s="51">
        <f t="shared" si="28"/>
        <v>8.5107375987711205</v>
      </c>
      <c r="AP15" s="53">
        <f t="shared" si="29"/>
        <v>555861.80478853814</v>
      </c>
    </row>
    <row r="16" spans="1:42">
      <c r="A16" s="30">
        <v>3405092287</v>
      </c>
      <c r="B16" s="31" t="s">
        <v>60</v>
      </c>
      <c r="C16" s="32">
        <v>313</v>
      </c>
      <c r="H16" s="35">
        <v>117</v>
      </c>
      <c r="I16" s="54">
        <f t="shared" si="0"/>
        <v>36621</v>
      </c>
      <c r="K16" s="32">
        <v>11</v>
      </c>
      <c r="N16" s="37">
        <f t="shared" si="15"/>
        <v>2.2000000000000002</v>
      </c>
      <c r="O16" s="38">
        <f t="shared" si="16"/>
        <v>0.8</v>
      </c>
      <c r="P16" s="39">
        <f>SUMIFS('Отчет 01-05.04'!H:H,'Отчет 01-05.04'!D:D,"Выручка",'Отчет 01-05.04'!E:E,B16)</f>
        <v>4</v>
      </c>
      <c r="Q16" s="39">
        <f>SUMIFS('Отчет 01-05.04'!H:H,'Отчет 01-05.04'!D:D,"Возврат выручки",'Отчет 01-05.04'!E:E,B16)</f>
        <v>0</v>
      </c>
      <c r="R16" s="40">
        <f t="shared" si="18"/>
        <v>4</v>
      </c>
      <c r="S16" s="41">
        <f>SUMIFS('Отчет 01-05.04'!P:P,'Отчет 01-05.04'!C:C,"Продажи",'Отчет 01-05.04'!E:E,B16)</f>
        <v>10400</v>
      </c>
      <c r="T16" s="42">
        <f>SUMIFS('Отчет 01-05.04'!P:P,'Отчет 01-05.04'!C:C,"Возвраты",'Отчет 01-05.04'!E:E,B16)</f>
        <v>0</v>
      </c>
      <c r="U16" s="40">
        <f t="shared" si="19"/>
        <v>10400</v>
      </c>
      <c r="V16" s="43">
        <f>U16/$U$24</f>
        <v>8.0131292040034829E-2</v>
      </c>
      <c r="W16" s="44">
        <f t="shared" si="20"/>
        <v>468</v>
      </c>
      <c r="X16" s="42">
        <f>-SUMIFS('Отчет 01-05.04'!P:P,'Отчет 01-05.04'!C:C,"Вознаграждение Ozon",'Отчет 01-05.04'!E:E,B16)</f>
        <v>4472</v>
      </c>
      <c r="Y16" s="45">
        <f t="shared" si="5"/>
        <v>0.43</v>
      </c>
      <c r="Z16" s="42">
        <f>-SUMIFS('Отчет 01-05.04'!P:P,'Отчет 01-05.04'!C:C,"Услуги доставки",'Отчет 01-05.04'!E:E,B16)</f>
        <v>780.06000000000017</v>
      </c>
      <c r="AA16" s="32">
        <v>4032.789432</v>
      </c>
      <c r="AB16" s="55"/>
      <c r="AC16" s="42"/>
      <c r="AD16" s="46">
        <f t="shared" si="17"/>
        <v>41.596955010902477</v>
      </c>
      <c r="AE16" s="47">
        <f t="shared" si="21"/>
        <v>605.55361298909713</v>
      </c>
      <c r="AF16" s="46"/>
      <c r="AG16" s="48">
        <f t="shared" si="22"/>
        <v>2600</v>
      </c>
      <c r="AH16" s="49">
        <f t="shared" si="23"/>
        <v>117</v>
      </c>
      <c r="AI16" s="49">
        <f t="shared" si="24"/>
        <v>1118</v>
      </c>
      <c r="AJ16" s="49">
        <f t="shared" si="25"/>
        <v>195.01500000000004</v>
      </c>
      <c r="AK16" s="49">
        <f t="shared" si="26"/>
        <v>1008.197358</v>
      </c>
      <c r="AL16" s="49">
        <f t="array" ref="AL16">_xlfn.IFS(R16=0,AE16,R16&lt;0,AE16/-R16,R16&gt;0,AE16/R16)</f>
        <v>151.38840324727428</v>
      </c>
      <c r="AM16" s="50">
        <f t="shared" si="27"/>
        <v>5.8226308941259339E-2</v>
      </c>
      <c r="AN16" s="51">
        <f t="shared" si="28"/>
        <v>1.2939179764724298</v>
      </c>
      <c r="AP16" s="53">
        <f t="shared" si="29"/>
        <v>47384.570216396853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2518.1616161616166</v>
      </c>
      <c r="AH17" s="58">
        <f t="shared" si="30"/>
        <v>127.26</v>
      </c>
      <c r="AI17" s="58">
        <f t="shared" si="30"/>
        <v>1082.809494949495</v>
      </c>
      <c r="AJ17" s="58">
        <f t="shared" si="30"/>
        <v>157.15647283272284</v>
      </c>
      <c r="AK17" s="58">
        <f t="shared" si="30"/>
        <v>501.75217166710769</v>
      </c>
      <c r="AL17" s="58">
        <f t="shared" si="30"/>
        <v>568.46497806711329</v>
      </c>
      <c r="AM17" s="59">
        <f t="shared" si="30"/>
        <v>0.27657265387566904</v>
      </c>
      <c r="AN17" s="59">
        <f t="shared" si="30"/>
        <v>4.429130755339858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93</v>
      </c>
      <c r="L18" s="67"/>
      <c r="M18" s="67"/>
      <c r="N18" s="68"/>
      <c r="O18" s="69"/>
      <c r="P18" s="64">
        <f t="shared" ref="P18:X18" si="31">SUM(P3:P16)</f>
        <v>52</v>
      </c>
      <c r="Q18" s="64">
        <f t="shared" si="31"/>
        <v>1</v>
      </c>
      <c r="R18" s="64">
        <f t="shared" si="31"/>
        <v>51</v>
      </c>
      <c r="S18" s="70">
        <f t="shared" si="31"/>
        <v>131890</v>
      </c>
      <c r="T18" s="64">
        <f t="shared" si="31"/>
        <v>-2103</v>
      </c>
      <c r="U18" s="64">
        <f t="shared" si="31"/>
        <v>129787</v>
      </c>
      <c r="V18" s="71">
        <f t="shared" si="31"/>
        <v>1</v>
      </c>
      <c r="W18" s="64">
        <f t="shared" si="31"/>
        <v>6667.32</v>
      </c>
      <c r="X18" s="64">
        <f t="shared" si="31"/>
        <v>55808.409999999996</v>
      </c>
      <c r="Y18" s="72">
        <f>IF(U18=0,0,X18/U18)</f>
        <v>0.43</v>
      </c>
      <c r="Z18" s="64">
        <f>SUM(Z3:Z16)</f>
        <v>8857.02</v>
      </c>
      <c r="AA18" s="64">
        <f>IFERROR(P18*AA24/P24,0)</f>
        <v>28287.5</v>
      </c>
      <c r="AB18" s="64">
        <f>SUM(AB3:AB16)</f>
        <v>0</v>
      </c>
      <c r="AC18" s="64">
        <f>SUM(AC3:AC16)</f>
        <v>0</v>
      </c>
      <c r="AD18" s="73">
        <f>SUM(AD3:AD16)</f>
        <v>519.11</v>
      </c>
      <c r="AE18" s="74">
        <f>SUM(AE3:AE16)</f>
        <v>32085.276406000004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3193923.6659835316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93</v>
      </c>
      <c r="L24" s="119"/>
      <c r="M24" s="119"/>
      <c r="N24" s="119"/>
      <c r="O24" s="119"/>
      <c r="P24" s="120">
        <f>P18+P22</f>
        <v>52</v>
      </c>
      <c r="Q24" s="118">
        <f>Q18+Q22</f>
        <v>1</v>
      </c>
      <c r="R24" s="121">
        <f>R18-R22</f>
        <v>51</v>
      </c>
      <c r="S24" s="118">
        <f t="shared" ref="S24:X24" si="34">S18+S22</f>
        <v>131890</v>
      </c>
      <c r="T24" s="118">
        <f t="shared" si="34"/>
        <v>-2103</v>
      </c>
      <c r="U24" s="121">
        <f t="shared" si="34"/>
        <v>129787</v>
      </c>
      <c r="V24" s="122">
        <f t="shared" si="34"/>
        <v>1</v>
      </c>
      <c r="W24" s="118">
        <f t="shared" si="34"/>
        <v>6667.32</v>
      </c>
      <c r="X24" s="118">
        <f t="shared" si="34"/>
        <v>55808.409999999996</v>
      </c>
      <c r="Y24" s="123">
        <f>X24/U24</f>
        <v>0.43</v>
      </c>
      <c r="Z24" s="118">
        <f>Z18+Z22</f>
        <v>8857.02</v>
      </c>
      <c r="AA24" s="124">
        <v>28287.5</v>
      </c>
      <c r="AB24" s="125"/>
      <c r="AC24" s="125">
        <f>SUM(AC3:AC20)</f>
        <v>0</v>
      </c>
      <c r="AD24" s="118">
        <f>AD18+AD22</f>
        <v>519.11</v>
      </c>
      <c r="AE24" s="126">
        <f>AE18+AE22</f>
        <v>32085.276406000004</v>
      </c>
      <c r="AF24" s="127"/>
      <c r="AG24" s="128"/>
      <c r="AH24" s="129"/>
      <c r="AI24" s="129"/>
      <c r="AJ24" s="129"/>
      <c r="AK24" s="129">
        <f>AA25/P24</f>
        <v>497.11276142307696</v>
      </c>
      <c r="AL24" s="129"/>
      <c r="AM24" s="129"/>
      <c r="AN24" s="130"/>
      <c r="AP24" s="126">
        <f>SUM(AP3:AP20)</f>
        <v>6387847.3319670632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25849.863594000002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2287.6364059999978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85" priority="19" operator="greaterThan">
      <formula>120</formula>
    </cfRule>
  </conditionalFormatting>
  <conditionalFormatting sqref="N23">
    <cfRule type="cellIs" dxfId="284" priority="18" operator="between">
      <formula>0.000001</formula>
      <formula>25</formula>
    </cfRule>
  </conditionalFormatting>
  <conditionalFormatting sqref="V1 V25:V1048576">
    <cfRule type="cellIs" dxfId="28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282" priority="14" operator="greaterThan">
      <formula>120</formula>
    </cfRule>
  </conditionalFormatting>
  <conditionalFormatting sqref="Q23">
    <cfRule type="cellIs" dxfId="281" priority="13" operator="greaterThan">
      <formula>120</formula>
    </cfRule>
  </conditionalFormatting>
  <conditionalFormatting sqref="R23">
    <cfRule type="cellIs" dxfId="280" priority="12" operator="greaterThan">
      <formula>120</formula>
    </cfRule>
  </conditionalFormatting>
  <conditionalFormatting sqref="S23">
    <cfRule type="cellIs" dxfId="279" priority="11" operator="greaterThan">
      <formula>120</formula>
    </cfRule>
  </conditionalFormatting>
  <conditionalFormatting sqref="T23">
    <cfRule type="cellIs" dxfId="278" priority="10" operator="greaterThan">
      <formula>120</formula>
    </cfRule>
  </conditionalFormatting>
  <conditionalFormatting sqref="U23">
    <cfRule type="cellIs" dxfId="277" priority="9" operator="greaterThan">
      <formula>120</formula>
    </cfRule>
  </conditionalFormatting>
  <conditionalFormatting sqref="V23">
    <cfRule type="cellIs" dxfId="276" priority="8" operator="greaterThan">
      <formula>120</formula>
    </cfRule>
  </conditionalFormatting>
  <conditionalFormatting sqref="W23">
    <cfRule type="cellIs" dxfId="275" priority="7" operator="greaterThan">
      <formula>120</formula>
    </cfRule>
  </conditionalFormatting>
  <conditionalFormatting sqref="X23">
    <cfRule type="cellIs" dxfId="274" priority="6" operator="greaterThan">
      <formula>120</formula>
    </cfRule>
  </conditionalFormatting>
  <conditionalFormatting sqref="Z23">
    <cfRule type="cellIs" dxfId="27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D256-29E9-442B-AC3E-A866DDBEAE2A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3519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340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333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584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187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612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315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316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334</v>
      </c>
    </row>
    <row r="15" spans="1:7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318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5585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5585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2" sqref="I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0.29032258064516131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2">
        <f>'Юнит 01.03'!AD3+'Юнит 02-08.03'!AD3+'Юнит 09-15.03'!AD3+'Юнит 16-22.03'!AD3+'Юнит 23-29.03'!AD3+'Юнит 30-31.03'!AD3</f>
        <v>87.402243708373433</v>
      </c>
      <c r="AE3" s="47">
        <f>U3-W3-X3-Z3-AA3-AB3-AC3-AD3</f>
        <v>-4460.9468757083723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-495.66076396759695</v>
      </c>
      <c r="AM3" s="50">
        <f t="shared" ref="AM3:AM7" si="11">IF(AG3=0,0,AL3/AG3)</f>
        <v>-0.20969008534870603</v>
      </c>
      <c r="AN3" s="51">
        <f t="shared" ref="AN3:AN7" si="12">IF(AH3=0,0,AL3/AH3)</f>
        <v>-3.4666440339040214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0.4838709677419355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2">
        <f>'Юнит 01.03'!AD4+'Юнит 02-08.03'!AD4+'Юнит 09-15.03'!AD4+'Юнит 16-22.03'!AD4+'Юнит 23-29.03'!AD4+'Юнит 30-31.03'!AD4</f>
        <v>142.04040843237752</v>
      </c>
      <c r="AE4" s="47">
        <f t="shared" ref="AE4:AE7" si="16">U4-W4-X4-Z4-AA4-AB4-AC4-AD4</f>
        <v>5615.4297235676231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374.36198157117485</v>
      </c>
      <c r="AM4" s="50">
        <f t="shared" si="11"/>
        <v>0.16811153859137271</v>
      </c>
      <c r="AN4" s="51">
        <f t="shared" si="12"/>
        <v>3.0413679549205854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0.29032258064516131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2">
        <f>'Юнит 01.03'!AD5+'Юнит 02-08.03'!AD5+'Юнит 09-15.03'!AD5+'Юнит 16-22.03'!AD5+'Юнит 23-29.03'!AD5+'Юнит 30-31.03'!AD5</f>
        <v>89.560768113352282</v>
      </c>
      <c r="AE5" s="47">
        <f t="shared" si="16"/>
        <v>8048.0592318866466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894.22880354296069</v>
      </c>
      <c r="AM5" s="50">
        <f t="shared" si="11"/>
        <v>0.38692592460993486</v>
      </c>
      <c r="AN5" s="51">
        <f t="shared" si="12"/>
        <v>7.2648371398404477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0.74193548387096775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2">
        <f>'Юнит 01.03'!AD6+'Юнит 02-08.03'!AD6+'Юнит 09-15.03'!AD6+'Юнит 16-22.03'!AD6+'Юнит 23-29.03'!AD6+'Юнит 30-31.03'!AD6</f>
        <v>229.40560701705846</v>
      </c>
      <c r="AE6" s="47">
        <f t="shared" si="16"/>
        <v>11311.816064982944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491.81808978186712</v>
      </c>
      <c r="AM6" s="50">
        <f t="shared" si="11"/>
        <v>0.20109180233561375</v>
      </c>
      <c r="AN6" s="51">
        <f t="shared" si="12"/>
        <v>3.9955974472489002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1.3225806451612903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2">
        <f>'Юнит 01.03'!AD7+'Юнит 02-08.03'!AD7+'Юнит 09-15.03'!AD7+'Юнит 16-22.03'!AD7+'Юнит 23-29.03'!AD7+'Юнит 30-31.03'!AD7</f>
        <v>415.54876782289654</v>
      </c>
      <c r="AE7" s="47">
        <f t="shared" si="16"/>
        <v>20636.904843177108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503.33914251651481</v>
      </c>
      <c r="AM7" s="50">
        <f t="shared" si="11"/>
        <v>0.20525655788801803</v>
      </c>
      <c r="AN7" s="51">
        <f t="shared" si="12"/>
        <v>4.2932373124915975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2.6129032258064515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2">
        <f>'Юнит 01.03'!AD8+'Юнит 02-08.03'!AD8+'Юнит 09-15.03'!AD8+'Юнит 16-22.03'!AD8+'Юнит 23-29.03'!AD8+'Юнит 30-31.03'!AD8</f>
        <v>828.00786300830157</v>
      </c>
      <c r="AE8" s="47">
        <f>U8-W8-X8-Z8-AA8-AB8-AC8-AD8</f>
        <v>51272.103228991735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632.98892875298441</v>
      </c>
      <c r="AM8" s="50">
        <f>IF(AG8=0,0,AL8/AG8)</f>
        <v>0.26194518754338358</v>
      </c>
      <c r="AN8" s="51">
        <f>IF(AH8=0,0,AL8/AH8)</f>
        <v>3.7258751471716081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0.32258064516129031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7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8">S9+T9</f>
        <v>24077</v>
      </c>
      <c r="V9" s="43">
        <f t="shared" si="3"/>
        <v>3.0074821689546199E-2</v>
      </c>
      <c r="W9" s="44">
        <f t="shared" ref="W9:W16" si="19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2">
        <f>'Юнит 01.03'!AD9+'Юнит 02-08.03'!AD9+'Юнит 09-15.03'!AD9+'Юнит 16-22.03'!AD9+'Юнит 23-29.03'!AD9+'Юнит 30-31.03'!AD9</f>
        <v>99.701371982731644</v>
      </c>
      <c r="AE9" s="47">
        <f t="shared" ref="AE9:AE16" si="20">U9-W9-X9-Z9-AA9-AB9-AC9-AD9</f>
        <v>8445.1786280172673</v>
      </c>
      <c r="AF9" s="46"/>
      <c r="AG9" s="48">
        <f t="shared" ref="AG9:AG16" si="21">IF(R9=0,0,U9/R9)</f>
        <v>2407.6999999999998</v>
      </c>
      <c r="AH9" s="49">
        <f t="shared" ref="AH9:AH16" si="22">H9</f>
        <v>123</v>
      </c>
      <c r="AI9" s="49">
        <f t="shared" ref="AI9:AI16" si="23">IF(R9=0,0,X9/R9)</f>
        <v>1035.3109999999999</v>
      </c>
      <c r="AJ9" s="49">
        <f t="shared" ref="AJ9:AJ16" si="24">IF(P9=0,Z9/1,Z9/P9)</f>
        <v>289.60700000000008</v>
      </c>
      <c r="AK9" s="49">
        <f t="shared" ref="AK9:AK16" si="25">IF(P9=0,0,AA9/P9)</f>
        <v>105.29400000000001</v>
      </c>
      <c r="AL9" s="49">
        <f t="array" ref="AL9">_xlfn.IFS(R9=0,AE9,R9&lt;0,AE9/-R9,R9&gt;0,AE9/R9)</f>
        <v>844.51786280172678</v>
      </c>
      <c r="AM9" s="50">
        <f t="shared" ref="AM9:AM16" si="26">IF(AG9=0,0,AL9/AG9)</f>
        <v>0.35075709714737169</v>
      </c>
      <c r="AN9" s="51">
        <f t="shared" ref="AN9:AN16" si="27">IF(AH9=0,0,AL9/AH9)</f>
        <v>6.865998884566884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0.38709677419354838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7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8"/>
        <v>28822</v>
      </c>
      <c r="V10" s="43">
        <f t="shared" si="3"/>
        <v>3.6001848682813496E-2</v>
      </c>
      <c r="W10" s="44">
        <f t="shared" si="19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2">
        <f>'Юнит 01.03'!AD10+'Юнит 02-08.03'!AD10+'Юнит 09-15.03'!AD10+'Юнит 16-22.03'!AD10+'Юнит 23-29.03'!AD10+'Юнит 30-31.03'!AD10</f>
        <v>122.57615114093079</v>
      </c>
      <c r="AE10" s="47">
        <f t="shared" si="20"/>
        <v>6801.6328678590671</v>
      </c>
      <c r="AF10" s="46"/>
      <c r="AG10" s="48">
        <f t="shared" si="21"/>
        <v>2401.8333333333335</v>
      </c>
      <c r="AH10" s="49">
        <f t="shared" si="22"/>
        <v>123</v>
      </c>
      <c r="AI10" s="49">
        <f t="shared" si="23"/>
        <v>1032.7883333333334</v>
      </c>
      <c r="AJ10" s="49">
        <f t="shared" si="24"/>
        <v>220.23833333333334</v>
      </c>
      <c r="AK10" s="49">
        <f t="shared" si="25"/>
        <v>448.78924841666668</v>
      </c>
      <c r="AL10" s="49">
        <f t="array" ref="AL10">_xlfn.IFS(R10=0,AE10,R10&lt;0,AE10/-R10,R10&gt;0,AE10/R10)</f>
        <v>566.80273898825556</v>
      </c>
      <c r="AM10" s="50">
        <f t="shared" si="26"/>
        <v>0.2359875396523165</v>
      </c>
      <c r="AN10" s="51">
        <f t="shared" si="27"/>
        <v>4.6081523494980123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0.74193548387096775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7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8"/>
        <v>52501</v>
      </c>
      <c r="V11" s="43">
        <f t="shared" si="3"/>
        <v>6.5579524588730523E-2</v>
      </c>
      <c r="W11" s="44">
        <f t="shared" si="19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2">
        <f>'Юнит 01.03'!AD11+'Юнит 02-08.03'!AD11+'Юнит 09-15.03'!AD11+'Юнит 16-22.03'!AD11+'Юнит 23-29.03'!AD11+'Юнит 30-31.03'!AD11</f>
        <v>223.43120689385364</v>
      </c>
      <c r="AE11" s="47">
        <f t="shared" si="20"/>
        <v>11207.938616106143</v>
      </c>
      <c r="AF11" s="46"/>
      <c r="AG11" s="48">
        <f t="shared" si="21"/>
        <v>2282.6521739130435</v>
      </c>
      <c r="AH11" s="49">
        <f t="shared" si="22"/>
        <v>123</v>
      </c>
      <c r="AI11" s="49">
        <f t="shared" si="23"/>
        <v>981.54043478260871</v>
      </c>
      <c r="AJ11" s="49">
        <f t="shared" si="24"/>
        <v>235.90880000000001</v>
      </c>
      <c r="AK11" s="49">
        <f t="shared" si="25"/>
        <v>390.69920708000006</v>
      </c>
      <c r="AL11" s="49">
        <f t="array" ref="AL11">_xlfn.IFS(R11=0,AE11,R11&lt;0,AE11/-R11,R11&gt;0,AE11/R11)</f>
        <v>487.30167896113664</v>
      </c>
      <c r="AM11" s="50">
        <f t="shared" si="26"/>
        <v>0.21348047877385465</v>
      </c>
      <c r="AN11" s="51">
        <f t="shared" si="27"/>
        <v>3.9618022679767209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0.41935483870967744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7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8"/>
        <v>31189</v>
      </c>
      <c r="V12" s="43">
        <f t="shared" si="3"/>
        <v>3.8958492074396993E-2</v>
      </c>
      <c r="W12" s="44">
        <f t="shared" si="19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2">
        <f>'Юнит 01.03'!AD12+'Юнит 02-08.03'!AD12+'Юнит 09-15.03'!AD12+'Юнит 16-22.03'!AD12+'Юнит 23-29.03'!AD12+'Юнит 30-31.03'!AD12</f>
        <v>129.95382888514325</v>
      </c>
      <c r="AE12" s="47">
        <f t="shared" si="20"/>
        <v>4968.7463591148571</v>
      </c>
      <c r="AF12" s="46"/>
      <c r="AG12" s="48">
        <f t="shared" si="21"/>
        <v>2399.1538461538462</v>
      </c>
      <c r="AH12" s="49">
        <f t="shared" si="22"/>
        <v>117</v>
      </c>
      <c r="AI12" s="49">
        <f t="shared" si="23"/>
        <v>1031.6361538461538</v>
      </c>
      <c r="AJ12" s="49">
        <f t="shared" si="24"/>
        <v>212.44357142857143</v>
      </c>
      <c r="AK12" s="49">
        <f t="shared" si="25"/>
        <v>584.55855799999995</v>
      </c>
      <c r="AL12" s="49">
        <f t="array" ref="AL12">_xlfn.IFS(R12=0,AE12,R12&lt;0,AE12/-R12,R12&gt;0,AE12/R12)</f>
        <v>382.21125839345052</v>
      </c>
      <c r="AM12" s="50">
        <f t="shared" si="26"/>
        <v>0.15931085828705174</v>
      </c>
      <c r="AN12" s="51">
        <f t="shared" si="27"/>
        <v>3.2667628922517138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0.90322580645161288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7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8"/>
        <v>68839</v>
      </c>
      <c r="V13" s="43">
        <f t="shared" si="3"/>
        <v>8.5987483917708635E-2</v>
      </c>
      <c r="W13" s="44">
        <f t="shared" si="19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2">
        <f>'Юнит 01.03'!AD13+'Юнит 02-08.03'!AD13+'Юнит 09-15.03'!AD13+'Юнит 16-22.03'!AD13+'Юнит 23-29.03'!AD13+'Юнит 30-31.03'!AD13</f>
        <v>286.06130612483645</v>
      </c>
      <c r="AE13" s="47">
        <f t="shared" si="20"/>
        <v>19846.812063875168</v>
      </c>
      <c r="AF13" s="46"/>
      <c r="AG13" s="48">
        <f t="shared" si="21"/>
        <v>2458.5357142857142</v>
      </c>
      <c r="AH13" s="49">
        <f t="shared" si="22"/>
        <v>123</v>
      </c>
      <c r="AI13" s="49">
        <f t="shared" si="23"/>
        <v>1057.170357142857</v>
      </c>
      <c r="AJ13" s="49">
        <f t="shared" si="24"/>
        <v>180.94758620689657</v>
      </c>
      <c r="AK13" s="49">
        <f t="shared" si="25"/>
        <v>359.09919413793102</v>
      </c>
      <c r="AL13" s="49">
        <f t="array" ref="AL13">_xlfn.IFS(R13=0,AE13,R13&lt;0,AE13/-R13,R13&gt;0,AE13/R13)</f>
        <v>708.81471656697033</v>
      </c>
      <c r="AM13" s="50">
        <f t="shared" si="26"/>
        <v>0.28830767535663171</v>
      </c>
      <c r="AN13" s="51">
        <f t="shared" si="27"/>
        <v>5.7627212729021977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6.4516129032258063E-2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7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8"/>
        <v>4810</v>
      </c>
      <c r="V14" s="43">
        <f t="shared" si="3"/>
        <v>6.0082191438599998E-3</v>
      </c>
      <c r="W14" s="44">
        <f t="shared" si="19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2">
        <f>'Юнит 01.03'!AD14+'Юнит 02-08.03'!AD14+'Юнит 09-15.03'!AD14+'Юнит 16-22.03'!AD14+'Юнит 23-29.03'!AD14+'Юнит 30-31.03'!AD14</f>
        <v>21.923340674278982</v>
      </c>
      <c r="AE14" s="47">
        <f t="shared" si="20"/>
        <v>1002.4466593257209</v>
      </c>
      <c r="AG14" s="48">
        <f t="shared" si="21"/>
        <v>2405</v>
      </c>
      <c r="AH14" s="49">
        <f t="shared" si="22"/>
        <v>123</v>
      </c>
      <c r="AI14" s="49">
        <f t="shared" si="23"/>
        <v>1034.1500000000001</v>
      </c>
      <c r="AJ14" s="49">
        <f t="shared" si="24"/>
        <v>448.16500000000002</v>
      </c>
      <c r="AK14" s="49">
        <f t="shared" si="25"/>
        <v>287.5</v>
      </c>
      <c r="AL14" s="49">
        <f t="array" ref="AL14">_xlfn.IFS(R14=0,AE14,R14&lt;0,AE14/-R14,R14&gt;0,AE14/R14)</f>
        <v>501.22332966286046</v>
      </c>
      <c r="AM14" s="50">
        <f t="shared" si="26"/>
        <v>0.20840886888268625</v>
      </c>
      <c r="AN14" s="51">
        <f t="shared" si="27"/>
        <v>4.0749864200232562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1.2258064516129032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7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8"/>
        <v>92461</v>
      </c>
      <c r="V15" s="43">
        <f>U15/$U$24</f>
        <v>0.11549396055310591</v>
      </c>
      <c r="W15" s="44">
        <f t="shared" si="19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2">
        <f>'Юнит 01.03'!AD15+'Юнит 02-08.03'!AD15+'Юнит 09-15.03'!AD15+'Юнит 16-22.03'!AD15+'Юнит 23-29.03'!AD15+'Юнит 30-31.03'!AD15</f>
        <v>382.3835161704568</v>
      </c>
      <c r="AE15" s="47">
        <f t="shared" si="20"/>
        <v>18762.48305282955</v>
      </c>
      <c r="AF15" s="46"/>
      <c r="AG15" s="48">
        <f t="shared" si="21"/>
        <v>2433.1842105263158</v>
      </c>
      <c r="AH15" s="49">
        <f t="shared" si="22"/>
        <v>123</v>
      </c>
      <c r="AI15" s="49">
        <f t="shared" si="23"/>
        <v>1046.2692105263156</v>
      </c>
      <c r="AJ15" s="49">
        <f t="shared" si="24"/>
        <v>199.39048780487809</v>
      </c>
      <c r="AK15" s="49">
        <f t="shared" si="25"/>
        <v>505.09496173170726</v>
      </c>
      <c r="AL15" s="49">
        <f t="array" ref="AL15">_xlfn.IFS(R15=0,AE15,R15&lt;0,AE15/-R15,R15&gt;0,AE15/R15)</f>
        <v>493.74955402183025</v>
      </c>
      <c r="AM15" s="50">
        <f t="shared" si="26"/>
        <v>0.20292321143865574</v>
      </c>
      <c r="AN15" s="51">
        <f t="shared" si="27"/>
        <v>4.0142240164376446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0.90322580645161288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7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8"/>
        <v>69864</v>
      </c>
      <c r="V16" s="43">
        <f>U16/$U$24</f>
        <v>8.7267821677055102E-2</v>
      </c>
      <c r="W16" s="44">
        <f t="shared" si="19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2">
        <f>'Юнит 01.03'!AD16+'Юнит 02-08.03'!AD16+'Юнит 09-15.03'!AD16+'Юнит 16-22.03'!AD16+'Юнит 23-29.03'!AD16+'Юнит 30-31.03'!AD16</f>
        <v>299.73362002540892</v>
      </c>
      <c r="AE16" s="47">
        <f t="shared" si="20"/>
        <v>12363.111818974592</v>
      </c>
      <c r="AF16" s="46"/>
      <c r="AG16" s="48">
        <f t="shared" si="21"/>
        <v>2495.1428571428573</v>
      </c>
      <c r="AH16" s="49">
        <f t="shared" si="22"/>
        <v>117</v>
      </c>
      <c r="AI16" s="49">
        <f t="shared" si="23"/>
        <v>1072.9114285714284</v>
      </c>
      <c r="AJ16" s="49">
        <f t="shared" si="24"/>
        <v>198.54344827586212</v>
      </c>
      <c r="AK16" s="49">
        <f t="shared" si="25"/>
        <v>625.03015727586205</v>
      </c>
      <c r="AL16" s="49">
        <f t="array" ref="AL16">_xlfn.IFS(R16=0,AE16,R16&lt;0,AE16/-R16,R16&gt;0,AE16/R16)</f>
        <v>441.53970782052113</v>
      </c>
      <c r="AM16" s="50">
        <f t="shared" si="26"/>
        <v>0.17695969052694652</v>
      </c>
      <c r="AN16" s="51">
        <f t="shared" si="27"/>
        <v>3.7738436565856506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2384.9455149078549</v>
      </c>
      <c r="AH17" s="58">
        <f t="shared" si="29"/>
        <v>127.26</v>
      </c>
      <c r="AI17" s="58">
        <f t="shared" si="29"/>
        <v>1025.5265714103773</v>
      </c>
      <c r="AJ17" s="58">
        <f t="shared" si="29"/>
        <v>231.35462151995691</v>
      </c>
      <c r="AK17" s="58">
        <f t="shared" si="29"/>
        <v>469.18230640340818</v>
      </c>
      <c r="AL17" s="58">
        <f t="shared" si="29"/>
        <v>491.20748627647197</v>
      </c>
      <c r="AM17" s="59">
        <f t="shared" si="29"/>
        <v>0.20560128116601423</v>
      </c>
      <c r="AN17" s="59">
        <f t="shared" si="29"/>
        <v>3.9545322362635038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0">SUM(P3:P16)</f>
        <v>349</v>
      </c>
      <c r="Q18" s="64">
        <f t="shared" si="30"/>
        <v>17</v>
      </c>
      <c r="R18" s="64">
        <f t="shared" si="30"/>
        <v>332</v>
      </c>
      <c r="S18" s="70">
        <f t="shared" si="30"/>
        <v>840381</v>
      </c>
      <c r="T18" s="64">
        <f t="shared" si="30"/>
        <v>-39811</v>
      </c>
      <c r="U18" s="277">
        <f t="shared" si="30"/>
        <v>800570</v>
      </c>
      <c r="V18" s="71">
        <f t="shared" si="30"/>
        <v>1</v>
      </c>
      <c r="W18" s="64">
        <f t="shared" si="30"/>
        <v>44335.979999999996</v>
      </c>
      <c r="X18" s="64">
        <f t="shared" si="30"/>
        <v>344245.1</v>
      </c>
      <c r="Y18" s="72">
        <f>IF(U18=0,0,X18/U18)</f>
        <v>0.43</v>
      </c>
      <c r="Z18" s="64">
        <f t="shared" ref="Z18:AE18" si="31">SUM(Z3:Z16)</f>
        <v>70551.37000000001</v>
      </c>
      <c r="AA18" s="64">
        <f t="shared" si="31"/>
        <v>162258.10371700002</v>
      </c>
      <c r="AB18" s="64">
        <f t="shared" si="31"/>
        <v>0</v>
      </c>
      <c r="AC18" s="64">
        <f t="shared" si="31"/>
        <v>0</v>
      </c>
      <c r="AD18" s="73">
        <f t="shared" si="31"/>
        <v>3357.73</v>
      </c>
      <c r="AE18" s="74">
        <f t="shared" si="31"/>
        <v>175821.71628300005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278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4">S18+S22</f>
        <v>840381</v>
      </c>
      <c r="T24" s="118">
        <f t="shared" si="34"/>
        <v>-39811</v>
      </c>
      <c r="U24" s="121">
        <f t="shared" si="34"/>
        <v>800570</v>
      </c>
      <c r="V24" s="122">
        <f t="shared" si="34"/>
        <v>1</v>
      </c>
      <c r="W24" s="118">
        <f t="shared" si="34"/>
        <v>44335.979999999996</v>
      </c>
      <c r="X24" s="118">
        <f t="shared" si="34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3357.73</v>
      </c>
      <c r="AE24" s="126">
        <f>AE18+AE22</f>
        <v>175821.71628300005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Сводная!Z39+Сводная!R39+Сводная!S39+Сводная!T39+Сводная!V39-Сводная!U39-Сводная!W39+(AA24-AA25)</f>
        <v>175821.71628300002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2" priority="18" operator="greaterThan">
      <formula>120</formula>
    </cfRule>
  </conditionalFormatting>
  <conditionalFormatting sqref="N23">
    <cfRule type="cellIs" dxfId="271" priority="17" operator="between">
      <formula>0.000001</formula>
      <formula>25</formula>
    </cfRule>
  </conditionalFormatting>
  <conditionalFormatting sqref="V1 V25:V1048576">
    <cfRule type="cellIs" dxfId="27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69" priority="14" operator="greaterThan">
      <formula>120</formula>
    </cfRule>
  </conditionalFormatting>
  <conditionalFormatting sqref="Q23">
    <cfRule type="cellIs" dxfId="268" priority="13" operator="greaterThan">
      <formula>120</formula>
    </cfRule>
  </conditionalFormatting>
  <conditionalFormatting sqref="R23">
    <cfRule type="cellIs" dxfId="267" priority="12" operator="greaterThan">
      <formula>120</formula>
    </cfRule>
  </conditionalFormatting>
  <conditionalFormatting sqref="S23">
    <cfRule type="cellIs" dxfId="266" priority="11" operator="greaterThan">
      <formula>120</formula>
    </cfRule>
  </conditionalFormatting>
  <conditionalFormatting sqref="T23">
    <cfRule type="cellIs" dxfId="265" priority="10" operator="greaterThan">
      <formula>120</formula>
    </cfRule>
  </conditionalFormatting>
  <conditionalFormatting sqref="U23">
    <cfRule type="cellIs" dxfId="264" priority="9" operator="greaterThan">
      <formula>120</formula>
    </cfRule>
  </conditionalFormatting>
  <conditionalFormatting sqref="V23">
    <cfRule type="cellIs" dxfId="263" priority="8" operator="greaterThan">
      <formula>120</formula>
    </cfRule>
  </conditionalFormatting>
  <conditionalFormatting sqref="W23">
    <cfRule type="cellIs" dxfId="262" priority="7" operator="greaterThan">
      <formula>120</formula>
    </cfRule>
  </conditionalFormatting>
  <conditionalFormatting sqref="X23">
    <cfRule type="cellIs" dxfId="261" priority="6" operator="greaterThan">
      <formula>120</formula>
    </cfRule>
  </conditionalFormatting>
  <conditionalFormatting sqref="Z23">
    <cfRule type="cellIs" dxfId="26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24135+202</f>
        <v>24337</v>
      </c>
      <c r="AE1" s="266">
        <f>U24/AD1</f>
        <v>2.4918026050869049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3</v>
      </c>
      <c r="L3" s="36"/>
      <c r="M3" s="36"/>
      <c r="N3" s="37">
        <f>K3/$O$1</f>
        <v>1.5</v>
      </c>
      <c r="O3" s="38">
        <f>R3/$O$1</f>
        <v>0.5</v>
      </c>
      <c r="P3" s="39">
        <f>SUMIFS('Отчет 30-31.03'!H:H,'Отчет 30-31.03'!D:D,"Выручка",'Отчет 30-31.03'!E:E,B3)</f>
        <v>1</v>
      </c>
      <c r="Q3" s="39">
        <f>SUMIFS('Отчет 30-31.03'!H:H,'Отчет 30-31.03'!D:D,"Возврат выручки",'Отчет 30-31.03'!E:E,B3)</f>
        <v>0</v>
      </c>
      <c r="R3" s="40">
        <f t="shared" ref="R3:R7" si="1">P3-Q3</f>
        <v>1</v>
      </c>
      <c r="S3" s="41">
        <f>SUMIFS('Отчет 30-31.03'!P:P,'Отчет 30-31.03'!C:C,"Продажи",'Отчет 30-31.03'!E:E,B3)</f>
        <v>2103</v>
      </c>
      <c r="T3" s="42">
        <f>SUMIFS('Отчет 30-31.03'!P:P,'Отчет 30-31.03'!C:C,"Возвраты",'Отчет 30-31.03'!E:E,B3)</f>
        <v>0</v>
      </c>
      <c r="U3" s="40">
        <f t="shared" ref="U3:U7" si="2">S3+T3</f>
        <v>2103</v>
      </c>
      <c r="V3" s="43">
        <f t="shared" ref="V3:V14" si="3">U3/$U$24</f>
        <v>3.4678363537423942E-2</v>
      </c>
      <c r="W3" s="44">
        <f t="shared" ref="W3:W7" si="4">R3*H3</f>
        <v>142.97999999999999</v>
      </c>
      <c r="X3" s="42">
        <f>-SUMIFS('Отчет 30-31.03'!P:P,'Отчет 30-31.03'!C:C,"Вознаграждение Ozon",'Отчет 30-31.03'!E:E,B3)</f>
        <v>904.29</v>
      </c>
      <c r="Y3" s="45">
        <f t="shared" ref="Y3:Y16" si="5">IF(U3=0,0,X3/U3)</f>
        <v>0.43</v>
      </c>
      <c r="Z3" s="42">
        <f>-SUMIFS('Отчет 30-31.03'!P:P,'Отчет 30-31.03'!C:C,"Услуги доставки",'Отчет 30-31.03'!E:E,B3)</f>
        <v>182.85000000000002</v>
      </c>
      <c r="AA3" s="32">
        <v>1445.543987</v>
      </c>
      <c r="AB3" s="42"/>
      <c r="AC3" s="42"/>
      <c r="AD3" s="46">
        <f>IFERROR(U3*1%/$AE$1,0)</f>
        <v>8.4396733341028636</v>
      </c>
      <c r="AE3" s="47">
        <f t="shared" ref="AE3:AE7" si="6">U3-W3-X3-Z3-AA3-AB3-AC3-AD3</f>
        <v>-581.10366033410287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182.85000000000002</v>
      </c>
      <c r="AK3" s="49">
        <f t="shared" ref="AK3:AK7" si="11">IF(P3=0,0,AA3/P3)</f>
        <v>1445.543987</v>
      </c>
      <c r="AL3" s="49">
        <f>_xlfn.IFS(R3=0,AE3,R3&lt;0,AE3/-R3,R3&gt;0,AE3/R3)</f>
        <v>-581.10366033410287</v>
      </c>
      <c r="AM3" s="50">
        <f t="shared" ref="AM3:AM7" si="12">IF(AG3=0,0,AL3/AG3)</f>
        <v>-0.27632128403904083</v>
      </c>
      <c r="AN3" s="51">
        <f t="shared" ref="AN3:AN7" si="13">IF(AH3=0,0,AL3/AH3)</f>
        <v>-4.064230384208301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7</v>
      </c>
      <c r="L4" s="36"/>
      <c r="M4" s="36"/>
      <c r="N4" s="37">
        <f t="shared" ref="N4:N16" si="15">K4/$O$1</f>
        <v>3.5</v>
      </c>
      <c r="O4" s="38">
        <f t="shared" ref="O4:O16" si="16">R4/$O$1</f>
        <v>2.5</v>
      </c>
      <c r="P4" s="39">
        <f>SUMIFS('Отчет 30-31.03'!H:H,'Отчет 30-31.03'!D:D,"Выручка",'Отчет 30-31.03'!E:E,B4)</f>
        <v>5</v>
      </c>
      <c r="Q4" s="39">
        <f>SUMIFS('Отчет 30-31.03'!H:H,'Отчет 30-31.03'!D:D,"Возврат выручки",'Отчет 30-31.03'!E:E,B4)</f>
        <v>0</v>
      </c>
      <c r="R4" s="40">
        <f t="shared" si="1"/>
        <v>5</v>
      </c>
      <c r="S4" s="41">
        <f>SUMIFS('Отчет 30-31.03'!P:P,'Отчет 30-31.03'!C:C,"Продажи",'Отчет 30-31.03'!E:E,B4)</f>
        <v>10515.000000000002</v>
      </c>
      <c r="T4" s="42">
        <f>SUMIFS('Отчет 30-31.03'!P:P,'Отчет 30-31.03'!C:C,"Возвраты",'Отчет 30-31.03'!E:E,B4)</f>
        <v>0</v>
      </c>
      <c r="U4" s="40">
        <f t="shared" si="2"/>
        <v>10515.000000000002</v>
      </c>
      <c r="V4" s="43">
        <f t="shared" si="3"/>
        <v>0.17339181768711973</v>
      </c>
      <c r="W4" s="44">
        <f t="shared" si="4"/>
        <v>615.45000000000005</v>
      </c>
      <c r="X4" s="42">
        <f>-SUMIFS('Отчет 30-31.03'!P:P,'Отчет 30-31.03'!C:C,"Вознаграждение Ozon",'Отчет 30-31.03'!E:E,B4)</f>
        <v>4521.45</v>
      </c>
      <c r="Y4" s="45">
        <f t="shared" si="5"/>
        <v>0.42999999999999988</v>
      </c>
      <c r="Z4" s="42">
        <f>-SUMIFS('Отчет 30-31.03'!P:P,'Отчет 30-31.03'!C:C,"Услуги доставки",'Отчет 30-31.03'!E:E,B4)</f>
        <v>710.45</v>
      </c>
      <c r="AA4" s="32">
        <v>1161.681687</v>
      </c>
      <c r="AB4" s="42"/>
      <c r="AC4" s="42"/>
      <c r="AD4" s="46">
        <f t="shared" ref="AD4:AD16" si="17">IFERROR(U4*1%/$AE$1,0)</f>
        <v>42.198366670514325</v>
      </c>
      <c r="AE4" s="47">
        <f t="shared" si="6"/>
        <v>3463.7699463294871</v>
      </c>
      <c r="AF4" s="46"/>
      <c r="AG4" s="48">
        <f t="shared" si="7"/>
        <v>2103.0000000000005</v>
      </c>
      <c r="AH4" s="49">
        <f t="shared" si="8"/>
        <v>123.09</v>
      </c>
      <c r="AI4" s="49">
        <f t="shared" si="9"/>
        <v>904.29</v>
      </c>
      <c r="AJ4" s="49">
        <f t="shared" si="10"/>
        <v>142.09</v>
      </c>
      <c r="AK4" s="49">
        <f t="shared" si="11"/>
        <v>232.33633739999999</v>
      </c>
      <c r="AL4" s="49">
        <f t="array" ref="AL4">_xlfn.IFS(R4=0,AE4,R4&lt;0,AE4/-R4,R4&gt;0,AE4/R4)</f>
        <v>692.75398926589742</v>
      </c>
      <c r="AM4" s="50">
        <f t="shared" si="12"/>
        <v>0.32941226308411664</v>
      </c>
      <c r="AN4" s="51">
        <f t="shared" si="13"/>
        <v>5.6280281847907823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30-31.03'!P:P,'Отчет 30-31.03'!C:C,"Вознаграждение Ozon",'Отчет 30-31.03'!E:E,B5)</f>
        <v>0</v>
      </c>
      <c r="Y5" s="45">
        <f t="shared" si="5"/>
        <v>0</v>
      </c>
      <c r="Z5" s="42">
        <f>-SUMIFS('Отчет 30-31.03'!P:P,'Отчет 30-31.03'!C:C,"Услуги доставки",'Отчет 30-31.03'!E:E,B5)</f>
        <v>93.54</v>
      </c>
      <c r="AA5" s="32"/>
      <c r="AB5" s="55"/>
      <c r="AC5" s="42"/>
      <c r="AD5" s="46">
        <f t="shared" si="17"/>
        <v>0</v>
      </c>
      <c r="AE5" s="47">
        <f t="shared" si="6"/>
        <v>-93.54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93.54</v>
      </c>
      <c r="AK5" s="49">
        <f t="shared" si="11"/>
        <v>0</v>
      </c>
      <c r="AL5" s="49">
        <f t="array" ref="AL5">_xlfn.IFS(R5=0,AE5,R5&lt;0,AE5/-R5,R5&gt;0,AE5/R5)</f>
        <v>-93.54</v>
      </c>
      <c r="AM5" s="50">
        <f t="shared" si="12"/>
        <v>0</v>
      </c>
      <c r="AN5" s="51">
        <f t="shared" si="13"/>
        <v>-0.75993175725079209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2180</v>
      </c>
      <c r="T6" s="42">
        <f>SUMIFS('Отчет 30-31.03'!P:P,'Отчет 30-31.03'!C:C,"Возвраты",'Отчет 30-31.03'!E:E,B6)</f>
        <v>0</v>
      </c>
      <c r="U6" s="40">
        <f t="shared" si="2"/>
        <v>2180</v>
      </c>
      <c r="V6" s="43">
        <f t="shared" si="3"/>
        <v>3.5948089639364807E-2</v>
      </c>
      <c r="W6" s="44">
        <f t="shared" si="4"/>
        <v>123.09</v>
      </c>
      <c r="X6" s="42">
        <f>-SUMIFS('Отчет 30-31.03'!P:P,'Отчет 30-31.03'!C:C,"Вознаграждение Ozon",'Отчет 30-31.03'!E:E,B6)</f>
        <v>937.4</v>
      </c>
      <c r="Y6" s="45">
        <f t="shared" si="5"/>
        <v>0.43</v>
      </c>
      <c r="Z6" s="42">
        <f>-SUMIFS('Отчет 30-31.03'!P:P,'Отчет 30-31.03'!C:C,"Услуги доставки",'Отчет 30-31.03'!E:E,B6)</f>
        <v>269.68</v>
      </c>
      <c r="AA6" s="32"/>
      <c r="AB6" s="55"/>
      <c r="AC6" s="42"/>
      <c r="AD6" s="46">
        <f t="shared" si="17"/>
        <v>8.7486865755322132</v>
      </c>
      <c r="AE6" s="47">
        <f t="shared" si="6"/>
        <v>841.08131342446745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269.68</v>
      </c>
      <c r="AK6" s="49">
        <f t="shared" si="11"/>
        <v>0</v>
      </c>
      <c r="AL6" s="49">
        <f t="array" ref="AL6">_xlfn.IFS(R6=0,AE6,R6&lt;0,AE6/-R6,R6&gt;0,AE6/R6)</f>
        <v>841.08131342446745</v>
      </c>
      <c r="AM6" s="50">
        <f t="shared" si="12"/>
        <v>0.38581711624975573</v>
      </c>
      <c r="AN6" s="51">
        <f t="shared" si="13"/>
        <v>6.8330596589850305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5</v>
      </c>
      <c r="L7" s="36"/>
      <c r="M7" s="36"/>
      <c r="N7" s="37">
        <f t="shared" si="15"/>
        <v>2.5</v>
      </c>
      <c r="O7" s="38">
        <f t="shared" si="16"/>
        <v>1.5</v>
      </c>
      <c r="P7" s="39">
        <f>SUMIFS('Отчет 30-31.03'!H:H,'Отчет 30-31.03'!D:D,"Выручка",'Отчет 30-31.03'!E:E,B7)</f>
        <v>3</v>
      </c>
      <c r="Q7" s="39">
        <f>SUMIFS('Отчет 30-31.03'!H:H,'Отчет 30-31.03'!D:D,"Возврат выручки",'Отчет 30-31.03'!E:E,B7)</f>
        <v>0</v>
      </c>
      <c r="R7" s="40">
        <f t="shared" si="1"/>
        <v>3</v>
      </c>
      <c r="S7" s="41">
        <f>SUMIFS('Отчет 30-31.03'!P:P,'Отчет 30-31.03'!C:C,"Продажи",'Отчет 30-31.03'!E:E,B7)</f>
        <v>7042</v>
      </c>
      <c r="T7" s="42">
        <f>SUMIFS('Отчет 30-31.03'!P:P,'Отчет 30-31.03'!C:C,"Возвраты",'Отчет 30-31.03'!E:E,B7)</f>
        <v>0</v>
      </c>
      <c r="U7" s="40">
        <f t="shared" si="2"/>
        <v>7042</v>
      </c>
      <c r="V7" s="43">
        <f t="shared" si="3"/>
        <v>0.11612222350477384</v>
      </c>
      <c r="W7" s="44">
        <f t="shared" si="4"/>
        <v>351.71999999999997</v>
      </c>
      <c r="X7" s="42">
        <f>-SUMIFS('Отчет 30-31.03'!P:P,'Отчет 30-31.03'!C:C,"Вознаграждение Ozon",'Отчет 30-31.03'!E:E,B7)</f>
        <v>3028.06</v>
      </c>
      <c r="Y7" s="45">
        <f t="shared" si="5"/>
        <v>0.43</v>
      </c>
      <c r="Z7" s="42">
        <f>-SUMIFS('Отчет 30-31.03'!P:P,'Отчет 30-31.03'!C:C,"Услуги доставки",'Отчет 30-31.03'!E:E,B7)</f>
        <v>448.36</v>
      </c>
      <c r="AA7" s="32">
        <v>549.11999000000003</v>
      </c>
      <c r="AB7" s="55"/>
      <c r="AC7" s="42"/>
      <c r="AD7" s="46">
        <f t="shared" si="17"/>
        <v>28.260665534356807</v>
      </c>
      <c r="AE7" s="47">
        <f t="shared" si="6"/>
        <v>2636.4793444656425</v>
      </c>
      <c r="AF7" s="46"/>
      <c r="AG7" s="48">
        <f t="shared" si="7"/>
        <v>2347.3333333333335</v>
      </c>
      <c r="AH7" s="49">
        <f t="shared" si="8"/>
        <v>117.24</v>
      </c>
      <c r="AI7" s="49">
        <f t="shared" si="9"/>
        <v>1009.3533333333334</v>
      </c>
      <c r="AJ7" s="49">
        <f t="shared" si="10"/>
        <v>149.45333333333335</v>
      </c>
      <c r="AK7" s="49">
        <f t="shared" si="11"/>
        <v>183.03999666666667</v>
      </c>
      <c r="AL7" s="49">
        <f t="array" ref="AL7">_xlfn.IFS(R7=0,AE7,R7&lt;0,AE7/-R7,R7&gt;0,AE7/R7)</f>
        <v>878.82644815521417</v>
      </c>
      <c r="AM7" s="50">
        <f t="shared" si="12"/>
        <v>0.37439354508174416</v>
      </c>
      <c r="AN7" s="51">
        <f t="shared" si="13"/>
        <v>7.4959608338042836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14</v>
      </c>
      <c r="L8" s="36"/>
      <c r="M8" s="36"/>
      <c r="N8" s="37">
        <f t="shared" si="15"/>
        <v>7</v>
      </c>
      <c r="O8" s="38">
        <f t="shared" si="16"/>
        <v>2.5</v>
      </c>
      <c r="P8" s="39">
        <f>SUMIFS('Отчет 30-31.03'!H:H,'Отчет 30-31.03'!D:D,"Выручка",'Отчет 30-31.03'!E:E,B8)</f>
        <v>5</v>
      </c>
      <c r="Q8" s="39">
        <f>SUMIFS('Отчет 30-31.03'!H:H,'Отчет 30-31.03'!D:D,"Возврат выручки",'Отчет 30-31.03'!E:E,B8)</f>
        <v>0</v>
      </c>
      <c r="R8" s="40">
        <f>P8-Q8</f>
        <v>5</v>
      </c>
      <c r="S8" s="41">
        <f>SUMIFS('Отчет 30-31.03'!P:P,'Отчет 30-31.03'!C:C,"Продажи",'Отчет 30-31.03'!E:E,B8)</f>
        <v>13039</v>
      </c>
      <c r="T8" s="42">
        <f>SUMIFS('Отчет 30-31.03'!P:P,'Отчет 30-31.03'!C:C,"Возвраты",'Отчет 30-31.03'!E:E,B8)</f>
        <v>0</v>
      </c>
      <c r="U8" s="40">
        <f>S8+T8</f>
        <v>13039</v>
      </c>
      <c r="V8" s="43">
        <f t="shared" si="3"/>
        <v>0.21501244991177876</v>
      </c>
      <c r="W8" s="44">
        <f>R8*H8</f>
        <v>849.44999999999993</v>
      </c>
      <c r="X8" s="42">
        <f>-SUMIFS('Отчет 30-31.03'!P:P,'Отчет 30-31.03'!C:C,"Вознаграждение Ozon",'Отчет 30-31.03'!E:E,B8)</f>
        <v>5606.77</v>
      </c>
      <c r="Y8" s="45">
        <f t="shared" si="5"/>
        <v>0.43000000000000005</v>
      </c>
      <c r="Z8" s="42">
        <f>-SUMIFS('Отчет 30-31.03'!P:P,'Отчет 30-31.03'!C:C,"Услуги доставки",'Отчет 30-31.03'!E:E,B8)</f>
        <v>735.38</v>
      </c>
      <c r="AA8" s="32">
        <v>1687.412734</v>
      </c>
      <c r="AB8" s="55"/>
      <c r="AC8" s="42"/>
      <c r="AD8" s="46">
        <f t="shared" si="17"/>
        <v>52.327579935029604</v>
      </c>
      <c r="AE8" s="47">
        <f>U8-W8-X8-Z8-AA8-AB8-AC8-AD8</f>
        <v>4107.6596860649688</v>
      </c>
      <c r="AF8" s="46"/>
      <c r="AG8" s="48">
        <f>IF(R8=0,0,U8/R8)</f>
        <v>2607.8000000000002</v>
      </c>
      <c r="AH8" s="49">
        <f>H8</f>
        <v>169.89</v>
      </c>
      <c r="AI8" s="49">
        <f>IF(R8=0,0,X8/R8)</f>
        <v>1121.354</v>
      </c>
      <c r="AJ8" s="49">
        <f>IF(P8=0,Z8/1,Z8/P8)</f>
        <v>147.07599999999999</v>
      </c>
      <c r="AK8" s="49">
        <f>IF(P8=0,0,AA8/P8)</f>
        <v>337.48254680000002</v>
      </c>
      <c r="AL8" s="49">
        <f t="array" ref="AL8">_xlfn.IFS(R8=0,AE8,R8&lt;0,AE8/-R8,R8&gt;0,AE8/R8)</f>
        <v>821.53193721299374</v>
      </c>
      <c r="AM8" s="50">
        <f>IF(AG8=0,0,AL8/AG8)</f>
        <v>0.31502873579760476</v>
      </c>
      <c r="AN8" s="51">
        <f>IF(AH8=0,0,AL8/AH8)</f>
        <v>4.8356697699275637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1</v>
      </c>
      <c r="O9" s="38">
        <f t="shared" si="16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ref="R9:R16" si="18">P9-Q9</f>
        <v>1</v>
      </c>
      <c r="S9" s="41">
        <f>SUMIFS('Отчет 30-31.03'!P:P,'Отчет 30-31.03'!C:C,"Продажи",'Отчет 30-31.03'!E:E,B9)</f>
        <v>2420</v>
      </c>
      <c r="T9" s="42">
        <f>SUMIFS('Отчет 30-31.03'!P:P,'Отчет 30-31.03'!C:C,"Возвраты",'Отчет 30-31.03'!E:E,B9)</f>
        <v>0</v>
      </c>
      <c r="U9" s="40">
        <f t="shared" ref="U9:U16" si="19">S9+T9</f>
        <v>2420</v>
      </c>
      <c r="V9" s="43">
        <f t="shared" si="3"/>
        <v>3.9905677489570107E-2</v>
      </c>
      <c r="W9" s="44">
        <f t="shared" ref="W9:W16" si="20">R9*H9</f>
        <v>123</v>
      </c>
      <c r="X9" s="42">
        <f>-SUMIFS('Отчет 30-31.03'!P:P,'Отчет 30-31.03'!C:C,"Вознаграждение Ozon",'Отчет 30-31.03'!E:E,B9)</f>
        <v>1040.5999999999999</v>
      </c>
      <c r="Y9" s="45">
        <f t="shared" si="5"/>
        <v>0.42999999999999994</v>
      </c>
      <c r="Z9" s="42">
        <f>-SUMIFS('Отчет 30-31.03'!P:P,'Отчет 30-31.03'!C:C,"Услуги доставки",'Отчет 30-31.03'!E:E,B9)</f>
        <v>113.88</v>
      </c>
      <c r="AA9" s="32"/>
      <c r="AB9" s="55"/>
      <c r="AC9" s="42"/>
      <c r="AD9" s="46">
        <f t="shared" si="17"/>
        <v>9.7118447306366757</v>
      </c>
      <c r="AE9" s="47">
        <f t="shared" ref="AE9:AE16" si="21">U9-W9-X9-Z9-AA9-AB9-AC9-AD9</f>
        <v>1132.8081552693634</v>
      </c>
      <c r="AF9" s="46"/>
      <c r="AG9" s="48">
        <f t="shared" ref="AG9:AG16" si="22">IF(R9=0,0,U9/R9)</f>
        <v>2420</v>
      </c>
      <c r="AH9" s="49">
        <f t="shared" ref="AH9:AH16" si="23">H9</f>
        <v>123</v>
      </c>
      <c r="AI9" s="49">
        <f t="shared" ref="AI9:AI16" si="24">IF(R9=0,0,X9/R9)</f>
        <v>1040.5999999999999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1132.8081552693634</v>
      </c>
      <c r="AM9" s="50">
        <f t="shared" ref="AM9:AM16" si="27">IF(AG9=0,0,AL9/AG9)</f>
        <v>0.46810254349973696</v>
      </c>
      <c r="AN9" s="51">
        <f t="shared" ref="AN9:AN16" si="28">IF(AH9=0,0,AL9/AH9)</f>
        <v>9.2098224005639295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0.5</v>
      </c>
      <c r="O10" s="38">
        <f t="shared" si="16"/>
        <v>0.5</v>
      </c>
      <c r="P10" s="39">
        <f>SUMIFS('Отчет 30-31.03'!H:H,'Отчет 30-31.03'!D:D,"Выручка",'Отчет 30-31.03'!E:E,B10)</f>
        <v>1</v>
      </c>
      <c r="Q10" s="39">
        <f>SUMIFS('Отчет 30-31.03'!H:H,'Отчет 30-31.03'!D:D,"Возврат выручки",'Отчет 30-31.03'!E:E,B10)</f>
        <v>0</v>
      </c>
      <c r="R10" s="40">
        <f t="shared" si="18"/>
        <v>1</v>
      </c>
      <c r="S10" s="41">
        <f>SUMIFS('Отчет 30-31.03'!P:P,'Отчет 30-31.03'!C:C,"Продажи",'Отчет 30-31.03'!E:E,B10)</f>
        <v>2420</v>
      </c>
      <c r="T10" s="42">
        <f>SUMIFS('Отчет 30-31.03'!P:P,'Отчет 30-31.03'!C:C,"Возвраты",'Отчет 30-31.03'!E:E,B10)</f>
        <v>0</v>
      </c>
      <c r="U10" s="40">
        <f t="shared" si="19"/>
        <v>2420</v>
      </c>
      <c r="V10" s="43">
        <f t="shared" si="3"/>
        <v>3.9905677489570107E-2</v>
      </c>
      <c r="W10" s="44">
        <f t="shared" si="20"/>
        <v>123</v>
      </c>
      <c r="X10" s="42">
        <f>-SUMIFS('Отчет 30-31.03'!P:P,'Отчет 30-31.03'!C:C,"Вознаграждение Ozon",'Отчет 30-31.03'!E:E,B10)</f>
        <v>1040.5999999999999</v>
      </c>
      <c r="Y10" s="45">
        <f t="shared" si="5"/>
        <v>0.42999999999999994</v>
      </c>
      <c r="Z10" s="42">
        <f>-SUMIFS('Отчет 30-31.03'!P:P,'Отчет 30-31.03'!C:C,"Услуги доставки",'Отчет 30-31.03'!E:E,B10)</f>
        <v>97.87</v>
      </c>
      <c r="AA10" s="32"/>
      <c r="AB10" s="55"/>
      <c r="AC10" s="42"/>
      <c r="AD10" s="46">
        <f t="shared" si="17"/>
        <v>9.7118447306366757</v>
      </c>
      <c r="AE10" s="47">
        <f t="shared" si="21"/>
        <v>1148.8181552693636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97.87</v>
      </c>
      <c r="AK10" s="49">
        <f t="shared" si="26"/>
        <v>0</v>
      </c>
      <c r="AL10" s="49">
        <f t="array" ref="AL10">_xlfn.IFS(R10=0,AE10,R10&lt;0,AE10/-R10,R10&gt;0,AE10/R10)</f>
        <v>1148.8181552693636</v>
      </c>
      <c r="AM10" s="50">
        <f t="shared" si="27"/>
        <v>0.47471824597907586</v>
      </c>
      <c r="AN10" s="51">
        <f t="shared" si="28"/>
        <v>9.3399850021899482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8</v>
      </c>
      <c r="L11" s="36"/>
      <c r="M11" s="36"/>
      <c r="N11" s="37">
        <f t="shared" si="15"/>
        <v>4</v>
      </c>
      <c r="O11" s="38">
        <f t="shared" si="16"/>
        <v>2</v>
      </c>
      <c r="P11" s="39">
        <f>SUMIFS('Отчет 30-31.03'!H:H,'Отчет 30-31.03'!D:D,"Выручка",'Отчет 30-31.03'!E:E,B11)</f>
        <v>4</v>
      </c>
      <c r="Q11" s="39">
        <f>SUMIFS('Отчет 30-31.03'!H:H,'Отчет 30-31.03'!D:D,"Возврат выручки",'Отчет 30-31.03'!E:E,B11)</f>
        <v>0</v>
      </c>
      <c r="R11" s="40">
        <f t="shared" si="18"/>
        <v>4</v>
      </c>
      <c r="S11" s="41">
        <f>SUMIFS('Отчет 30-31.03'!P:P,'Отчет 30-31.03'!C:C,"Продажи",'Отчет 30-31.03'!E:E,B11)</f>
        <v>8652</v>
      </c>
      <c r="T11" s="42">
        <f>SUMIFS('Отчет 30-31.03'!P:P,'Отчет 30-31.03'!C:C,"Возвраты",'Отчет 30-31.03'!E:E,B11)</f>
        <v>0</v>
      </c>
      <c r="U11" s="40">
        <f t="shared" si="19"/>
        <v>8652</v>
      </c>
      <c r="V11" s="43">
        <f t="shared" si="3"/>
        <v>0.14267104199990105</v>
      </c>
      <c r="W11" s="44">
        <f t="shared" si="20"/>
        <v>492</v>
      </c>
      <c r="X11" s="42">
        <f>-SUMIFS('Отчет 30-31.03'!P:P,'Отчет 30-31.03'!C:C,"Вознаграждение Ozon",'Отчет 30-31.03'!E:E,B11)</f>
        <v>3720.36</v>
      </c>
      <c r="Y11" s="45">
        <f t="shared" si="5"/>
        <v>0.43</v>
      </c>
      <c r="Z11" s="42">
        <f>-SUMIFS('Отчет 30-31.03'!P:P,'Отчет 30-31.03'!C:C,"Услуги доставки",'Отчет 30-31.03'!E:E,B11)</f>
        <v>915.21</v>
      </c>
      <c r="AA11" s="32">
        <v>2108.5090030000001</v>
      </c>
      <c r="AB11" s="55"/>
      <c r="AC11" s="42"/>
      <c r="AD11" s="46">
        <f t="shared" si="17"/>
        <v>34.72185149151592</v>
      </c>
      <c r="AE11" s="47">
        <f t="shared" si="21"/>
        <v>1381.1991455084833</v>
      </c>
      <c r="AF11" s="46"/>
      <c r="AG11" s="48">
        <f t="shared" si="22"/>
        <v>2163</v>
      </c>
      <c r="AH11" s="49">
        <f t="shared" si="23"/>
        <v>123</v>
      </c>
      <c r="AI11" s="49">
        <f t="shared" si="24"/>
        <v>930.09</v>
      </c>
      <c r="AJ11" s="49">
        <f t="shared" si="25"/>
        <v>228.80250000000001</v>
      </c>
      <c r="AK11" s="49">
        <f t="shared" si="26"/>
        <v>527.12725075000003</v>
      </c>
      <c r="AL11" s="49">
        <f t="array" ref="AL11">_xlfn.IFS(R11=0,AE11,R11&lt;0,AE11/-R11,R11&gt;0,AE11/R11)</f>
        <v>345.29978637712082</v>
      </c>
      <c r="AM11" s="50">
        <f t="shared" si="27"/>
        <v>0.1596392909741659</v>
      </c>
      <c r="AN11" s="51">
        <f t="shared" si="28"/>
        <v>2.8073153363993564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3</v>
      </c>
      <c r="L12" s="36"/>
      <c r="M12" s="36"/>
      <c r="N12" s="37">
        <f t="shared" si="15"/>
        <v>1.5</v>
      </c>
      <c r="O12" s="38">
        <f t="shared" si="16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8"/>
        <v>1</v>
      </c>
      <c r="S12" s="41">
        <f>SUMIFS('Отчет 30-31.03'!P:P,'Отчет 30-31.03'!C:C,"Продажи",'Отчет 30-31.03'!E:E,B12)</f>
        <v>2393</v>
      </c>
      <c r="T12" s="42">
        <f>SUMIFS('Отчет 30-31.03'!P:P,'Отчет 30-31.03'!C:C,"Возвраты",'Отчет 30-31.03'!E:E,B12)</f>
        <v>0</v>
      </c>
      <c r="U12" s="40">
        <f t="shared" si="19"/>
        <v>2393</v>
      </c>
      <c r="V12" s="43">
        <f t="shared" si="3"/>
        <v>3.9460448856422012E-2</v>
      </c>
      <c r="W12" s="44">
        <f t="shared" si="20"/>
        <v>117</v>
      </c>
      <c r="X12" s="42">
        <f>-SUMIFS('Отчет 30-31.03'!P:P,'Отчет 30-31.03'!C:C,"Вознаграждение Ozon",'Отчет 30-31.03'!E:E,B12)</f>
        <v>1028.99</v>
      </c>
      <c r="Y12" s="45">
        <f t="shared" si="5"/>
        <v>0.43</v>
      </c>
      <c r="Z12" s="42">
        <f>-SUMIFS('Отчет 30-31.03'!P:P,'Отчет 30-31.03'!C:C,"Услуги доставки",'Отчет 30-31.03'!E:E,B12)</f>
        <v>334.14</v>
      </c>
      <c r="AA12" s="32">
        <v>1072.4164960000001</v>
      </c>
      <c r="AB12" s="55"/>
      <c r="AC12" s="42"/>
      <c r="AD12" s="46">
        <f t="shared" si="17"/>
        <v>9.6034894381874238</v>
      </c>
      <c r="AE12" s="47">
        <f t="shared" si="21"/>
        <v>-169.14998543818746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334.14</v>
      </c>
      <c r="AK12" s="49">
        <f t="shared" si="26"/>
        <v>1072.4164960000001</v>
      </c>
      <c r="AL12" s="49">
        <f t="array" ref="AL12">_xlfn.IFS(R12=0,AE12,R12&lt;0,AE12/-R12,R12&gt;0,AE12/R12)</f>
        <v>-169.14998543818746</v>
      </c>
      <c r="AM12" s="50">
        <f t="shared" si="27"/>
        <v>-7.0685326133801699E-2</v>
      </c>
      <c r="AN12" s="51">
        <f t="shared" si="28"/>
        <v>-1.4457263712665596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5</v>
      </c>
      <c r="L13" s="36"/>
      <c r="M13" s="36"/>
      <c r="N13" s="37">
        <f t="shared" si="15"/>
        <v>2.5</v>
      </c>
      <c r="O13" s="38">
        <f t="shared" si="16"/>
        <v>1.5</v>
      </c>
      <c r="P13" s="39">
        <f>SUMIFS('Отчет 30-31.03'!H:H,'Отчет 30-31.03'!D:D,"Выручка",'Отчет 30-31.03'!E:E,B13)</f>
        <v>3</v>
      </c>
      <c r="Q13" s="39">
        <f>SUMIFS('Отчет 30-31.03'!H:H,'Отчет 30-31.03'!D:D,"Возврат выручки",'Отчет 30-31.03'!E:E,B13)</f>
        <v>0</v>
      </c>
      <c r="R13" s="40">
        <f t="shared" si="18"/>
        <v>3</v>
      </c>
      <c r="S13" s="41">
        <f>SUMIFS('Отчет 30-31.03'!P:P,'Отчет 30-31.03'!C:C,"Продажи",'Отчет 30-31.03'!E:E,B13)</f>
        <v>7329</v>
      </c>
      <c r="T13" s="42">
        <f>SUMIFS('Отчет 30-31.03'!P:P,'Отчет 30-31.03'!C:C,"Возвраты",'Отчет 30-31.03'!E:E,B13)</f>
        <v>0</v>
      </c>
      <c r="U13" s="40">
        <f t="shared" si="19"/>
        <v>7329</v>
      </c>
      <c r="V13" s="43">
        <f t="shared" si="3"/>
        <v>0.12085483897564435</v>
      </c>
      <c r="W13" s="44">
        <f t="shared" si="20"/>
        <v>369</v>
      </c>
      <c r="X13" s="42">
        <f>-SUMIFS('Отчет 30-31.03'!P:P,'Отчет 30-31.03'!C:C,"Вознаграждение Ozon",'Отчет 30-31.03'!E:E,B13)</f>
        <v>3151.4700000000003</v>
      </c>
      <c r="Y13" s="45">
        <f t="shared" si="5"/>
        <v>0.43000000000000005</v>
      </c>
      <c r="Z13" s="42">
        <f>-SUMIFS('Отчет 30-31.03'!P:P,'Отчет 30-31.03'!C:C,"Услуги доставки",'Отчет 30-31.03'!E:E,B13)</f>
        <v>326.63</v>
      </c>
      <c r="AA13" s="32">
        <v>1070.3319649999999</v>
      </c>
      <c r="AB13" s="55"/>
      <c r="AC13" s="42"/>
      <c r="AD13" s="46">
        <f t="shared" si="17"/>
        <v>29.412442161502565</v>
      </c>
      <c r="AE13" s="47">
        <f t="shared" si="21"/>
        <v>2382.1555928384973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108.87666666666667</v>
      </c>
      <c r="AK13" s="49">
        <f t="shared" si="26"/>
        <v>356.77732166666664</v>
      </c>
      <c r="AL13" s="49">
        <f t="array" ref="AL13">_xlfn.IFS(R13=0,AE13,R13&lt;0,AE13/-R13,R13&gt;0,AE13/R13)</f>
        <v>794.05186427949911</v>
      </c>
      <c r="AM13" s="50">
        <f t="shared" si="27"/>
        <v>0.32503146306979086</v>
      </c>
      <c r="AN13" s="51">
        <f t="shared" si="28"/>
        <v>6.4557062136544641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8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30-31.03'!P:P,'Отчет 30-31.03'!C:C,"Вознаграждение Ozon",'Отчет 30-31.03'!E:E,B14)</f>
        <v>0</v>
      </c>
      <c r="Y14" s="45">
        <f t="shared" si="5"/>
        <v>0</v>
      </c>
      <c r="Z14" s="42">
        <f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si="17"/>
        <v>0</v>
      </c>
      <c r="AE14" s="47">
        <f t="shared" si="21"/>
        <v>0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0</v>
      </c>
      <c r="AM14" s="50">
        <f t="shared" si="27"/>
        <v>0</v>
      </c>
      <c r="AN14" s="51">
        <f t="shared" si="28"/>
        <v>0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8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30-31.03'!P:P,'Отчет 30-31.03'!C:C,"Вознаграждение Ozon",'Отчет 30-31.03'!E:E,B15)</f>
        <v>0</v>
      </c>
      <c r="Y15" s="45">
        <f t="shared" si="5"/>
        <v>0</v>
      </c>
      <c r="Z15" s="42">
        <f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si="17"/>
        <v>0</v>
      </c>
      <c r="AE15" s="47">
        <f t="shared" si="21"/>
        <v>0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0</v>
      </c>
      <c r="AK15" s="49">
        <f t="shared" si="26"/>
        <v>0</v>
      </c>
      <c r="AL15" s="49">
        <f t="array" ref="AL15">_xlfn.IFS(R15=0,AE15,R15&lt;0,AE15/-R15,R15&gt;0,AE15/R15)</f>
        <v>0</v>
      </c>
      <c r="AM15" s="50">
        <f t="shared" si="27"/>
        <v>0</v>
      </c>
      <c r="AN15" s="51">
        <f t="shared" si="28"/>
        <v>0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4</v>
      </c>
      <c r="N16" s="37">
        <f t="shared" si="15"/>
        <v>2</v>
      </c>
      <c r="O16" s="38">
        <f t="shared" si="16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8"/>
        <v>1</v>
      </c>
      <c r="S16" s="41">
        <f>SUMIFS('Отчет 30-31.03'!P:P,'Отчет 30-31.03'!C:C,"Продажи",'Отчет 30-31.03'!E:E,B16)</f>
        <v>2550</v>
      </c>
      <c r="T16" s="42">
        <f>SUMIFS('Отчет 30-31.03'!P:P,'Отчет 30-31.03'!C:C,"Возвраты",'Отчет 30-31.03'!E:E,B16)</f>
        <v>0</v>
      </c>
      <c r="U16" s="40">
        <f t="shared" si="19"/>
        <v>2550</v>
      </c>
      <c r="V16" s="43">
        <f>U16/$U$24</f>
        <v>4.2049370908431312E-2</v>
      </c>
      <c r="W16" s="44">
        <f t="shared" si="20"/>
        <v>117</v>
      </c>
      <c r="X16" s="42">
        <f>-SUMIFS('Отчет 30-31.03'!P:P,'Отчет 30-31.03'!C:C,"Вознаграждение Ozon",'Отчет 30-31.03'!E:E,B16)</f>
        <v>1096.5</v>
      </c>
      <c r="Y16" s="45">
        <f t="shared" si="5"/>
        <v>0.43</v>
      </c>
      <c r="Z16" s="42">
        <f>-SUMIFS('Отчет 30-31.03'!P:P,'Отчет 30-31.03'!C:C,"Услуги доставки",'Отчет 30-31.03'!E:E,B16)</f>
        <v>213.25</v>
      </c>
      <c r="AA16" s="32">
        <v>1363.719478</v>
      </c>
      <c r="AB16" s="55"/>
      <c r="AC16" s="42"/>
      <c r="AD16" s="46">
        <f t="shared" si="17"/>
        <v>10.233555397984928</v>
      </c>
      <c r="AE16" s="47">
        <f t="shared" si="21"/>
        <v>-250.70303339798491</v>
      </c>
      <c r="AF16" s="46"/>
      <c r="AG16" s="48">
        <f t="shared" si="22"/>
        <v>2550</v>
      </c>
      <c r="AH16" s="49">
        <f t="shared" si="23"/>
        <v>117</v>
      </c>
      <c r="AI16" s="49">
        <f t="shared" si="24"/>
        <v>1096.5</v>
      </c>
      <c r="AJ16" s="49">
        <f t="shared" si="25"/>
        <v>213.25</v>
      </c>
      <c r="AK16" s="49">
        <f t="shared" si="26"/>
        <v>1363.719478</v>
      </c>
      <c r="AL16" s="49">
        <f t="array" ref="AL16">_xlfn.IFS(R16=0,AE16,R16&lt;0,AE16/-R16,R16&gt;0,AE16/R16)</f>
        <v>-250.70303339798491</v>
      </c>
      <c r="AM16" s="50">
        <f t="shared" si="27"/>
        <v>-9.8314915058033303E-2</v>
      </c>
      <c r="AN16" s="51">
        <f t="shared" si="28"/>
        <v>-2.1427609692135463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2318.0133333333333</v>
      </c>
      <c r="AH17" s="58">
        <f t="shared" si="30"/>
        <v>127.26</v>
      </c>
      <c r="AI17" s="58">
        <f t="shared" si="30"/>
        <v>996.74573333333342</v>
      </c>
      <c r="AJ17" s="58">
        <f t="shared" si="30"/>
        <v>169.8416818181818</v>
      </c>
      <c r="AK17" s="58">
        <f t="shared" si="30"/>
        <v>593.53199089761904</v>
      </c>
      <c r="AL17" s="58">
        <f t="shared" si="30"/>
        <v>528.30709122560268</v>
      </c>
      <c r="AM17" s="59">
        <f t="shared" si="30"/>
        <v>0.24851365935631486</v>
      </c>
      <c r="AN17" s="59">
        <f t="shared" si="30"/>
        <v>4.2123326261445184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52</v>
      </c>
      <c r="L18" s="67"/>
      <c r="M18" s="67"/>
      <c r="N18" s="68"/>
      <c r="O18" s="69"/>
      <c r="P18" s="64">
        <f t="shared" ref="P18:X18" si="31">SUM(P3:P16)</f>
        <v>26</v>
      </c>
      <c r="Q18" s="64">
        <f t="shared" si="31"/>
        <v>0</v>
      </c>
      <c r="R18" s="64">
        <f t="shared" si="31"/>
        <v>26</v>
      </c>
      <c r="S18" s="70">
        <f t="shared" si="31"/>
        <v>60643</v>
      </c>
      <c r="T18" s="64">
        <f t="shared" si="31"/>
        <v>0</v>
      </c>
      <c r="U18" s="64">
        <f t="shared" si="31"/>
        <v>60643</v>
      </c>
      <c r="V18" s="71">
        <f t="shared" si="31"/>
        <v>0.99999999999999989</v>
      </c>
      <c r="W18" s="64">
        <f t="shared" si="31"/>
        <v>3423.69</v>
      </c>
      <c r="X18" s="64">
        <f t="shared" si="31"/>
        <v>26076.49</v>
      </c>
      <c r="Y18" s="72">
        <f>IF(U18=0,0,X18/U18)</f>
        <v>0.43000000000000005</v>
      </c>
      <c r="Z18" s="64">
        <f>SUM(Z3:Z16)</f>
        <v>4441.24</v>
      </c>
      <c r="AA18" s="64">
        <f>IFERROR(P18*AA24/P24,0)</f>
        <v>11946.08</v>
      </c>
      <c r="AB18" s="64">
        <f>SUM(AB3:AB16)</f>
        <v>0</v>
      </c>
      <c r="AC18" s="64">
        <f>SUM(AC3:AC16)</f>
        <v>0</v>
      </c>
      <c r="AD18" s="73">
        <f>SUM(AD3:AD16)</f>
        <v>243.36999999999998</v>
      </c>
      <c r="AE18" s="74">
        <f>SUM(AE3:AE16)</f>
        <v>15999.474659999996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52</v>
      </c>
      <c r="L24" s="119"/>
      <c r="M24" s="119"/>
      <c r="N24" s="119"/>
      <c r="O24" s="119"/>
      <c r="P24" s="120">
        <f>P18+P22</f>
        <v>26</v>
      </c>
      <c r="Q24" s="118">
        <f>Q18+Q22</f>
        <v>0</v>
      </c>
      <c r="R24" s="121">
        <f>R18-R22</f>
        <v>26</v>
      </c>
      <c r="S24" s="118">
        <f t="shared" ref="S24:X24" si="34">S18+S22</f>
        <v>60643</v>
      </c>
      <c r="T24" s="118">
        <f t="shared" si="34"/>
        <v>0</v>
      </c>
      <c r="U24" s="121">
        <f t="shared" si="34"/>
        <v>60643</v>
      </c>
      <c r="V24" s="122">
        <f t="shared" si="34"/>
        <v>0.99999999999999989</v>
      </c>
      <c r="W24" s="118">
        <f t="shared" si="34"/>
        <v>3423.69</v>
      </c>
      <c r="X24" s="118">
        <f t="shared" si="34"/>
        <v>26076.49</v>
      </c>
      <c r="Y24" s="123">
        <f>X24/U24</f>
        <v>0.43000000000000005</v>
      </c>
      <c r="Z24" s="118">
        <f>Z18+Z22</f>
        <v>4441.24</v>
      </c>
      <c r="AA24" s="124">
        <v>11946.08</v>
      </c>
      <c r="AB24" s="125"/>
      <c r="AC24" s="125">
        <f>SUM(AC3:AC20)</f>
        <v>0</v>
      </c>
      <c r="AD24" s="118">
        <f>AD18+AD22</f>
        <v>243.36999999999998</v>
      </c>
      <c r="AE24" s="126">
        <f>AE18+AE22</f>
        <v>15999.474659999996</v>
      </c>
      <c r="AF24" s="127"/>
      <c r="AG24" s="128"/>
      <c r="AH24" s="129"/>
      <c r="AI24" s="129"/>
      <c r="AJ24" s="129"/>
      <c r="AK24" s="129">
        <f>AA25/P24</f>
        <v>402.25905153846151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10458.735339999999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1187.3446600000007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9" priority="19" operator="greaterThan">
      <formula>120</formula>
    </cfRule>
  </conditionalFormatting>
  <conditionalFormatting sqref="N23">
    <cfRule type="cellIs" dxfId="258" priority="18" operator="between">
      <formula>0.000001</formula>
      <formula>25</formula>
    </cfRule>
  </conditionalFormatting>
  <conditionalFormatting sqref="V1 V25:V1048576">
    <cfRule type="cellIs" dxfId="25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56" priority="14" operator="greaterThan">
      <formula>120</formula>
    </cfRule>
  </conditionalFormatting>
  <conditionalFormatting sqref="Q23">
    <cfRule type="cellIs" dxfId="255" priority="13" operator="greaterThan">
      <formula>120</formula>
    </cfRule>
  </conditionalFormatting>
  <conditionalFormatting sqref="R23">
    <cfRule type="cellIs" dxfId="254" priority="12" operator="greaterThan">
      <formula>120</formula>
    </cfRule>
  </conditionalFormatting>
  <conditionalFormatting sqref="S23">
    <cfRule type="cellIs" dxfId="253" priority="11" operator="greaterThan">
      <formula>120</formula>
    </cfRule>
  </conditionalFormatting>
  <conditionalFormatting sqref="T23">
    <cfRule type="cellIs" dxfId="252" priority="10" operator="greaterThan">
      <formula>120</formula>
    </cfRule>
  </conditionalFormatting>
  <conditionalFormatting sqref="U23">
    <cfRule type="cellIs" dxfId="251" priority="9" operator="greaterThan">
      <formula>120</formula>
    </cfRule>
  </conditionalFormatting>
  <conditionalFormatting sqref="V23">
    <cfRule type="cellIs" dxfId="250" priority="8" operator="greaterThan">
      <formula>120</formula>
    </cfRule>
  </conditionalFormatting>
  <conditionalFormatting sqref="W23">
    <cfRule type="cellIs" dxfId="249" priority="7" operator="greaterThan">
      <formula>120</formula>
    </cfRule>
  </conditionalFormatting>
  <conditionalFormatting sqref="X23">
    <cfRule type="cellIs" dxfId="248" priority="6" operator="greaterThan">
      <formula>120</formula>
    </cfRule>
  </conditionalFormatting>
  <conditionalFormatting sqref="Z23">
    <cfRule type="cellIs" dxfId="24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6" priority="19" operator="greaterThan">
      <formula>120</formula>
    </cfRule>
  </conditionalFormatting>
  <conditionalFormatting sqref="N23">
    <cfRule type="cellIs" dxfId="245" priority="18" operator="between">
      <formula>0.000001</formula>
      <formula>25</formula>
    </cfRule>
  </conditionalFormatting>
  <conditionalFormatting sqref="V1 V25:V1048576">
    <cfRule type="cellIs" dxfId="24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43" priority="14" operator="greaterThan">
      <formula>120</formula>
    </cfRule>
  </conditionalFormatting>
  <conditionalFormatting sqref="Q23">
    <cfRule type="cellIs" dxfId="242" priority="13" operator="greaterThan">
      <formula>120</formula>
    </cfRule>
  </conditionalFormatting>
  <conditionalFormatting sqref="R23">
    <cfRule type="cellIs" dxfId="241" priority="12" operator="greaterThan">
      <formula>120</formula>
    </cfRule>
  </conditionalFormatting>
  <conditionalFormatting sqref="S23">
    <cfRule type="cellIs" dxfId="240" priority="11" operator="greaterThan">
      <formula>120</formula>
    </cfRule>
  </conditionalFormatting>
  <conditionalFormatting sqref="T23">
    <cfRule type="cellIs" dxfId="239" priority="10" operator="greaterThan">
      <formula>120</formula>
    </cfRule>
  </conditionalFormatting>
  <conditionalFormatting sqref="U23">
    <cfRule type="cellIs" dxfId="238" priority="9" operator="greaterThan">
      <formula>120</formula>
    </cfRule>
  </conditionalFormatting>
  <conditionalFormatting sqref="V23">
    <cfRule type="cellIs" dxfId="237" priority="8" operator="greaterThan">
      <formula>120</formula>
    </cfRule>
  </conditionalFormatting>
  <conditionalFormatting sqref="W23">
    <cfRule type="cellIs" dxfId="236" priority="7" operator="greaterThan">
      <formula>120</formula>
    </cfRule>
  </conditionalFormatting>
  <conditionalFormatting sqref="X23">
    <cfRule type="cellIs" dxfId="235" priority="6" operator="greaterThan">
      <formula>120</formula>
    </cfRule>
  </conditionalFormatting>
  <conditionalFormatting sqref="Z23">
    <cfRule type="cellIs" dxfId="23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3" priority="19" operator="greaterThan">
      <formula>120</formula>
    </cfRule>
  </conditionalFormatting>
  <conditionalFormatting sqref="N23">
    <cfRule type="cellIs" dxfId="232" priority="18" operator="between">
      <formula>0.000001</formula>
      <formula>25</formula>
    </cfRule>
  </conditionalFormatting>
  <conditionalFormatting sqref="V1 V25:V1048576">
    <cfRule type="cellIs" dxfId="23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30" priority="14" operator="greaterThan">
      <formula>120</formula>
    </cfRule>
  </conditionalFormatting>
  <conditionalFormatting sqref="Q23">
    <cfRule type="cellIs" dxfId="229" priority="13" operator="greaterThan">
      <formula>120</formula>
    </cfRule>
  </conditionalFormatting>
  <conditionalFormatting sqref="R23">
    <cfRule type="cellIs" dxfId="228" priority="12" operator="greaterThan">
      <formula>120</formula>
    </cfRule>
  </conditionalFormatting>
  <conditionalFormatting sqref="S23">
    <cfRule type="cellIs" dxfId="227" priority="11" operator="greaterThan">
      <formula>120</formula>
    </cfRule>
  </conditionalFormatting>
  <conditionalFormatting sqref="T23">
    <cfRule type="cellIs" dxfId="226" priority="10" operator="greaterThan">
      <formula>120</formula>
    </cfRule>
  </conditionalFormatting>
  <conditionalFormatting sqref="U23">
    <cfRule type="cellIs" dxfId="225" priority="9" operator="greaterThan">
      <formula>120</formula>
    </cfRule>
  </conditionalFormatting>
  <conditionalFormatting sqref="V23">
    <cfRule type="cellIs" dxfId="224" priority="8" operator="greaterThan">
      <formula>120</formula>
    </cfRule>
  </conditionalFormatting>
  <conditionalFormatting sqref="W23">
    <cfRule type="cellIs" dxfId="223" priority="7" operator="greaterThan">
      <formula>120</formula>
    </cfRule>
  </conditionalFormatting>
  <conditionalFormatting sqref="X23">
    <cfRule type="cellIs" dxfId="222" priority="6" operator="greaterThan">
      <formula>120</formula>
    </cfRule>
  </conditionalFormatting>
  <conditionalFormatting sqref="Z23">
    <cfRule type="cellIs" dxfId="22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20" priority="19" operator="greaterThan">
      <formula>120</formula>
    </cfRule>
  </conditionalFormatting>
  <conditionalFormatting sqref="N23">
    <cfRule type="cellIs" dxfId="219" priority="18" operator="between">
      <formula>0.000001</formula>
      <formula>25</formula>
    </cfRule>
  </conditionalFormatting>
  <conditionalFormatting sqref="V1 V25:V1048576">
    <cfRule type="cellIs" dxfId="218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17" priority="14" operator="greaterThan">
      <formula>120</formula>
    </cfRule>
  </conditionalFormatting>
  <conditionalFormatting sqref="Q23">
    <cfRule type="cellIs" dxfId="216" priority="13" operator="greaterThan">
      <formula>120</formula>
    </cfRule>
  </conditionalFormatting>
  <conditionalFormatting sqref="R23">
    <cfRule type="cellIs" dxfId="215" priority="12" operator="greaterThan">
      <formula>120</formula>
    </cfRule>
  </conditionalFormatting>
  <conditionalFormatting sqref="S23">
    <cfRule type="cellIs" dxfId="214" priority="11" operator="greaterThan">
      <formula>120</formula>
    </cfRule>
  </conditionalFormatting>
  <conditionalFormatting sqref="T23">
    <cfRule type="cellIs" dxfId="213" priority="10" operator="greaterThan">
      <formula>120</formula>
    </cfRule>
  </conditionalFormatting>
  <conditionalFormatting sqref="U23">
    <cfRule type="cellIs" dxfId="212" priority="9" operator="greaterThan">
      <formula>120</formula>
    </cfRule>
  </conditionalFormatting>
  <conditionalFormatting sqref="V23">
    <cfRule type="cellIs" dxfId="211" priority="8" operator="greaterThan">
      <formula>120</formula>
    </cfRule>
  </conditionalFormatting>
  <conditionalFormatting sqref="W23">
    <cfRule type="cellIs" dxfId="210" priority="7" operator="greaterThan">
      <formula>120</formula>
    </cfRule>
  </conditionalFormatting>
  <conditionalFormatting sqref="X23">
    <cfRule type="cellIs" dxfId="209" priority="6" operator="greaterThan">
      <formula>120</formula>
    </cfRule>
  </conditionalFormatting>
  <conditionalFormatting sqref="Z23">
    <cfRule type="cellIs" dxfId="20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28 V30:V1048576">
    <cfRule type="cellIs" dxfId="20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12" activePane="bottomRight" state="frozen"/>
      <selection pane="topRight" activeCell="C1" sqref="C1"/>
      <selection pane="bottomLeft" activeCell="A3" sqref="A3"/>
      <selection pane="bottomRight" activeCell="Z27" sqref="Z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8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299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299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299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299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299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299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299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299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299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299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299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299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299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Сводная!Z37+Сводная!R37+Сводная!S37+Сводная!T37+Сводная!V37-Сводная!U37-Сводная!W37+(AA24-AA25)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1048576">
    <cfRule type="cellIs" dxfId="15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3" priority="19" operator="greaterThan">
      <formula>120</formula>
    </cfRule>
  </conditionalFormatting>
  <conditionalFormatting sqref="N23">
    <cfRule type="cellIs" dxfId="102" priority="18" operator="between">
      <formula>0.000001</formula>
      <formula>25</formula>
    </cfRule>
  </conditionalFormatting>
  <conditionalFormatting sqref="V1 V25:V28 V30:V1048576">
    <cfRule type="cellIs" dxfId="10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0" priority="14" operator="greaterThan">
      <formula>120</formula>
    </cfRule>
  </conditionalFormatting>
  <conditionalFormatting sqref="Q23">
    <cfRule type="cellIs" dxfId="99" priority="13" operator="greaterThan">
      <formula>120</formula>
    </cfRule>
  </conditionalFormatting>
  <conditionalFormatting sqref="R23">
    <cfRule type="cellIs" dxfId="98" priority="12" operator="greaterThan">
      <formula>120</formula>
    </cfRule>
  </conditionalFormatting>
  <conditionalFormatting sqref="S23">
    <cfRule type="cellIs" dxfId="97" priority="11" operator="greaterThan">
      <formula>120</formula>
    </cfRule>
  </conditionalFormatting>
  <conditionalFormatting sqref="T23">
    <cfRule type="cellIs" dxfId="96" priority="10" operator="greaterThan">
      <formula>120</formula>
    </cfRule>
  </conditionalFormatting>
  <conditionalFormatting sqref="U23">
    <cfRule type="cellIs" dxfId="95" priority="9" operator="greaterThan">
      <formula>120</formula>
    </cfRule>
  </conditionalFormatting>
  <conditionalFormatting sqref="V23">
    <cfRule type="cellIs" dxfId="94" priority="8" operator="greaterThan">
      <formula>120</formula>
    </cfRule>
  </conditionalFormatting>
  <conditionalFormatting sqref="W23">
    <cfRule type="cellIs" dxfId="93" priority="7" operator="greaterThan">
      <formula>120</formula>
    </cfRule>
  </conditionalFormatting>
  <conditionalFormatting sqref="X23">
    <cfRule type="cellIs" dxfId="92" priority="6" operator="greaterThan">
      <formula>120</formula>
    </cfRule>
  </conditionalFormatting>
  <conditionalFormatting sqref="Z23">
    <cfRule type="cellIs" dxfId="9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7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7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7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7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7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7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7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7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7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7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7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7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7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7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Сводная!Z28+Сводная!R28+Сводная!S28+Сводная!T28+Сводная!V28-Сводная!U28-Сводная!W28-(AA26-AA25)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90" priority="20" operator="greaterThan">
      <formula>120</formula>
    </cfRule>
  </conditionalFormatting>
  <conditionalFormatting sqref="N23">
    <cfRule type="cellIs" dxfId="89" priority="19" operator="between">
      <formula>0.000001</formula>
      <formula>25</formula>
    </cfRule>
  </conditionalFormatting>
  <conditionalFormatting sqref="V1 V25:V1048576">
    <cfRule type="cellIs" dxfId="88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87" priority="15" operator="greaterThan">
      <formula>120</formula>
    </cfRule>
  </conditionalFormatting>
  <conditionalFormatting sqref="Q23">
    <cfRule type="cellIs" dxfId="86" priority="14" operator="greaterThan">
      <formula>120</formula>
    </cfRule>
  </conditionalFormatting>
  <conditionalFormatting sqref="R23">
    <cfRule type="cellIs" dxfId="85" priority="13" operator="greaterThan">
      <formula>120</formula>
    </cfRule>
  </conditionalFormatting>
  <conditionalFormatting sqref="S23">
    <cfRule type="cellIs" dxfId="84" priority="12" operator="greaterThan">
      <formula>120</formula>
    </cfRule>
  </conditionalFormatting>
  <conditionalFormatting sqref="T23">
    <cfRule type="cellIs" dxfId="83" priority="11" operator="greaterThan">
      <formula>120</formula>
    </cfRule>
  </conditionalFormatting>
  <conditionalFormatting sqref="U23">
    <cfRule type="cellIs" dxfId="82" priority="10" operator="greaterThan">
      <formula>120</formula>
    </cfRule>
  </conditionalFormatting>
  <conditionalFormatting sqref="V23">
    <cfRule type="cellIs" dxfId="81" priority="9" operator="greaterThan">
      <formula>120</formula>
    </cfRule>
  </conditionalFormatting>
  <conditionalFormatting sqref="W23">
    <cfRule type="cellIs" dxfId="80" priority="8" operator="greaterThan">
      <formula>120</formula>
    </cfRule>
  </conditionalFormatting>
  <conditionalFormatting sqref="X23">
    <cfRule type="cellIs" dxfId="79" priority="7" operator="greaterThan">
      <formula>120</formula>
    </cfRule>
  </conditionalFormatting>
  <conditionalFormatting sqref="Z23">
    <cfRule type="cellIs" dxfId="78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9" operator="greaterThan">
      <formula>120</formula>
    </cfRule>
  </conditionalFormatting>
  <conditionalFormatting sqref="N23">
    <cfRule type="cellIs" dxfId="63" priority="18" operator="between">
      <formula>0.000001</formula>
      <formula>25</formula>
    </cfRule>
  </conditionalFormatting>
  <conditionalFormatting sqref="V1 V25:V28 V30:V1048576">
    <cfRule type="cellIs" dxfId="6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1" priority="14" operator="greaterThan">
      <formula>120</formula>
    </cfRule>
  </conditionalFormatting>
  <conditionalFormatting sqref="Q23">
    <cfRule type="cellIs" dxfId="60" priority="13" operator="greaterThan">
      <formula>120</formula>
    </cfRule>
  </conditionalFormatting>
  <conditionalFormatting sqref="R23">
    <cfRule type="cellIs" dxfId="59" priority="12" operator="greaterThan">
      <formula>120</formula>
    </cfRule>
  </conditionalFormatting>
  <conditionalFormatting sqref="S23">
    <cfRule type="cellIs" dxfId="58" priority="11" operator="greaterThan">
      <formula>120</formula>
    </cfRule>
  </conditionalFormatting>
  <conditionalFormatting sqref="T23">
    <cfRule type="cellIs" dxfId="57" priority="10" operator="greaterThan">
      <formula>120</formula>
    </cfRule>
  </conditionalFormatting>
  <conditionalFormatting sqref="U23">
    <cfRule type="cellIs" dxfId="56" priority="9" operator="greaterThan">
      <formula>120</formula>
    </cfRule>
  </conditionalFormatting>
  <conditionalFormatting sqref="V23">
    <cfRule type="cellIs" dxfId="55" priority="8" operator="greaterThan">
      <formula>120</formula>
    </cfRule>
  </conditionalFormatting>
  <conditionalFormatting sqref="W23">
    <cfRule type="cellIs" dxfId="54" priority="7" operator="greaterThan">
      <formula>120</formula>
    </cfRule>
  </conditionalFormatting>
  <conditionalFormatting sqref="X23">
    <cfRule type="cellIs" dxfId="53" priority="6" operator="greaterThan">
      <formula>120</formula>
    </cfRule>
  </conditionalFormatting>
  <conditionalFormatting sqref="Z23">
    <cfRule type="cellIs" dxfId="5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17" operator="greaterThan">
      <formula>120</formula>
    </cfRule>
  </conditionalFormatting>
  <conditionalFormatting sqref="N23">
    <cfRule type="cellIs" dxfId="50" priority="16" operator="between">
      <formula>0.000001</formula>
      <formula>25</formula>
    </cfRule>
  </conditionalFormatting>
  <conditionalFormatting sqref="V1 V25:V28 V30:V1048576">
    <cfRule type="cellIs" dxfId="49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48" priority="12" operator="greaterThan">
      <formula>120</formula>
    </cfRule>
  </conditionalFormatting>
  <conditionalFormatting sqref="Q23">
    <cfRule type="cellIs" dxfId="47" priority="11" operator="greaterThan">
      <formula>120</formula>
    </cfRule>
  </conditionalFormatting>
  <conditionalFormatting sqref="R23">
    <cfRule type="cellIs" dxfId="46" priority="10" operator="greaterThan">
      <formula>120</formula>
    </cfRule>
  </conditionalFormatting>
  <conditionalFormatting sqref="S23">
    <cfRule type="cellIs" dxfId="45" priority="9" operator="greaterThan">
      <formula>120</formula>
    </cfRule>
  </conditionalFormatting>
  <conditionalFormatting sqref="T23">
    <cfRule type="cellIs" dxfId="44" priority="8" operator="greaterThan">
      <formula>120</formula>
    </cfRule>
  </conditionalFormatting>
  <conditionalFormatting sqref="U23">
    <cfRule type="cellIs" dxfId="43" priority="7" operator="greaterThan">
      <formula>120</formula>
    </cfRule>
  </conditionalFormatting>
  <conditionalFormatting sqref="V23">
    <cfRule type="cellIs" dxfId="42" priority="6" operator="greaterThan">
      <formula>120</formula>
    </cfRule>
  </conditionalFormatting>
  <conditionalFormatting sqref="W23">
    <cfRule type="cellIs" dxfId="41" priority="5" operator="greaterThan">
      <formula>120</formula>
    </cfRule>
  </conditionalFormatting>
  <conditionalFormatting sqref="X23">
    <cfRule type="cellIs" dxfId="40" priority="4" operator="greaterThan">
      <formula>120</formula>
    </cfRule>
  </conditionalFormatting>
  <conditionalFormatting sqref="Z23">
    <cfRule type="cellIs" dxfId="39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26" operator="greaterThan">
      <formula>120</formula>
    </cfRule>
  </conditionalFormatting>
  <conditionalFormatting sqref="N23">
    <cfRule type="cellIs" dxfId="37" priority="25" operator="between">
      <formula>0.000001</formula>
      <formula>25</formula>
    </cfRule>
  </conditionalFormatting>
  <conditionalFormatting sqref="V1 V25:V28 V30:V1048576">
    <cfRule type="cellIs" dxfId="36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35" priority="21" operator="greaterThan">
      <formula>120</formula>
    </cfRule>
  </conditionalFormatting>
  <conditionalFormatting sqref="Q23">
    <cfRule type="cellIs" dxfId="34" priority="20" operator="greaterThan">
      <formula>120</formula>
    </cfRule>
  </conditionalFormatting>
  <conditionalFormatting sqref="R23">
    <cfRule type="cellIs" dxfId="33" priority="19" operator="greaterThan">
      <formula>120</formula>
    </cfRule>
  </conditionalFormatting>
  <conditionalFormatting sqref="S23">
    <cfRule type="cellIs" dxfId="32" priority="18" operator="greaterThan">
      <formula>120</formula>
    </cfRule>
  </conditionalFormatting>
  <conditionalFormatting sqref="T23">
    <cfRule type="cellIs" dxfId="31" priority="17" operator="greaterThan">
      <formula>120</formula>
    </cfRule>
  </conditionalFormatting>
  <conditionalFormatting sqref="U23">
    <cfRule type="cellIs" dxfId="30" priority="16" operator="greaterThan">
      <formula>120</formula>
    </cfRule>
  </conditionalFormatting>
  <conditionalFormatting sqref="V23">
    <cfRule type="cellIs" dxfId="29" priority="15" operator="greaterThan">
      <formula>120</formula>
    </cfRule>
  </conditionalFormatting>
  <conditionalFormatting sqref="W23">
    <cfRule type="cellIs" dxfId="28" priority="14" operator="greaterThan">
      <formula>120</formula>
    </cfRule>
  </conditionalFormatting>
  <conditionalFormatting sqref="X23">
    <cfRule type="cellIs" dxfId="27" priority="13" operator="greaterThan">
      <formula>120</formula>
    </cfRule>
  </conditionalFormatting>
  <conditionalFormatting sqref="Z23">
    <cfRule type="cellIs" dxfId="26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" priority="19" operator="greaterThan">
      <formula>120</formula>
    </cfRule>
  </conditionalFormatting>
  <conditionalFormatting sqref="N23">
    <cfRule type="cellIs" dxfId="11" priority="18" operator="between">
      <formula>0.000001</formula>
      <formula>25</formula>
    </cfRule>
  </conditionalFormatting>
  <conditionalFormatting sqref="V1 V25:V28 V30:V1048576">
    <cfRule type="cellIs" dxfId="1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sheetPr filterMode="1"/>
  <dimension ref="A1:P625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3583</v>
      </c>
      <c r="B2" s="176">
        <v>46113</v>
      </c>
      <c r="C2" s="172" t="s">
        <v>92</v>
      </c>
      <c r="D2" s="172" t="s">
        <v>96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46107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3583</v>
      </c>
      <c r="B3" s="176">
        <v>46113</v>
      </c>
      <c r="C3" s="172" t="s">
        <v>92</v>
      </c>
      <c r="D3" s="172" t="s">
        <v>97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46107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3583</v>
      </c>
      <c r="B4" s="176">
        <v>46113</v>
      </c>
      <c r="C4" s="172" t="s">
        <v>2694</v>
      </c>
      <c r="D4" s="172" t="s">
        <v>98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46107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3583</v>
      </c>
      <c r="B5" s="176">
        <v>46113</v>
      </c>
      <c r="C5" s="172" t="s">
        <v>92</v>
      </c>
      <c r="D5" s="172" t="s">
        <v>24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46107</v>
      </c>
      <c r="K5" s="172" t="s">
        <v>93</v>
      </c>
      <c r="L5" s="172" t="s">
        <v>94</v>
      </c>
      <c r="M5" s="179">
        <v>0</v>
      </c>
      <c r="N5" s="177"/>
      <c r="O5" s="177">
        <v>35</v>
      </c>
      <c r="P5" s="180">
        <v>-46.77</v>
      </c>
    </row>
    <row r="6" spans="1:16" ht="19.5" hidden="1" customHeight="1">
      <c r="A6" s="172" t="s">
        <v>3583</v>
      </c>
      <c r="B6" s="176">
        <v>46113</v>
      </c>
      <c r="C6" s="172" t="s">
        <v>2694</v>
      </c>
      <c r="D6" s="172" t="s">
        <v>95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46107</v>
      </c>
      <c r="K6" s="172" t="s">
        <v>93</v>
      </c>
      <c r="L6" s="172" t="s">
        <v>94</v>
      </c>
      <c r="M6" s="179">
        <v>0</v>
      </c>
      <c r="N6" s="177"/>
      <c r="O6" s="177"/>
      <c r="P6" s="180">
        <v>-5.79</v>
      </c>
    </row>
    <row r="7" spans="1:16" ht="19.5" hidden="1" customHeight="1">
      <c r="A7" s="172" t="s">
        <v>3584</v>
      </c>
      <c r="B7" s="176">
        <v>46113</v>
      </c>
      <c r="C7" s="172" t="s">
        <v>2694</v>
      </c>
      <c r="D7" s="172" t="s">
        <v>82</v>
      </c>
      <c r="E7" s="172" t="s">
        <v>40</v>
      </c>
      <c r="F7" s="172" t="s">
        <v>197</v>
      </c>
      <c r="G7" s="172" t="s">
        <v>84</v>
      </c>
      <c r="H7" s="177">
        <v>1</v>
      </c>
      <c r="I7" s="178">
        <v>0</v>
      </c>
      <c r="J7" s="176">
        <v>46113</v>
      </c>
      <c r="K7" s="172" t="s">
        <v>85</v>
      </c>
      <c r="L7" s="172" t="s">
        <v>85</v>
      </c>
      <c r="M7" s="179">
        <v>0</v>
      </c>
      <c r="N7" s="177"/>
      <c r="O7" s="177"/>
      <c r="P7" s="180">
        <v>-27.49</v>
      </c>
    </row>
    <row r="8" spans="1:16" ht="19.5" customHeight="1">
      <c r="A8" s="172" t="s">
        <v>85</v>
      </c>
      <c r="B8" s="176">
        <v>46113</v>
      </c>
      <c r="C8" s="172" t="s">
        <v>109</v>
      </c>
      <c r="D8" s="172" t="s">
        <v>110</v>
      </c>
      <c r="E8" s="172" t="s">
        <v>85</v>
      </c>
      <c r="F8" s="172" t="s">
        <v>85</v>
      </c>
      <c r="G8" s="172" t="s">
        <v>3585</v>
      </c>
      <c r="H8" s="177">
        <v>0</v>
      </c>
      <c r="I8" s="178">
        <v>0</v>
      </c>
      <c r="J8" s="176">
        <v>46113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-150</v>
      </c>
    </row>
    <row r="9" spans="1:16" ht="19.5" hidden="1" customHeight="1">
      <c r="A9" s="172" t="s">
        <v>3586</v>
      </c>
      <c r="B9" s="176">
        <v>46113</v>
      </c>
      <c r="C9" s="172" t="s">
        <v>2694</v>
      </c>
      <c r="D9" s="172" t="s">
        <v>82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46113</v>
      </c>
      <c r="K9" s="172" t="s">
        <v>85</v>
      </c>
      <c r="L9" s="172" t="s">
        <v>85</v>
      </c>
      <c r="M9" s="179">
        <v>0</v>
      </c>
      <c r="N9" s="177"/>
      <c r="O9" s="177"/>
      <c r="P9" s="180">
        <v>-20.3</v>
      </c>
    </row>
    <row r="10" spans="1:16" ht="19.5" hidden="1" customHeight="1">
      <c r="A10" s="172" t="s">
        <v>3587</v>
      </c>
      <c r="B10" s="176">
        <v>46113</v>
      </c>
      <c r="C10" s="172" t="s">
        <v>92</v>
      </c>
      <c r="D10" s="172" t="s">
        <v>24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2750</v>
      </c>
      <c r="J10" s="176">
        <v>46111</v>
      </c>
      <c r="K10" s="172" t="s">
        <v>93</v>
      </c>
      <c r="L10" s="172" t="s">
        <v>94</v>
      </c>
      <c r="M10" s="179">
        <v>0.43</v>
      </c>
      <c r="N10" s="177"/>
      <c r="O10" s="177">
        <v>33</v>
      </c>
      <c r="P10" s="180">
        <v>-89.16</v>
      </c>
    </row>
    <row r="11" spans="1:16" ht="19.5" hidden="1" customHeight="1">
      <c r="A11" s="172" t="s">
        <v>3587</v>
      </c>
      <c r="B11" s="176">
        <v>46113</v>
      </c>
      <c r="C11" s="172" t="s">
        <v>100</v>
      </c>
      <c r="D11" s="172" t="s">
        <v>101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2750</v>
      </c>
      <c r="J11" s="176">
        <v>46111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1000</v>
      </c>
    </row>
    <row r="12" spans="1:16" ht="19.5" hidden="1" customHeight="1">
      <c r="A12" s="172" t="s">
        <v>3587</v>
      </c>
      <c r="B12" s="176">
        <v>46113</v>
      </c>
      <c r="C12" s="172" t="s">
        <v>100</v>
      </c>
      <c r="D12" s="172" t="s">
        <v>102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2750</v>
      </c>
      <c r="J12" s="176">
        <v>46111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</v>
      </c>
    </row>
    <row r="13" spans="1:16" ht="19.5" hidden="1" customHeight="1">
      <c r="A13" s="172" t="s">
        <v>3587</v>
      </c>
      <c r="B13" s="176">
        <v>46113</v>
      </c>
      <c r="C13" s="172" t="s">
        <v>100</v>
      </c>
      <c r="D13" s="172" t="s">
        <v>103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2750</v>
      </c>
      <c r="J13" s="176">
        <v>46111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1740</v>
      </c>
    </row>
    <row r="14" spans="1:16" ht="19.5" hidden="1" customHeight="1">
      <c r="A14" s="172" t="s">
        <v>3587</v>
      </c>
      <c r="B14" s="176">
        <v>46113</v>
      </c>
      <c r="C14" s="172" t="s">
        <v>104</v>
      </c>
      <c r="D14" s="172" t="s">
        <v>105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2750</v>
      </c>
      <c r="J14" s="176">
        <v>46111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-1182.5</v>
      </c>
    </row>
    <row r="15" spans="1:16" ht="19.5" hidden="1" customHeight="1">
      <c r="A15" s="172" t="s">
        <v>3587</v>
      </c>
      <c r="B15" s="176">
        <v>46113</v>
      </c>
      <c r="C15" s="172" t="s">
        <v>2694</v>
      </c>
      <c r="D15" s="172" t="s">
        <v>95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2750</v>
      </c>
      <c r="J15" s="176">
        <v>46111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-7.12</v>
      </c>
    </row>
    <row r="16" spans="1:16" ht="19.5" hidden="1" customHeight="1">
      <c r="A16" s="172" t="s">
        <v>3588</v>
      </c>
      <c r="B16" s="176">
        <v>46113</v>
      </c>
      <c r="C16" s="172" t="s">
        <v>2694</v>
      </c>
      <c r="D16" s="172" t="s">
        <v>82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46113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-19.78</v>
      </c>
    </row>
    <row r="17" spans="1:16" ht="19.5" hidden="1" customHeight="1">
      <c r="A17" s="172" t="s">
        <v>3589</v>
      </c>
      <c r="B17" s="176">
        <v>46113</v>
      </c>
      <c r="C17" s="172" t="s">
        <v>92</v>
      </c>
      <c r="D17" s="172" t="s">
        <v>96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46103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3589</v>
      </c>
      <c r="B18" s="176">
        <v>46113</v>
      </c>
      <c r="C18" s="172" t="s">
        <v>92</v>
      </c>
      <c r="D18" s="172" t="s">
        <v>97</v>
      </c>
      <c r="E18" s="172" t="s">
        <v>39</v>
      </c>
      <c r="F18" s="172" t="s">
        <v>117</v>
      </c>
      <c r="G18" s="172" t="s">
        <v>84</v>
      </c>
      <c r="H18" s="177">
        <v>1</v>
      </c>
      <c r="I18" s="178">
        <v>0</v>
      </c>
      <c r="J18" s="176">
        <v>46103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-46.77</v>
      </c>
    </row>
    <row r="19" spans="1:16" ht="19.5" hidden="1" customHeight="1">
      <c r="A19" s="172" t="s">
        <v>3589</v>
      </c>
      <c r="B19" s="176">
        <v>46113</v>
      </c>
      <c r="C19" s="172" t="s">
        <v>2694</v>
      </c>
      <c r="D19" s="172" t="s">
        <v>98</v>
      </c>
      <c r="E19" s="172" t="s">
        <v>39</v>
      </c>
      <c r="F19" s="172" t="s">
        <v>117</v>
      </c>
      <c r="G19" s="172" t="s">
        <v>84</v>
      </c>
      <c r="H19" s="177">
        <v>1</v>
      </c>
      <c r="I19" s="178">
        <v>0</v>
      </c>
      <c r="J19" s="176">
        <v>46103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3589</v>
      </c>
      <c r="B20" s="176">
        <v>46113</v>
      </c>
      <c r="C20" s="172" t="s">
        <v>92</v>
      </c>
      <c r="D20" s="172" t="s">
        <v>24</v>
      </c>
      <c r="E20" s="172" t="s">
        <v>39</v>
      </c>
      <c r="F20" s="172" t="s">
        <v>117</v>
      </c>
      <c r="G20" s="172" t="s">
        <v>84</v>
      </c>
      <c r="H20" s="177">
        <v>1</v>
      </c>
      <c r="I20" s="178">
        <v>0</v>
      </c>
      <c r="J20" s="176">
        <v>46103</v>
      </c>
      <c r="K20" s="172" t="s">
        <v>93</v>
      </c>
      <c r="L20" s="172" t="s">
        <v>94</v>
      </c>
      <c r="M20" s="179">
        <v>0</v>
      </c>
      <c r="N20" s="177"/>
      <c r="O20" s="177">
        <v>32</v>
      </c>
      <c r="P20" s="180">
        <v>-46.77</v>
      </c>
    </row>
    <row r="21" spans="1:16" ht="19.5" hidden="1" customHeight="1">
      <c r="A21" s="172" t="s">
        <v>3589</v>
      </c>
      <c r="B21" s="176">
        <v>46113</v>
      </c>
      <c r="C21" s="172" t="s">
        <v>2694</v>
      </c>
      <c r="D21" s="172" t="s">
        <v>95</v>
      </c>
      <c r="E21" s="172" t="s">
        <v>39</v>
      </c>
      <c r="F21" s="172" t="s">
        <v>117</v>
      </c>
      <c r="G21" s="172" t="s">
        <v>84</v>
      </c>
      <c r="H21" s="177">
        <v>1</v>
      </c>
      <c r="I21" s="178">
        <v>0</v>
      </c>
      <c r="J21" s="176">
        <v>46103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-9.2899999999999991</v>
      </c>
    </row>
    <row r="22" spans="1:16" ht="19.5" hidden="1" customHeight="1">
      <c r="A22" s="172" t="s">
        <v>3587</v>
      </c>
      <c r="B22" s="176">
        <v>46113</v>
      </c>
      <c r="C22" s="172" t="s">
        <v>2694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46111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-19</v>
      </c>
    </row>
    <row r="23" spans="1:16" ht="19.5" hidden="1" customHeight="1">
      <c r="A23" s="172" t="s">
        <v>3590</v>
      </c>
      <c r="B23" s="176">
        <v>46113</v>
      </c>
      <c r="C23" s="172" t="s">
        <v>92</v>
      </c>
      <c r="D23" s="172" t="s">
        <v>24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46105</v>
      </c>
      <c r="K23" s="172" t="s">
        <v>93</v>
      </c>
      <c r="L23" s="172" t="s">
        <v>94</v>
      </c>
      <c r="M23" s="179">
        <v>0</v>
      </c>
      <c r="N23" s="177"/>
      <c r="O23" s="177">
        <v>34</v>
      </c>
      <c r="P23" s="180">
        <v>-46.77</v>
      </c>
    </row>
    <row r="24" spans="1:16" ht="19.5" hidden="1" customHeight="1">
      <c r="A24" s="172" t="s">
        <v>3590</v>
      </c>
      <c r="B24" s="176">
        <v>46113</v>
      </c>
      <c r="C24" s="172" t="s">
        <v>2694</v>
      </c>
      <c r="D24" s="172" t="s">
        <v>95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0</v>
      </c>
      <c r="J24" s="176">
        <v>46105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-5.34</v>
      </c>
    </row>
    <row r="25" spans="1:16" ht="19.5" hidden="1" customHeight="1">
      <c r="A25" s="172" t="s">
        <v>3590</v>
      </c>
      <c r="B25" s="176">
        <v>46113</v>
      </c>
      <c r="C25" s="172" t="s">
        <v>92</v>
      </c>
      <c r="D25" s="172" t="s">
        <v>96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0</v>
      </c>
      <c r="J25" s="176">
        <v>46105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hidden="1" customHeight="1">
      <c r="A26" s="172" t="s">
        <v>3590</v>
      </c>
      <c r="B26" s="176">
        <v>46113</v>
      </c>
      <c r="C26" s="172" t="s">
        <v>92</v>
      </c>
      <c r="D26" s="172" t="s">
        <v>97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46105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-46.77</v>
      </c>
    </row>
    <row r="27" spans="1:16" ht="19.5" hidden="1" customHeight="1">
      <c r="A27" s="172" t="s">
        <v>3590</v>
      </c>
      <c r="B27" s="176">
        <v>46113</v>
      </c>
      <c r="C27" s="172" t="s">
        <v>2694</v>
      </c>
      <c r="D27" s="172" t="s">
        <v>98</v>
      </c>
      <c r="E27" s="172" t="s">
        <v>38</v>
      </c>
      <c r="F27" s="172" t="s">
        <v>87</v>
      </c>
      <c r="G27" s="172" t="s">
        <v>84</v>
      </c>
      <c r="H27" s="177">
        <v>1</v>
      </c>
      <c r="I27" s="178">
        <v>0</v>
      </c>
      <c r="J27" s="176">
        <v>46105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hidden="1" customHeight="1">
      <c r="A28" s="172" t="s">
        <v>3591</v>
      </c>
      <c r="B28" s="176">
        <v>46113</v>
      </c>
      <c r="C28" s="172" t="s">
        <v>92</v>
      </c>
      <c r="D28" s="172" t="s">
        <v>24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2163</v>
      </c>
      <c r="J28" s="176">
        <v>46109</v>
      </c>
      <c r="K28" s="172" t="s">
        <v>93</v>
      </c>
      <c r="L28" s="172" t="s">
        <v>94</v>
      </c>
      <c r="M28" s="179">
        <v>0.43</v>
      </c>
      <c r="N28" s="177"/>
      <c r="O28" s="177">
        <v>34</v>
      </c>
      <c r="P28" s="180">
        <v>-103.16</v>
      </c>
    </row>
    <row r="29" spans="1:16" ht="19.5" hidden="1" customHeight="1">
      <c r="A29" s="172" t="s">
        <v>3591</v>
      </c>
      <c r="B29" s="176">
        <v>46113</v>
      </c>
      <c r="C29" s="172" t="s">
        <v>100</v>
      </c>
      <c r="D29" s="172" t="s">
        <v>101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2163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754.29</v>
      </c>
    </row>
    <row r="30" spans="1:16" ht="19.5" hidden="1" customHeight="1">
      <c r="A30" s="172" t="s">
        <v>3591</v>
      </c>
      <c r="B30" s="176">
        <v>46113</v>
      </c>
      <c r="C30" s="172" t="s">
        <v>100</v>
      </c>
      <c r="D30" s="172" t="s">
        <v>102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2163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7.54</v>
      </c>
    </row>
    <row r="31" spans="1:16" ht="19.5" hidden="1" customHeight="1">
      <c r="A31" s="172" t="s">
        <v>3591</v>
      </c>
      <c r="B31" s="176">
        <v>46113</v>
      </c>
      <c r="C31" s="172" t="s">
        <v>100</v>
      </c>
      <c r="D31" s="172" t="s">
        <v>103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2163</v>
      </c>
      <c r="J31" s="176">
        <v>46109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1401.17</v>
      </c>
    </row>
    <row r="32" spans="1:16" ht="19.5" hidden="1" customHeight="1">
      <c r="A32" s="172" t="s">
        <v>3591</v>
      </c>
      <c r="B32" s="176">
        <v>46113</v>
      </c>
      <c r="C32" s="172" t="s">
        <v>104</v>
      </c>
      <c r="D32" s="172" t="s">
        <v>105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2163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-930.09</v>
      </c>
    </row>
    <row r="33" spans="1:16" ht="19.5" hidden="1" customHeight="1">
      <c r="A33" s="172" t="s">
        <v>3591</v>
      </c>
      <c r="B33" s="176">
        <v>46113</v>
      </c>
      <c r="C33" s="172" t="s">
        <v>2694</v>
      </c>
      <c r="D33" s="172" t="s">
        <v>95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2163</v>
      </c>
      <c r="J33" s="176">
        <v>46109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-6.28</v>
      </c>
    </row>
    <row r="34" spans="1:16" ht="19.5" hidden="1" customHeight="1">
      <c r="A34" s="172" t="s">
        <v>3591</v>
      </c>
      <c r="B34" s="176">
        <v>46113</v>
      </c>
      <c r="C34" s="172" t="s">
        <v>2694</v>
      </c>
      <c r="D34" s="172" t="s">
        <v>82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46109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-14.33</v>
      </c>
    </row>
    <row r="35" spans="1:16" ht="19.5" hidden="1" customHeight="1">
      <c r="A35" s="172" t="s">
        <v>3592</v>
      </c>
      <c r="B35" s="176">
        <v>46113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46106</v>
      </c>
      <c r="K35" s="172" t="s">
        <v>93</v>
      </c>
      <c r="L35" s="172" t="s">
        <v>94</v>
      </c>
      <c r="M35" s="179">
        <v>0</v>
      </c>
      <c r="N35" s="177"/>
      <c r="O35" s="177">
        <v>34</v>
      </c>
      <c r="P35" s="180">
        <v>-56.94</v>
      </c>
    </row>
    <row r="36" spans="1:16" ht="19.5" hidden="1" customHeight="1">
      <c r="A36" s="172" t="s">
        <v>3592</v>
      </c>
      <c r="B36" s="176">
        <v>46113</v>
      </c>
      <c r="C36" s="172" t="s">
        <v>92</v>
      </c>
      <c r="D36" s="172" t="s">
        <v>96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46106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3592</v>
      </c>
      <c r="B37" s="176">
        <v>46113</v>
      </c>
      <c r="C37" s="172" t="s">
        <v>92</v>
      </c>
      <c r="D37" s="172" t="s">
        <v>97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46106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3593</v>
      </c>
      <c r="B38" s="176">
        <v>46113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46108</v>
      </c>
      <c r="K38" s="172" t="s">
        <v>93</v>
      </c>
      <c r="L38" s="172" t="s">
        <v>94</v>
      </c>
      <c r="M38" s="179">
        <v>0</v>
      </c>
      <c r="N38" s="177"/>
      <c r="O38" s="177">
        <v>35</v>
      </c>
      <c r="P38" s="180">
        <v>-56.94</v>
      </c>
    </row>
    <row r="39" spans="1:16" ht="19.5" hidden="1" customHeight="1">
      <c r="A39" s="172" t="s">
        <v>3593</v>
      </c>
      <c r="B39" s="176">
        <v>46113</v>
      </c>
      <c r="C39" s="172" t="s">
        <v>2694</v>
      </c>
      <c r="D39" s="172" t="s">
        <v>95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46108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-7.56</v>
      </c>
    </row>
    <row r="40" spans="1:16" ht="19.5" hidden="1" customHeight="1">
      <c r="A40" s="172" t="s">
        <v>3593</v>
      </c>
      <c r="B40" s="176">
        <v>46113</v>
      </c>
      <c r="C40" s="172" t="s">
        <v>92</v>
      </c>
      <c r="D40" s="172" t="s">
        <v>96</v>
      </c>
      <c r="E40" s="172" t="s">
        <v>60</v>
      </c>
      <c r="F40" s="172" t="s">
        <v>1426</v>
      </c>
      <c r="G40" s="172" t="s">
        <v>84</v>
      </c>
      <c r="H40" s="177">
        <v>1</v>
      </c>
      <c r="I40" s="178">
        <v>0</v>
      </c>
      <c r="J40" s="176">
        <v>46108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3593</v>
      </c>
      <c r="B41" s="176">
        <v>46113</v>
      </c>
      <c r="C41" s="172" t="s">
        <v>92</v>
      </c>
      <c r="D41" s="172" t="s">
        <v>97</v>
      </c>
      <c r="E41" s="172" t="s">
        <v>60</v>
      </c>
      <c r="F41" s="172" t="s">
        <v>1426</v>
      </c>
      <c r="G41" s="172" t="s">
        <v>84</v>
      </c>
      <c r="H41" s="177">
        <v>1</v>
      </c>
      <c r="I41" s="178">
        <v>0</v>
      </c>
      <c r="J41" s="176">
        <v>46108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-56.94</v>
      </c>
    </row>
    <row r="42" spans="1:16" ht="19.5" hidden="1" customHeight="1">
      <c r="A42" s="172" t="s">
        <v>3593</v>
      </c>
      <c r="B42" s="176">
        <v>46113</v>
      </c>
      <c r="C42" s="172" t="s">
        <v>2694</v>
      </c>
      <c r="D42" s="172" t="s">
        <v>98</v>
      </c>
      <c r="E42" s="172" t="s">
        <v>60</v>
      </c>
      <c r="F42" s="172" t="s">
        <v>1426</v>
      </c>
      <c r="G42" s="172" t="s">
        <v>84</v>
      </c>
      <c r="H42" s="177">
        <v>1</v>
      </c>
      <c r="I42" s="178">
        <v>0</v>
      </c>
      <c r="J42" s="176">
        <v>46108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hidden="1" customHeight="1">
      <c r="A43" s="172" t="s">
        <v>3594</v>
      </c>
      <c r="B43" s="176">
        <v>46113</v>
      </c>
      <c r="C43" s="172" t="s">
        <v>2694</v>
      </c>
      <c r="D43" s="172" t="s">
        <v>82</v>
      </c>
      <c r="E43" s="172" t="s">
        <v>58</v>
      </c>
      <c r="F43" s="172" t="s">
        <v>1300</v>
      </c>
      <c r="G43" s="172" t="s">
        <v>84</v>
      </c>
      <c r="H43" s="177">
        <v>1</v>
      </c>
      <c r="I43" s="178">
        <v>0</v>
      </c>
      <c r="J43" s="176">
        <v>46113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-5.12</v>
      </c>
    </row>
    <row r="44" spans="1:16" ht="19.5" hidden="1" customHeight="1">
      <c r="A44" s="172" t="s">
        <v>3577</v>
      </c>
      <c r="B44" s="176">
        <v>46113</v>
      </c>
      <c r="C44" s="172" t="s">
        <v>166</v>
      </c>
      <c r="D44" s="172" t="s">
        <v>167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-2103</v>
      </c>
      <c r="J44" s="176">
        <v>46110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-802.28</v>
      </c>
    </row>
    <row r="45" spans="1:16" ht="19.5" hidden="1" customHeight="1">
      <c r="A45" s="172" t="s">
        <v>3577</v>
      </c>
      <c r="B45" s="176">
        <v>46113</v>
      </c>
      <c r="C45" s="172" t="s">
        <v>166</v>
      </c>
      <c r="D45" s="172" t="s">
        <v>102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-2103</v>
      </c>
      <c r="J45" s="176">
        <v>46110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-8.02</v>
      </c>
    </row>
    <row r="46" spans="1:16" ht="19.5" hidden="1" customHeight="1">
      <c r="A46" s="172" t="s">
        <v>3577</v>
      </c>
      <c r="B46" s="176">
        <v>46113</v>
      </c>
      <c r="C46" s="172" t="s">
        <v>166</v>
      </c>
      <c r="D46" s="172" t="s">
        <v>103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-2103</v>
      </c>
      <c r="J46" s="176">
        <v>46110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-1292.7</v>
      </c>
    </row>
    <row r="47" spans="1:16" ht="19.5" hidden="1" customHeight="1">
      <c r="A47" s="172" t="s">
        <v>3577</v>
      </c>
      <c r="B47" s="176">
        <v>46113</v>
      </c>
      <c r="C47" s="172" t="s">
        <v>104</v>
      </c>
      <c r="D47" s="172" t="s">
        <v>168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-2103</v>
      </c>
      <c r="J47" s="176">
        <v>46110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904.29</v>
      </c>
    </row>
    <row r="48" spans="1:16" ht="19.5" hidden="1" customHeight="1">
      <c r="A48" s="172" t="s">
        <v>3595</v>
      </c>
      <c r="B48" s="176">
        <v>46113</v>
      </c>
      <c r="C48" s="172" t="s">
        <v>92</v>
      </c>
      <c r="D48" s="172" t="s">
        <v>24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2146</v>
      </c>
      <c r="J48" s="176">
        <v>46110</v>
      </c>
      <c r="K48" s="172" t="s">
        <v>93</v>
      </c>
      <c r="L48" s="172" t="s">
        <v>94</v>
      </c>
      <c r="M48" s="179">
        <v>0.43</v>
      </c>
      <c r="N48" s="177"/>
      <c r="O48" s="177">
        <v>33</v>
      </c>
      <c r="P48" s="180">
        <v>-82.21</v>
      </c>
    </row>
    <row r="49" spans="1:16" ht="19.5" hidden="1" customHeight="1">
      <c r="A49" s="172" t="s">
        <v>3595</v>
      </c>
      <c r="B49" s="176">
        <v>46113</v>
      </c>
      <c r="C49" s="172" t="s">
        <v>100</v>
      </c>
      <c r="D49" s="172" t="s">
        <v>101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2146</v>
      </c>
      <c r="J49" s="176">
        <v>46110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831.59</v>
      </c>
    </row>
    <row r="50" spans="1:16" ht="19.5" hidden="1" customHeight="1">
      <c r="A50" s="172" t="s">
        <v>3595</v>
      </c>
      <c r="B50" s="176">
        <v>46113</v>
      </c>
      <c r="C50" s="172" t="s">
        <v>100</v>
      </c>
      <c r="D50" s="172" t="s">
        <v>102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2146</v>
      </c>
      <c r="J50" s="176">
        <v>46110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8.32</v>
      </c>
    </row>
    <row r="51" spans="1:16" ht="19.5" hidden="1" customHeight="1">
      <c r="A51" s="172" t="s">
        <v>3595</v>
      </c>
      <c r="B51" s="176">
        <v>46113</v>
      </c>
      <c r="C51" s="172" t="s">
        <v>100</v>
      </c>
      <c r="D51" s="172" t="s">
        <v>103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2146</v>
      </c>
      <c r="J51" s="176">
        <v>46110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1306.0899999999999</v>
      </c>
    </row>
    <row r="52" spans="1:16" ht="19.5" hidden="1" customHeight="1">
      <c r="A52" s="172" t="s">
        <v>3595</v>
      </c>
      <c r="B52" s="176">
        <v>46113</v>
      </c>
      <c r="C52" s="172" t="s">
        <v>104</v>
      </c>
      <c r="D52" s="172" t="s">
        <v>105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2146</v>
      </c>
      <c r="J52" s="176">
        <v>46110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-922.78</v>
      </c>
    </row>
    <row r="53" spans="1:16" ht="19.5" hidden="1" customHeight="1">
      <c r="A53" s="172" t="s">
        <v>3595</v>
      </c>
      <c r="B53" s="176">
        <v>46113</v>
      </c>
      <c r="C53" s="172" t="s">
        <v>2694</v>
      </c>
      <c r="D53" s="172" t="s">
        <v>95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2146</v>
      </c>
      <c r="J53" s="176">
        <v>46110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-7.13</v>
      </c>
    </row>
    <row r="54" spans="1:16" ht="19.5" hidden="1" customHeight="1">
      <c r="A54" s="172" t="s">
        <v>3595</v>
      </c>
      <c r="B54" s="176">
        <v>46113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46110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-15.8</v>
      </c>
    </row>
    <row r="55" spans="1:16" ht="19.5" hidden="1" customHeight="1">
      <c r="A55" s="172" t="s">
        <v>3577</v>
      </c>
      <c r="B55" s="176">
        <v>46113</v>
      </c>
      <c r="C55" s="172" t="s">
        <v>2694</v>
      </c>
      <c r="D55" s="172" t="s">
        <v>82</v>
      </c>
      <c r="E55" s="172" t="s">
        <v>39</v>
      </c>
      <c r="F55" s="172" t="s">
        <v>117</v>
      </c>
      <c r="G55" s="172" t="s">
        <v>84</v>
      </c>
      <c r="H55" s="177">
        <v>1</v>
      </c>
      <c r="I55" s="178">
        <v>0</v>
      </c>
      <c r="J55" s="176">
        <v>46110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15.24</v>
      </c>
    </row>
    <row r="56" spans="1:16" ht="19.5" hidden="1" customHeight="1">
      <c r="A56" s="172" t="s">
        <v>3596</v>
      </c>
      <c r="B56" s="176">
        <v>46113</v>
      </c>
      <c r="C56" s="172" t="s">
        <v>92</v>
      </c>
      <c r="D56" s="172" t="s">
        <v>24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2650</v>
      </c>
      <c r="J56" s="176">
        <v>46112</v>
      </c>
      <c r="K56" s="172" t="s">
        <v>93</v>
      </c>
      <c r="L56" s="172" t="s">
        <v>94</v>
      </c>
      <c r="M56" s="179">
        <v>0.43</v>
      </c>
      <c r="N56" s="177"/>
      <c r="O56" s="177">
        <v>32</v>
      </c>
      <c r="P56" s="180">
        <v>-75.45</v>
      </c>
    </row>
    <row r="57" spans="1:16" ht="19.5" hidden="1" customHeight="1">
      <c r="A57" s="172" t="s">
        <v>3596</v>
      </c>
      <c r="B57" s="176">
        <v>46113</v>
      </c>
      <c r="C57" s="172" t="s">
        <v>100</v>
      </c>
      <c r="D57" s="172" t="s">
        <v>101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2650</v>
      </c>
      <c r="J57" s="176">
        <v>46112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1076.19</v>
      </c>
    </row>
    <row r="58" spans="1:16" ht="19.5" hidden="1" customHeight="1">
      <c r="A58" s="172" t="s">
        <v>3596</v>
      </c>
      <c r="B58" s="176">
        <v>46113</v>
      </c>
      <c r="C58" s="172" t="s">
        <v>100</v>
      </c>
      <c r="D58" s="172" t="s">
        <v>102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2650</v>
      </c>
      <c r="J58" s="176">
        <v>46112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10.76</v>
      </c>
    </row>
    <row r="59" spans="1:16" ht="19.5" hidden="1" customHeight="1">
      <c r="A59" s="172" t="s">
        <v>3596</v>
      </c>
      <c r="B59" s="176">
        <v>46113</v>
      </c>
      <c r="C59" s="172" t="s">
        <v>100</v>
      </c>
      <c r="D59" s="172" t="s">
        <v>103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2650</v>
      </c>
      <c r="J59" s="176">
        <v>46112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1563.05</v>
      </c>
    </row>
    <row r="60" spans="1:16" ht="19.5" hidden="1" customHeight="1">
      <c r="A60" s="172" t="s">
        <v>3596</v>
      </c>
      <c r="B60" s="176">
        <v>46113</v>
      </c>
      <c r="C60" s="172" t="s">
        <v>104</v>
      </c>
      <c r="D60" s="172" t="s">
        <v>105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2650</v>
      </c>
      <c r="J60" s="176">
        <v>46112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-1139.5</v>
      </c>
    </row>
    <row r="61" spans="1:16" ht="19.5" hidden="1" customHeight="1">
      <c r="A61" s="172" t="s">
        <v>3596</v>
      </c>
      <c r="B61" s="176">
        <v>46113</v>
      </c>
      <c r="C61" s="172" t="s">
        <v>2694</v>
      </c>
      <c r="D61" s="172" t="s">
        <v>95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2650</v>
      </c>
      <c r="J61" s="176">
        <v>46112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-6.97</v>
      </c>
    </row>
    <row r="62" spans="1:16" ht="19.5" hidden="1" customHeight="1">
      <c r="A62" s="172" t="s">
        <v>3596</v>
      </c>
      <c r="B62" s="176">
        <v>46113</v>
      </c>
      <c r="C62" s="172" t="s">
        <v>2694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46112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-20.45</v>
      </c>
    </row>
    <row r="63" spans="1:16" ht="19.5" hidden="1" customHeight="1">
      <c r="A63" s="172" t="s">
        <v>3597</v>
      </c>
      <c r="B63" s="176">
        <v>46113</v>
      </c>
      <c r="C63" s="172" t="s">
        <v>92</v>
      </c>
      <c r="D63" s="172" t="s">
        <v>24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2400</v>
      </c>
      <c r="J63" s="176">
        <v>46111</v>
      </c>
      <c r="K63" s="172" t="s">
        <v>93</v>
      </c>
      <c r="L63" s="172" t="s">
        <v>94</v>
      </c>
      <c r="M63" s="179">
        <v>0.43</v>
      </c>
      <c r="N63" s="177"/>
      <c r="O63" s="177">
        <v>33</v>
      </c>
      <c r="P63" s="180">
        <v>-97.64</v>
      </c>
    </row>
    <row r="64" spans="1:16" ht="19.5" hidden="1" customHeight="1">
      <c r="A64" s="172" t="s">
        <v>3597</v>
      </c>
      <c r="B64" s="176">
        <v>46113</v>
      </c>
      <c r="C64" s="172" t="s">
        <v>100</v>
      </c>
      <c r="D64" s="172" t="s">
        <v>101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2400</v>
      </c>
      <c r="J64" s="176">
        <v>46111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836.19</v>
      </c>
    </row>
    <row r="65" spans="1:16" ht="19.5" hidden="1" customHeight="1">
      <c r="A65" s="172" t="s">
        <v>3597</v>
      </c>
      <c r="B65" s="176">
        <v>46113</v>
      </c>
      <c r="C65" s="172" t="s">
        <v>100</v>
      </c>
      <c r="D65" s="172" t="s">
        <v>102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2400</v>
      </c>
      <c r="J65" s="176">
        <v>46111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8.36</v>
      </c>
    </row>
    <row r="66" spans="1:16" ht="19.5" hidden="1" customHeight="1">
      <c r="A66" s="172" t="s">
        <v>3597</v>
      </c>
      <c r="B66" s="176">
        <v>46113</v>
      </c>
      <c r="C66" s="172" t="s">
        <v>100</v>
      </c>
      <c r="D66" s="172" t="s">
        <v>103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2400</v>
      </c>
      <c r="J66" s="176">
        <v>46111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1555.45</v>
      </c>
    </row>
    <row r="67" spans="1:16" ht="19.5" hidden="1" customHeight="1">
      <c r="A67" s="172" t="s">
        <v>3597</v>
      </c>
      <c r="B67" s="176">
        <v>46113</v>
      </c>
      <c r="C67" s="172" t="s">
        <v>104</v>
      </c>
      <c r="D67" s="172" t="s">
        <v>105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2400</v>
      </c>
      <c r="J67" s="176">
        <v>46111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hidden="1" customHeight="1">
      <c r="A68" s="172" t="s">
        <v>3597</v>
      </c>
      <c r="B68" s="176">
        <v>46113</v>
      </c>
      <c r="C68" s="172" t="s">
        <v>2694</v>
      </c>
      <c r="D68" s="172" t="s">
        <v>95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2400</v>
      </c>
      <c r="J68" s="176">
        <v>46111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-16.04</v>
      </c>
    </row>
    <row r="69" spans="1:16" ht="19.5" hidden="1" customHeight="1">
      <c r="A69" s="172" t="s">
        <v>3598</v>
      </c>
      <c r="B69" s="176">
        <v>46113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2550</v>
      </c>
      <c r="J69" s="176">
        <v>46110</v>
      </c>
      <c r="K69" s="172" t="s">
        <v>93</v>
      </c>
      <c r="L69" s="172" t="s">
        <v>94</v>
      </c>
      <c r="M69" s="179">
        <v>0.43</v>
      </c>
      <c r="N69" s="177"/>
      <c r="O69" s="177">
        <v>33</v>
      </c>
      <c r="P69" s="180">
        <v>-99.37</v>
      </c>
    </row>
    <row r="70" spans="1:16" ht="19.5" hidden="1" customHeight="1">
      <c r="A70" s="172" t="s">
        <v>3598</v>
      </c>
      <c r="B70" s="176">
        <v>46113</v>
      </c>
      <c r="C70" s="172" t="s">
        <v>100</v>
      </c>
      <c r="D70" s="172" t="s">
        <v>101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2550</v>
      </c>
      <c r="J70" s="176">
        <v>46110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934.66</v>
      </c>
    </row>
    <row r="71" spans="1:16" ht="19.5" hidden="1" customHeight="1">
      <c r="A71" s="172" t="s">
        <v>3598</v>
      </c>
      <c r="B71" s="176">
        <v>46113</v>
      </c>
      <c r="C71" s="172" t="s">
        <v>100</v>
      </c>
      <c r="D71" s="172" t="s">
        <v>102</v>
      </c>
      <c r="E71" s="172" t="s">
        <v>60</v>
      </c>
      <c r="F71" s="172" t="s">
        <v>1426</v>
      </c>
      <c r="G71" s="172" t="s">
        <v>84</v>
      </c>
      <c r="H71" s="177">
        <v>1</v>
      </c>
      <c r="I71" s="178">
        <v>2550</v>
      </c>
      <c r="J71" s="176">
        <v>46110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9.35</v>
      </c>
    </row>
    <row r="72" spans="1:16" ht="19.5" hidden="1" customHeight="1">
      <c r="A72" s="172" t="s">
        <v>3598</v>
      </c>
      <c r="B72" s="176">
        <v>46113</v>
      </c>
      <c r="C72" s="172" t="s">
        <v>100</v>
      </c>
      <c r="D72" s="172" t="s">
        <v>103</v>
      </c>
      <c r="E72" s="172" t="s">
        <v>60</v>
      </c>
      <c r="F72" s="172" t="s">
        <v>1426</v>
      </c>
      <c r="G72" s="172" t="s">
        <v>84</v>
      </c>
      <c r="H72" s="177">
        <v>1</v>
      </c>
      <c r="I72" s="178">
        <v>2550</v>
      </c>
      <c r="J72" s="176">
        <v>46110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1605.99</v>
      </c>
    </row>
    <row r="73" spans="1:16" ht="19.5" hidden="1" customHeight="1">
      <c r="A73" s="172" t="s">
        <v>3598</v>
      </c>
      <c r="B73" s="176">
        <v>46113</v>
      </c>
      <c r="C73" s="172" t="s">
        <v>104</v>
      </c>
      <c r="D73" s="172" t="s">
        <v>105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2550</v>
      </c>
      <c r="J73" s="176">
        <v>46110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-1096.5</v>
      </c>
    </row>
    <row r="74" spans="1:16" ht="19.5" hidden="1" customHeight="1">
      <c r="A74" s="172" t="s">
        <v>3598</v>
      </c>
      <c r="B74" s="176">
        <v>46113</v>
      </c>
      <c r="C74" s="172" t="s">
        <v>2694</v>
      </c>
      <c r="D74" s="172" t="s">
        <v>95</v>
      </c>
      <c r="E74" s="172" t="s">
        <v>60</v>
      </c>
      <c r="F74" s="172" t="s">
        <v>1426</v>
      </c>
      <c r="G74" s="172" t="s">
        <v>84</v>
      </c>
      <c r="H74" s="177">
        <v>1</v>
      </c>
      <c r="I74" s="178">
        <v>2550</v>
      </c>
      <c r="J74" s="176">
        <v>46110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-8.81</v>
      </c>
    </row>
    <row r="75" spans="1:16" ht="19.5" hidden="1" customHeight="1">
      <c r="A75" s="172" t="s">
        <v>3598</v>
      </c>
      <c r="B75" s="176">
        <v>46113</v>
      </c>
      <c r="C75" s="172" t="s">
        <v>2694</v>
      </c>
      <c r="D75" s="172" t="s">
        <v>82</v>
      </c>
      <c r="E75" s="172" t="s">
        <v>60</v>
      </c>
      <c r="F75" s="172" t="s">
        <v>1426</v>
      </c>
      <c r="G75" s="172" t="s">
        <v>84</v>
      </c>
      <c r="H75" s="177">
        <v>1</v>
      </c>
      <c r="I75" s="178">
        <v>0</v>
      </c>
      <c r="J75" s="176">
        <v>46110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-17.760000000000002</v>
      </c>
    </row>
    <row r="76" spans="1:16" ht="19.5" hidden="1" customHeight="1">
      <c r="A76" s="172" t="s">
        <v>3433</v>
      </c>
      <c r="B76" s="176">
        <v>46113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46113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-346.87</v>
      </c>
    </row>
    <row r="77" spans="1:16" ht="19.5" hidden="1" customHeight="1">
      <c r="A77" s="172" t="s">
        <v>3434</v>
      </c>
      <c r="B77" s="176">
        <v>46113</v>
      </c>
      <c r="C77" s="172" t="s">
        <v>109</v>
      </c>
      <c r="D77" s="172" t="s">
        <v>139</v>
      </c>
      <c r="E77" s="172" t="s">
        <v>85</v>
      </c>
      <c r="F77" s="172" t="s">
        <v>85</v>
      </c>
      <c r="G77" s="172" t="s">
        <v>85</v>
      </c>
      <c r="H77" s="177">
        <v>0</v>
      </c>
      <c r="I77" s="178">
        <v>0</v>
      </c>
      <c r="J77" s="176">
        <v>46113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-295.39</v>
      </c>
    </row>
    <row r="78" spans="1:16" ht="19.5" hidden="1" customHeight="1">
      <c r="A78" s="172" t="s">
        <v>3432</v>
      </c>
      <c r="B78" s="176">
        <v>46113</v>
      </c>
      <c r="C78" s="172" t="s">
        <v>109</v>
      </c>
      <c r="D78" s="172" t="s">
        <v>139</v>
      </c>
      <c r="E78" s="172" t="s">
        <v>85</v>
      </c>
      <c r="F78" s="172" t="s">
        <v>85</v>
      </c>
      <c r="G78" s="172" t="s">
        <v>85</v>
      </c>
      <c r="H78" s="177">
        <v>0</v>
      </c>
      <c r="I78" s="178">
        <v>0</v>
      </c>
      <c r="J78" s="176">
        <v>46113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-288.76</v>
      </c>
    </row>
    <row r="79" spans="1:16" ht="19.5" hidden="1" customHeight="1">
      <c r="A79" s="172" t="s">
        <v>3406</v>
      </c>
      <c r="B79" s="176">
        <v>46113</v>
      </c>
      <c r="C79" s="172" t="s">
        <v>109</v>
      </c>
      <c r="D79" s="172" t="s">
        <v>139</v>
      </c>
      <c r="E79" s="172" t="s">
        <v>85</v>
      </c>
      <c r="F79" s="172" t="s">
        <v>85</v>
      </c>
      <c r="G79" s="172" t="s">
        <v>85</v>
      </c>
      <c r="H79" s="177">
        <v>0</v>
      </c>
      <c r="I79" s="178">
        <v>0</v>
      </c>
      <c r="J79" s="176">
        <v>46113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-374.52</v>
      </c>
    </row>
    <row r="80" spans="1:16" ht="19.5" hidden="1" customHeight="1">
      <c r="A80" s="172" t="s">
        <v>3408</v>
      </c>
      <c r="B80" s="176">
        <v>46113</v>
      </c>
      <c r="C80" s="172" t="s">
        <v>109</v>
      </c>
      <c r="D80" s="172" t="s">
        <v>139</v>
      </c>
      <c r="E80" s="172" t="s">
        <v>85</v>
      </c>
      <c r="F80" s="172" t="s">
        <v>85</v>
      </c>
      <c r="G80" s="172" t="s">
        <v>85</v>
      </c>
      <c r="H80" s="177">
        <v>0</v>
      </c>
      <c r="I80" s="178">
        <v>0</v>
      </c>
      <c r="J80" s="176">
        <v>46113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-414.16</v>
      </c>
    </row>
    <row r="81" spans="1:16" ht="19.5" hidden="1" customHeight="1">
      <c r="A81" s="172" t="s">
        <v>3407</v>
      </c>
      <c r="B81" s="176">
        <v>46113</v>
      </c>
      <c r="C81" s="172" t="s">
        <v>109</v>
      </c>
      <c r="D81" s="172" t="s">
        <v>139</v>
      </c>
      <c r="E81" s="172" t="s">
        <v>85</v>
      </c>
      <c r="F81" s="172" t="s">
        <v>85</v>
      </c>
      <c r="G81" s="172" t="s">
        <v>85</v>
      </c>
      <c r="H81" s="177">
        <v>0</v>
      </c>
      <c r="I81" s="178">
        <v>0</v>
      </c>
      <c r="J81" s="176">
        <v>46113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-330.82</v>
      </c>
    </row>
    <row r="82" spans="1:16" ht="19.5" hidden="1" customHeight="1">
      <c r="A82" s="172" t="s">
        <v>3251</v>
      </c>
      <c r="B82" s="176">
        <v>46113</v>
      </c>
      <c r="C82" s="172" t="s">
        <v>109</v>
      </c>
      <c r="D82" s="172" t="s">
        <v>139</v>
      </c>
      <c r="E82" s="172" t="s">
        <v>85</v>
      </c>
      <c r="F82" s="172" t="s">
        <v>85</v>
      </c>
      <c r="G82" s="172" t="s">
        <v>85</v>
      </c>
      <c r="H82" s="177">
        <v>0</v>
      </c>
      <c r="I82" s="178">
        <v>0</v>
      </c>
      <c r="J82" s="176">
        <v>46113</v>
      </c>
      <c r="K82" s="172" t="s">
        <v>85</v>
      </c>
      <c r="L82" s="172" t="s">
        <v>85</v>
      </c>
      <c r="M82" s="179">
        <v>0</v>
      </c>
      <c r="N82" s="177"/>
      <c r="O82" s="177"/>
      <c r="P82" s="180">
        <v>-507.03</v>
      </c>
    </row>
    <row r="83" spans="1:16" ht="19.5" hidden="1" customHeight="1">
      <c r="A83" s="172" t="s">
        <v>3246</v>
      </c>
      <c r="B83" s="176">
        <v>46113</v>
      </c>
      <c r="C83" s="172" t="s">
        <v>109</v>
      </c>
      <c r="D83" s="172" t="s">
        <v>139</v>
      </c>
      <c r="E83" s="172" t="s">
        <v>85</v>
      </c>
      <c r="F83" s="172" t="s">
        <v>85</v>
      </c>
      <c r="G83" s="172" t="s">
        <v>85</v>
      </c>
      <c r="H83" s="177">
        <v>0</v>
      </c>
      <c r="I83" s="178">
        <v>0</v>
      </c>
      <c r="J83" s="176">
        <v>46113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-408.65</v>
      </c>
    </row>
    <row r="84" spans="1:16" ht="19.5" hidden="1" customHeight="1">
      <c r="A84" s="172" t="s">
        <v>3013</v>
      </c>
      <c r="B84" s="176">
        <v>46113</v>
      </c>
      <c r="C84" s="172" t="s">
        <v>109</v>
      </c>
      <c r="D84" s="172" t="s">
        <v>143</v>
      </c>
      <c r="E84" s="172" t="s">
        <v>85</v>
      </c>
      <c r="F84" s="172" t="s">
        <v>85</v>
      </c>
      <c r="G84" s="172" t="s">
        <v>85</v>
      </c>
      <c r="H84" s="177">
        <v>0</v>
      </c>
      <c r="I84" s="178">
        <v>0</v>
      </c>
      <c r="J84" s="176">
        <v>46113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-630.54999999999995</v>
      </c>
    </row>
    <row r="85" spans="1:16" ht="19.5" hidden="1" customHeight="1">
      <c r="A85" s="172" t="s">
        <v>142</v>
      </c>
      <c r="B85" s="176">
        <v>46113</v>
      </c>
      <c r="C85" s="172" t="s">
        <v>109</v>
      </c>
      <c r="D85" s="172" t="s">
        <v>143</v>
      </c>
      <c r="E85" s="172" t="s">
        <v>85</v>
      </c>
      <c r="F85" s="172" t="s">
        <v>85</v>
      </c>
      <c r="G85" s="172" t="s">
        <v>85</v>
      </c>
      <c r="H85" s="177">
        <v>0</v>
      </c>
      <c r="I85" s="178">
        <v>0</v>
      </c>
      <c r="J85" s="176">
        <v>46113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-1294.5999999999999</v>
      </c>
    </row>
    <row r="86" spans="1:16" ht="19.5" hidden="1" customHeight="1">
      <c r="A86" s="172" t="s">
        <v>3599</v>
      </c>
      <c r="B86" s="176">
        <v>46114</v>
      </c>
      <c r="C86" s="172" t="s">
        <v>92</v>
      </c>
      <c r="D86" s="172" t="s">
        <v>96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46110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0</v>
      </c>
    </row>
    <row r="87" spans="1:16" ht="19.5" hidden="1" customHeight="1">
      <c r="A87" s="172" t="s">
        <v>3599</v>
      </c>
      <c r="B87" s="176">
        <v>46114</v>
      </c>
      <c r="C87" s="172" t="s">
        <v>92</v>
      </c>
      <c r="D87" s="172" t="s">
        <v>97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46110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-46.77</v>
      </c>
    </row>
    <row r="88" spans="1:16" ht="19.5" hidden="1" customHeight="1">
      <c r="A88" s="172" t="s">
        <v>3599</v>
      </c>
      <c r="B88" s="176">
        <v>46114</v>
      </c>
      <c r="C88" s="172" t="s">
        <v>2694</v>
      </c>
      <c r="D88" s="172" t="s">
        <v>98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46110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-15</v>
      </c>
    </row>
    <row r="89" spans="1:16" ht="19.5" hidden="1" customHeight="1">
      <c r="A89" s="172" t="s">
        <v>3599</v>
      </c>
      <c r="B89" s="176">
        <v>46114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46110</v>
      </c>
      <c r="K89" s="172" t="s">
        <v>93</v>
      </c>
      <c r="L89" s="172" t="s">
        <v>94</v>
      </c>
      <c r="M89" s="179">
        <v>0</v>
      </c>
      <c r="N89" s="177"/>
      <c r="O89" s="177">
        <v>33</v>
      </c>
      <c r="P89" s="180">
        <v>-46.77</v>
      </c>
    </row>
    <row r="90" spans="1:16" ht="19.5" hidden="1" customHeight="1">
      <c r="A90" s="172" t="s">
        <v>3599</v>
      </c>
      <c r="B90" s="176">
        <v>46114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46110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-5.63</v>
      </c>
    </row>
    <row r="91" spans="1:16" ht="19.5" hidden="1" customHeight="1">
      <c r="A91" s="172" t="s">
        <v>3577</v>
      </c>
      <c r="B91" s="176">
        <v>46114</v>
      </c>
      <c r="C91" s="172" t="s">
        <v>1748</v>
      </c>
      <c r="D91" s="172" t="s">
        <v>2749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46110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-5</v>
      </c>
    </row>
    <row r="92" spans="1:16" ht="19.5" hidden="1" customHeight="1">
      <c r="A92" s="172" t="s">
        <v>3577</v>
      </c>
      <c r="B92" s="176">
        <v>46114</v>
      </c>
      <c r="C92" s="172" t="s">
        <v>2694</v>
      </c>
      <c r="D92" s="172" t="s">
        <v>2750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46110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-10</v>
      </c>
    </row>
    <row r="93" spans="1:16" ht="19.5" hidden="1" customHeight="1">
      <c r="A93" s="172" t="s">
        <v>3600</v>
      </c>
      <c r="B93" s="176">
        <v>46114</v>
      </c>
      <c r="C93" s="172" t="s">
        <v>1748</v>
      </c>
      <c r="D93" s="172" t="s">
        <v>2749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</v>
      </c>
    </row>
    <row r="94" spans="1:16" ht="19.5" hidden="1" customHeight="1">
      <c r="A94" s="172" t="s">
        <v>3600</v>
      </c>
      <c r="B94" s="176">
        <v>46114</v>
      </c>
      <c r="C94" s="172" t="s">
        <v>2694</v>
      </c>
      <c r="D94" s="172" t="s">
        <v>2750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-10</v>
      </c>
    </row>
    <row r="95" spans="1:16" ht="19.5" hidden="1" customHeight="1">
      <c r="A95" s="172" t="s">
        <v>3601</v>
      </c>
      <c r="B95" s="176">
        <v>46114</v>
      </c>
      <c r="C95" s="172" t="s">
        <v>92</v>
      </c>
      <c r="D95" s="172" t="s">
        <v>24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2650</v>
      </c>
      <c r="J95" s="176">
        <v>46111</v>
      </c>
      <c r="K95" s="172" t="s">
        <v>93</v>
      </c>
      <c r="L95" s="172" t="s">
        <v>94</v>
      </c>
      <c r="M95" s="179">
        <v>0.43</v>
      </c>
      <c r="N95" s="177"/>
      <c r="O95" s="177">
        <v>33</v>
      </c>
      <c r="P95" s="180">
        <v>-88.01</v>
      </c>
    </row>
    <row r="96" spans="1:16" ht="19.5" hidden="1" customHeight="1">
      <c r="A96" s="172" t="s">
        <v>3601</v>
      </c>
      <c r="B96" s="176">
        <v>46114</v>
      </c>
      <c r="C96" s="172" t="s">
        <v>100</v>
      </c>
      <c r="D96" s="172" t="s">
        <v>101</v>
      </c>
      <c r="E96" s="172" t="s">
        <v>38</v>
      </c>
      <c r="F96" s="172" t="s">
        <v>87</v>
      </c>
      <c r="G96" s="172" t="s">
        <v>84</v>
      </c>
      <c r="H96" s="177">
        <v>1</v>
      </c>
      <c r="I96" s="178">
        <v>2650</v>
      </c>
      <c r="J96" s="176">
        <v>46111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1022.84</v>
      </c>
    </row>
    <row r="97" spans="1:16" ht="19.5" hidden="1" customHeight="1">
      <c r="A97" s="172" t="s">
        <v>3601</v>
      </c>
      <c r="B97" s="176">
        <v>46114</v>
      </c>
      <c r="C97" s="172" t="s">
        <v>100</v>
      </c>
      <c r="D97" s="172" t="s">
        <v>102</v>
      </c>
      <c r="E97" s="172" t="s">
        <v>38</v>
      </c>
      <c r="F97" s="172" t="s">
        <v>87</v>
      </c>
      <c r="G97" s="172" t="s">
        <v>84</v>
      </c>
      <c r="H97" s="177">
        <v>1</v>
      </c>
      <c r="I97" s="178">
        <v>2650</v>
      </c>
      <c r="J97" s="176">
        <v>46111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10.23</v>
      </c>
    </row>
    <row r="98" spans="1:16" ht="19.5" hidden="1" customHeight="1">
      <c r="A98" s="172" t="s">
        <v>3601</v>
      </c>
      <c r="B98" s="176">
        <v>46114</v>
      </c>
      <c r="C98" s="172" t="s">
        <v>100</v>
      </c>
      <c r="D98" s="172" t="s">
        <v>103</v>
      </c>
      <c r="E98" s="172" t="s">
        <v>38</v>
      </c>
      <c r="F98" s="172" t="s">
        <v>87</v>
      </c>
      <c r="G98" s="172" t="s">
        <v>84</v>
      </c>
      <c r="H98" s="177">
        <v>1</v>
      </c>
      <c r="I98" s="178">
        <v>2650</v>
      </c>
      <c r="J98" s="176">
        <v>46111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1616.93</v>
      </c>
    </row>
    <row r="99" spans="1:16" ht="19.5" hidden="1" customHeight="1">
      <c r="A99" s="172" t="s">
        <v>3601</v>
      </c>
      <c r="B99" s="176">
        <v>46114</v>
      </c>
      <c r="C99" s="172" t="s">
        <v>104</v>
      </c>
      <c r="D99" s="172" t="s">
        <v>105</v>
      </c>
      <c r="E99" s="172" t="s">
        <v>38</v>
      </c>
      <c r="F99" s="172" t="s">
        <v>87</v>
      </c>
      <c r="G99" s="172" t="s">
        <v>84</v>
      </c>
      <c r="H99" s="177">
        <v>1</v>
      </c>
      <c r="I99" s="178">
        <v>2650</v>
      </c>
      <c r="J99" s="176">
        <v>46111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-1139.5</v>
      </c>
    </row>
    <row r="100" spans="1:16" ht="19.5" hidden="1" customHeight="1">
      <c r="A100" s="172" t="s">
        <v>3601</v>
      </c>
      <c r="B100" s="176">
        <v>46114</v>
      </c>
      <c r="C100" s="172" t="s">
        <v>2694</v>
      </c>
      <c r="D100" s="172" t="s">
        <v>95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2650</v>
      </c>
      <c r="J100" s="176">
        <v>46111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-6.75</v>
      </c>
    </row>
    <row r="101" spans="1:16" ht="19.5" hidden="1" customHeight="1">
      <c r="A101" s="172" t="s">
        <v>3602</v>
      </c>
      <c r="B101" s="176">
        <v>46114</v>
      </c>
      <c r="C101" s="172" t="s">
        <v>92</v>
      </c>
      <c r="D101" s="172" t="s">
        <v>24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2400</v>
      </c>
      <c r="J101" s="176">
        <v>46111</v>
      </c>
      <c r="K101" s="172" t="s">
        <v>93</v>
      </c>
      <c r="L101" s="172" t="s">
        <v>94</v>
      </c>
      <c r="M101" s="179">
        <v>0.43</v>
      </c>
      <c r="N101" s="177"/>
      <c r="O101" s="177">
        <v>33</v>
      </c>
      <c r="P101" s="180">
        <v>-97.64</v>
      </c>
    </row>
    <row r="102" spans="1:16" ht="19.5" hidden="1" customHeight="1">
      <c r="A102" s="172" t="s">
        <v>3602</v>
      </c>
      <c r="B102" s="176">
        <v>46114</v>
      </c>
      <c r="C102" s="172" t="s">
        <v>100</v>
      </c>
      <c r="D102" s="172" t="s">
        <v>101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2400</v>
      </c>
      <c r="J102" s="176">
        <v>46111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914.29</v>
      </c>
    </row>
    <row r="103" spans="1:16" ht="19.5" hidden="1" customHeight="1">
      <c r="A103" s="172" t="s">
        <v>3602</v>
      </c>
      <c r="B103" s="176">
        <v>46114</v>
      </c>
      <c r="C103" s="172" t="s">
        <v>100</v>
      </c>
      <c r="D103" s="172" t="s">
        <v>102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2400</v>
      </c>
      <c r="J103" s="176">
        <v>46111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0</v>
      </c>
    </row>
    <row r="104" spans="1:16" ht="19.5" hidden="1" customHeight="1">
      <c r="A104" s="172" t="s">
        <v>3602</v>
      </c>
      <c r="B104" s="176">
        <v>46114</v>
      </c>
      <c r="C104" s="172" t="s">
        <v>100</v>
      </c>
      <c r="D104" s="172" t="s">
        <v>103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2400</v>
      </c>
      <c r="J104" s="176">
        <v>46111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1485.71</v>
      </c>
    </row>
    <row r="105" spans="1:16" ht="19.5" hidden="1" customHeight="1">
      <c r="A105" s="172" t="s">
        <v>3602</v>
      </c>
      <c r="B105" s="176">
        <v>46114</v>
      </c>
      <c r="C105" s="172" t="s">
        <v>104</v>
      </c>
      <c r="D105" s="172" t="s">
        <v>105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2400</v>
      </c>
      <c r="J105" s="176">
        <v>46111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-1032</v>
      </c>
    </row>
    <row r="106" spans="1:16" ht="19.5" hidden="1" customHeight="1">
      <c r="A106" s="172" t="s">
        <v>3602</v>
      </c>
      <c r="B106" s="176">
        <v>46114</v>
      </c>
      <c r="C106" s="172" t="s">
        <v>2694</v>
      </c>
      <c r="D106" s="172" t="s">
        <v>95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2400</v>
      </c>
      <c r="J106" s="176">
        <v>46111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-7.1</v>
      </c>
    </row>
    <row r="107" spans="1:16" ht="19.5" hidden="1" customHeight="1">
      <c r="A107" s="172" t="s">
        <v>3601</v>
      </c>
      <c r="B107" s="176">
        <v>46114</v>
      </c>
      <c r="C107" s="172" t="s">
        <v>2694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46111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-19.43</v>
      </c>
    </row>
    <row r="108" spans="1:16" ht="19.5" hidden="1" customHeight="1">
      <c r="A108" s="172" t="s">
        <v>3603</v>
      </c>
      <c r="B108" s="176">
        <v>46114</v>
      </c>
      <c r="C108" s="172" t="s">
        <v>92</v>
      </c>
      <c r="D108" s="172" t="s">
        <v>24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2650</v>
      </c>
      <c r="J108" s="176">
        <v>46112</v>
      </c>
      <c r="K108" s="172" t="s">
        <v>93</v>
      </c>
      <c r="L108" s="172" t="s">
        <v>94</v>
      </c>
      <c r="M108" s="179">
        <v>0.43</v>
      </c>
      <c r="N108" s="177"/>
      <c r="O108" s="177">
        <v>32</v>
      </c>
      <c r="P108" s="180">
        <v>-87.25</v>
      </c>
    </row>
    <row r="109" spans="1:16" ht="19.5" hidden="1" customHeight="1">
      <c r="A109" s="172" t="s">
        <v>3603</v>
      </c>
      <c r="B109" s="176">
        <v>46114</v>
      </c>
      <c r="C109" s="172" t="s">
        <v>100</v>
      </c>
      <c r="D109" s="172" t="s">
        <v>101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2650</v>
      </c>
      <c r="J109" s="176">
        <v>46112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1123.81</v>
      </c>
    </row>
    <row r="110" spans="1:16" ht="19.5" hidden="1" customHeight="1">
      <c r="A110" s="172" t="s">
        <v>3603</v>
      </c>
      <c r="B110" s="176">
        <v>46114</v>
      </c>
      <c r="C110" s="172" t="s">
        <v>100</v>
      </c>
      <c r="D110" s="172" t="s">
        <v>102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2650</v>
      </c>
      <c r="J110" s="176">
        <v>46112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11.24</v>
      </c>
    </row>
    <row r="111" spans="1:16" ht="19.5" hidden="1" customHeight="1">
      <c r="A111" s="172" t="s">
        <v>3603</v>
      </c>
      <c r="B111" s="176">
        <v>46114</v>
      </c>
      <c r="C111" s="172" t="s">
        <v>100</v>
      </c>
      <c r="D111" s="172" t="s">
        <v>103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2650</v>
      </c>
      <c r="J111" s="176">
        <v>46112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1514.95</v>
      </c>
    </row>
    <row r="112" spans="1:16" ht="19.5" hidden="1" customHeight="1">
      <c r="A112" s="172" t="s">
        <v>3603</v>
      </c>
      <c r="B112" s="176">
        <v>46114</v>
      </c>
      <c r="C112" s="172" t="s">
        <v>104</v>
      </c>
      <c r="D112" s="172" t="s">
        <v>105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2650</v>
      </c>
      <c r="J112" s="176">
        <v>46112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-1139.5</v>
      </c>
    </row>
    <row r="113" spans="1:16" ht="19.5" hidden="1" customHeight="1">
      <c r="A113" s="172" t="s">
        <v>3604</v>
      </c>
      <c r="B113" s="176">
        <v>46114</v>
      </c>
      <c r="C113" s="172" t="s">
        <v>92</v>
      </c>
      <c r="D113" s="172" t="s">
        <v>24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46111</v>
      </c>
      <c r="K113" s="172" t="s">
        <v>93</v>
      </c>
      <c r="L113" s="172" t="s">
        <v>94</v>
      </c>
      <c r="M113" s="179">
        <v>0</v>
      </c>
      <c r="N113" s="177"/>
      <c r="O113" s="177">
        <v>33</v>
      </c>
      <c r="P113" s="180">
        <v>-56.94</v>
      </c>
    </row>
    <row r="114" spans="1:16" ht="19.5" hidden="1" customHeight="1">
      <c r="A114" s="172" t="s">
        <v>3604</v>
      </c>
      <c r="B114" s="176">
        <v>46114</v>
      </c>
      <c r="C114" s="172" t="s">
        <v>2694</v>
      </c>
      <c r="D114" s="172" t="s">
        <v>95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46111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-6.97</v>
      </c>
    </row>
    <row r="115" spans="1:16" ht="19.5" hidden="1" customHeight="1">
      <c r="A115" s="172" t="s">
        <v>3604</v>
      </c>
      <c r="B115" s="176">
        <v>46114</v>
      </c>
      <c r="C115" s="172" t="s">
        <v>92</v>
      </c>
      <c r="D115" s="172" t="s">
        <v>96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0</v>
      </c>
    </row>
    <row r="116" spans="1:16" ht="19.5" hidden="1" customHeight="1">
      <c r="A116" s="172" t="s">
        <v>3604</v>
      </c>
      <c r="B116" s="176">
        <v>46114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-56.94</v>
      </c>
    </row>
    <row r="117" spans="1:16" ht="19.5" hidden="1" customHeight="1">
      <c r="A117" s="172" t="s">
        <v>3604</v>
      </c>
      <c r="B117" s="176">
        <v>46114</v>
      </c>
      <c r="C117" s="172" t="s">
        <v>2694</v>
      </c>
      <c r="D117" s="172" t="s">
        <v>98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46111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3605</v>
      </c>
      <c r="B118" s="176">
        <v>46114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0.43</v>
      </c>
      <c r="N118" s="177"/>
      <c r="O118" s="177">
        <v>34</v>
      </c>
      <c r="P118" s="180">
        <v>-89.91</v>
      </c>
    </row>
    <row r="119" spans="1:16" ht="19.5" hidden="1" customHeight="1">
      <c r="A119" s="172" t="s">
        <v>3605</v>
      </c>
      <c r="B119" s="176">
        <v>46114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770.69</v>
      </c>
    </row>
    <row r="120" spans="1:16" ht="19.5" hidden="1" customHeight="1">
      <c r="A120" s="172" t="s">
        <v>3605</v>
      </c>
      <c r="B120" s="176">
        <v>46114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7.71</v>
      </c>
    </row>
    <row r="121" spans="1:16" ht="19.5" hidden="1" customHeight="1">
      <c r="A121" s="172" t="s">
        <v>3605</v>
      </c>
      <c r="B121" s="176">
        <v>46114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1367.6</v>
      </c>
    </row>
    <row r="122" spans="1:16" ht="19.5" hidden="1" customHeight="1">
      <c r="A122" s="172" t="s">
        <v>3605</v>
      </c>
      <c r="B122" s="176">
        <v>46114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2146</v>
      </c>
      <c r="J122" s="176">
        <v>46109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-922.78</v>
      </c>
    </row>
    <row r="123" spans="1:16" ht="19.5" hidden="1" customHeight="1">
      <c r="A123" s="172" t="s">
        <v>3605</v>
      </c>
      <c r="B123" s="176">
        <v>46114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2146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-8.3000000000000007</v>
      </c>
    </row>
    <row r="124" spans="1:16" ht="19.5" hidden="1" customHeight="1">
      <c r="A124" s="172" t="s">
        <v>3606</v>
      </c>
      <c r="B124" s="176">
        <v>46114</v>
      </c>
      <c r="C124" s="172" t="s">
        <v>92</v>
      </c>
      <c r="D124" s="172" t="s">
        <v>24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46108</v>
      </c>
      <c r="K124" s="172" t="s">
        <v>93</v>
      </c>
      <c r="L124" s="172" t="s">
        <v>94</v>
      </c>
      <c r="M124" s="179">
        <v>0</v>
      </c>
      <c r="N124" s="177"/>
      <c r="O124" s="177">
        <v>35</v>
      </c>
      <c r="P124" s="180">
        <v>-46.77</v>
      </c>
    </row>
    <row r="125" spans="1:16" ht="19.5" hidden="1" customHeight="1">
      <c r="A125" s="172" t="s">
        <v>3606</v>
      </c>
      <c r="B125" s="176">
        <v>46114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46108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-6.78</v>
      </c>
    </row>
    <row r="126" spans="1:16" ht="19.5" hidden="1" customHeight="1">
      <c r="A126" s="172" t="s">
        <v>3605</v>
      </c>
      <c r="B126" s="176">
        <v>46114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46109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-14.64</v>
      </c>
    </row>
    <row r="127" spans="1:16" ht="19.5" hidden="1" customHeight="1">
      <c r="A127" s="172" t="s">
        <v>3606</v>
      </c>
      <c r="B127" s="176">
        <v>46114</v>
      </c>
      <c r="C127" s="172" t="s">
        <v>92</v>
      </c>
      <c r="D127" s="172" t="s">
        <v>96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46108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3606</v>
      </c>
      <c r="B128" s="176">
        <v>46114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46108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-46.77</v>
      </c>
    </row>
    <row r="129" spans="1:16" ht="19.5" hidden="1" customHeight="1">
      <c r="A129" s="172" t="s">
        <v>3606</v>
      </c>
      <c r="B129" s="176">
        <v>46114</v>
      </c>
      <c r="C129" s="172" t="s">
        <v>2694</v>
      </c>
      <c r="D129" s="172" t="s">
        <v>98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0</v>
      </c>
      <c r="J129" s="176">
        <v>46108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3607</v>
      </c>
      <c r="B130" s="176">
        <v>46114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46114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-19.63</v>
      </c>
    </row>
    <row r="131" spans="1:16" ht="19.5" hidden="1" customHeight="1">
      <c r="A131" s="172" t="s">
        <v>3608</v>
      </c>
      <c r="B131" s="176">
        <v>46114</v>
      </c>
      <c r="C131" s="172" t="s">
        <v>92</v>
      </c>
      <c r="D131" s="172" t="s">
        <v>24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2163</v>
      </c>
      <c r="J131" s="176">
        <v>46106</v>
      </c>
      <c r="K131" s="172" t="s">
        <v>93</v>
      </c>
      <c r="L131" s="172" t="s">
        <v>94</v>
      </c>
      <c r="M131" s="179">
        <v>0.43</v>
      </c>
      <c r="N131" s="177"/>
      <c r="O131" s="177">
        <v>34</v>
      </c>
      <c r="P131" s="180">
        <v>-103.16</v>
      </c>
    </row>
    <row r="132" spans="1:16" ht="19.5" hidden="1" customHeight="1">
      <c r="A132" s="172" t="s">
        <v>3608</v>
      </c>
      <c r="B132" s="176">
        <v>46114</v>
      </c>
      <c r="C132" s="172" t="s">
        <v>100</v>
      </c>
      <c r="D132" s="172" t="s">
        <v>101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2163</v>
      </c>
      <c r="J132" s="176">
        <v>46106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946.67</v>
      </c>
    </row>
    <row r="133" spans="1:16" ht="19.5" hidden="1" customHeight="1">
      <c r="A133" s="172" t="s">
        <v>3608</v>
      </c>
      <c r="B133" s="176">
        <v>46114</v>
      </c>
      <c r="C133" s="172" t="s">
        <v>100</v>
      </c>
      <c r="D133" s="172" t="s">
        <v>102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2163</v>
      </c>
      <c r="J133" s="176">
        <v>46106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9.4700000000000006</v>
      </c>
    </row>
    <row r="134" spans="1:16" ht="19.5" hidden="1" customHeight="1">
      <c r="A134" s="172" t="s">
        <v>3608</v>
      </c>
      <c r="B134" s="176">
        <v>46114</v>
      </c>
      <c r="C134" s="172" t="s">
        <v>100</v>
      </c>
      <c r="D134" s="172" t="s">
        <v>103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2163</v>
      </c>
      <c r="J134" s="176">
        <v>46106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1206.8599999999999</v>
      </c>
    </row>
    <row r="135" spans="1:16" ht="19.5" hidden="1" customHeight="1">
      <c r="A135" s="172" t="s">
        <v>3608</v>
      </c>
      <c r="B135" s="176">
        <v>46114</v>
      </c>
      <c r="C135" s="172" t="s">
        <v>104</v>
      </c>
      <c r="D135" s="172" t="s">
        <v>105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2163</v>
      </c>
      <c r="J135" s="176">
        <v>46106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-930.09</v>
      </c>
    </row>
    <row r="136" spans="1:16" ht="19.5" hidden="1" customHeight="1">
      <c r="A136" s="172" t="s">
        <v>3609</v>
      </c>
      <c r="B136" s="176">
        <v>46114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2200</v>
      </c>
      <c r="J136" s="176">
        <v>46109</v>
      </c>
      <c r="K136" s="172" t="s">
        <v>93</v>
      </c>
      <c r="L136" s="172" t="s">
        <v>94</v>
      </c>
      <c r="M136" s="179">
        <v>0.43</v>
      </c>
      <c r="N136" s="177"/>
      <c r="O136" s="177">
        <v>34</v>
      </c>
      <c r="P136" s="180">
        <v>-103.68</v>
      </c>
    </row>
    <row r="137" spans="1:16" ht="19.5" hidden="1" customHeight="1">
      <c r="A137" s="172" t="s">
        <v>3609</v>
      </c>
      <c r="B137" s="176">
        <v>46114</v>
      </c>
      <c r="C137" s="172" t="s">
        <v>100</v>
      </c>
      <c r="D137" s="172" t="s">
        <v>101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2200</v>
      </c>
      <c r="J137" s="176">
        <v>46109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836.19</v>
      </c>
    </row>
    <row r="138" spans="1:16" ht="19.5" hidden="1" customHeight="1">
      <c r="A138" s="172" t="s">
        <v>3609</v>
      </c>
      <c r="B138" s="176">
        <v>46114</v>
      </c>
      <c r="C138" s="172" t="s">
        <v>100</v>
      </c>
      <c r="D138" s="172" t="s">
        <v>102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2200</v>
      </c>
      <c r="J138" s="176">
        <v>46109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8.36</v>
      </c>
    </row>
    <row r="139" spans="1:16" ht="19.5" hidden="1" customHeight="1">
      <c r="A139" s="172" t="s">
        <v>3609</v>
      </c>
      <c r="B139" s="176">
        <v>46114</v>
      </c>
      <c r="C139" s="172" t="s">
        <v>100</v>
      </c>
      <c r="D139" s="172" t="s">
        <v>103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2200</v>
      </c>
      <c r="J139" s="176">
        <v>46109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1355.45</v>
      </c>
    </row>
    <row r="140" spans="1:16" ht="19.5" hidden="1" customHeight="1">
      <c r="A140" s="172" t="s">
        <v>3609</v>
      </c>
      <c r="B140" s="176">
        <v>46114</v>
      </c>
      <c r="C140" s="172" t="s">
        <v>104</v>
      </c>
      <c r="D140" s="172" t="s">
        <v>105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2200</v>
      </c>
      <c r="J140" s="176">
        <v>46109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-946</v>
      </c>
    </row>
    <row r="141" spans="1:16" ht="19.5" hidden="1" customHeight="1">
      <c r="A141" s="172" t="s">
        <v>3609</v>
      </c>
      <c r="B141" s="176">
        <v>46114</v>
      </c>
      <c r="C141" s="172" t="s">
        <v>2694</v>
      </c>
      <c r="D141" s="172" t="s">
        <v>95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2200</v>
      </c>
      <c r="J141" s="176">
        <v>46109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-5.91</v>
      </c>
    </row>
    <row r="142" spans="1:16" ht="19.5" hidden="1" customHeight="1">
      <c r="A142" s="172" t="s">
        <v>3609</v>
      </c>
      <c r="B142" s="176">
        <v>46114</v>
      </c>
      <c r="C142" s="172" t="s">
        <v>2694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46109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-15.89</v>
      </c>
    </row>
    <row r="143" spans="1:16" ht="19.5" hidden="1" customHeight="1">
      <c r="A143" s="172" t="s">
        <v>3537</v>
      </c>
      <c r="B143" s="176">
        <v>46114</v>
      </c>
      <c r="C143" s="172" t="s">
        <v>92</v>
      </c>
      <c r="D143" s="172" t="s">
        <v>24</v>
      </c>
      <c r="E143" s="172" t="s">
        <v>58</v>
      </c>
      <c r="F143" s="172" t="s">
        <v>1300</v>
      </c>
      <c r="G143" s="172" t="s">
        <v>84</v>
      </c>
      <c r="H143" s="177">
        <v>1</v>
      </c>
      <c r="I143" s="178">
        <v>0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>
        <v>33</v>
      </c>
      <c r="P143" s="180">
        <v>-56.94</v>
      </c>
    </row>
    <row r="144" spans="1:16" ht="19.5" hidden="1" customHeight="1">
      <c r="A144" s="172" t="s">
        <v>3537</v>
      </c>
      <c r="B144" s="176">
        <v>46114</v>
      </c>
      <c r="C144" s="172" t="s">
        <v>2694</v>
      </c>
      <c r="D144" s="172" t="s">
        <v>95</v>
      </c>
      <c r="E144" s="172" t="s">
        <v>58</v>
      </c>
      <c r="F144" s="172" t="s">
        <v>1300</v>
      </c>
      <c r="G144" s="172" t="s">
        <v>84</v>
      </c>
      <c r="H144" s="177">
        <v>1</v>
      </c>
      <c r="I144" s="178">
        <v>0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-4.29</v>
      </c>
    </row>
    <row r="145" spans="1:16" ht="19.5" hidden="1" customHeight="1">
      <c r="A145" s="172" t="s">
        <v>3537</v>
      </c>
      <c r="B145" s="176">
        <v>46114</v>
      </c>
      <c r="C145" s="172" t="s">
        <v>92</v>
      </c>
      <c r="D145" s="172" t="s">
        <v>96</v>
      </c>
      <c r="E145" s="172" t="s">
        <v>58</v>
      </c>
      <c r="F145" s="172" t="s">
        <v>1300</v>
      </c>
      <c r="G145" s="172" t="s">
        <v>84</v>
      </c>
      <c r="H145" s="177">
        <v>1</v>
      </c>
      <c r="I145" s="178">
        <v>0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3537</v>
      </c>
      <c r="B146" s="176">
        <v>46114</v>
      </c>
      <c r="C146" s="172" t="s">
        <v>92</v>
      </c>
      <c r="D146" s="172" t="s">
        <v>97</v>
      </c>
      <c r="E146" s="172" t="s">
        <v>58</v>
      </c>
      <c r="F146" s="172" t="s">
        <v>1300</v>
      </c>
      <c r="G146" s="172" t="s">
        <v>84</v>
      </c>
      <c r="H146" s="177">
        <v>1</v>
      </c>
      <c r="I146" s="178">
        <v>0</v>
      </c>
      <c r="J146" s="176">
        <v>46110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-56.94</v>
      </c>
    </row>
    <row r="147" spans="1:16" ht="19.5" hidden="1" customHeight="1">
      <c r="A147" s="172" t="s">
        <v>3537</v>
      </c>
      <c r="B147" s="176">
        <v>46114</v>
      </c>
      <c r="C147" s="172" t="s">
        <v>2694</v>
      </c>
      <c r="D147" s="172" t="s">
        <v>98</v>
      </c>
      <c r="E147" s="172" t="s">
        <v>58</v>
      </c>
      <c r="F147" s="172" t="s">
        <v>1300</v>
      </c>
      <c r="G147" s="172" t="s">
        <v>84</v>
      </c>
      <c r="H147" s="177">
        <v>1</v>
      </c>
      <c r="I147" s="178">
        <v>0</v>
      </c>
      <c r="J147" s="176">
        <v>46110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-15</v>
      </c>
    </row>
    <row r="148" spans="1:16" ht="19.5" hidden="1" customHeight="1">
      <c r="A148" s="172" t="s">
        <v>3610</v>
      </c>
      <c r="B148" s="176">
        <v>46114</v>
      </c>
      <c r="C148" s="172" t="s">
        <v>92</v>
      </c>
      <c r="D148" s="172" t="s">
        <v>24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2650</v>
      </c>
      <c r="J148" s="176">
        <v>46113</v>
      </c>
      <c r="K148" s="172" t="s">
        <v>93</v>
      </c>
      <c r="L148" s="172" t="s">
        <v>94</v>
      </c>
      <c r="M148" s="179">
        <v>0.43</v>
      </c>
      <c r="N148" s="177"/>
      <c r="O148" s="177">
        <v>32</v>
      </c>
      <c r="P148" s="180">
        <v>-75.45</v>
      </c>
    </row>
    <row r="149" spans="1:16" ht="19.5" hidden="1" customHeight="1">
      <c r="A149" s="172" t="s">
        <v>3610</v>
      </c>
      <c r="B149" s="176">
        <v>46114</v>
      </c>
      <c r="C149" s="172" t="s">
        <v>100</v>
      </c>
      <c r="D149" s="172" t="s">
        <v>101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2650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1068.57</v>
      </c>
    </row>
    <row r="150" spans="1:16" ht="19.5" hidden="1" customHeight="1">
      <c r="A150" s="172" t="s">
        <v>3610</v>
      </c>
      <c r="B150" s="176">
        <v>46114</v>
      </c>
      <c r="C150" s="172" t="s">
        <v>100</v>
      </c>
      <c r="D150" s="172" t="s">
        <v>102</v>
      </c>
      <c r="E150" s="172" t="s">
        <v>39</v>
      </c>
      <c r="F150" s="172" t="s">
        <v>117</v>
      </c>
      <c r="G150" s="172" t="s">
        <v>84</v>
      </c>
      <c r="H150" s="177">
        <v>1</v>
      </c>
      <c r="I150" s="178">
        <v>2650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10.69</v>
      </c>
    </row>
    <row r="151" spans="1:16" ht="19.5" hidden="1" customHeight="1">
      <c r="A151" s="172" t="s">
        <v>3610</v>
      </c>
      <c r="B151" s="176">
        <v>46114</v>
      </c>
      <c r="C151" s="172" t="s">
        <v>100</v>
      </c>
      <c r="D151" s="172" t="s">
        <v>103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2650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1570.74</v>
      </c>
    </row>
    <row r="152" spans="1:16" ht="19.5" hidden="1" customHeight="1">
      <c r="A152" s="172" t="s">
        <v>3610</v>
      </c>
      <c r="B152" s="176">
        <v>46114</v>
      </c>
      <c r="C152" s="172" t="s">
        <v>104</v>
      </c>
      <c r="D152" s="172" t="s">
        <v>105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2650</v>
      </c>
      <c r="J152" s="176">
        <v>46113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-1139.5</v>
      </c>
    </row>
    <row r="153" spans="1:16" ht="19.5" hidden="1" customHeight="1">
      <c r="A153" s="172" t="s">
        <v>3610</v>
      </c>
      <c r="B153" s="176">
        <v>46114</v>
      </c>
      <c r="C153" s="172" t="s">
        <v>2694</v>
      </c>
      <c r="D153" s="172" t="s">
        <v>95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2650</v>
      </c>
      <c r="J153" s="176">
        <v>46113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-9.24</v>
      </c>
    </row>
    <row r="154" spans="1:16" ht="19.5" hidden="1" customHeight="1">
      <c r="A154" s="172" t="s">
        <v>3611</v>
      </c>
      <c r="B154" s="176">
        <v>46114</v>
      </c>
      <c r="C154" s="172" t="s">
        <v>92</v>
      </c>
      <c r="D154" s="172" t="s">
        <v>24</v>
      </c>
      <c r="E154" s="172" t="s">
        <v>60</v>
      </c>
      <c r="F154" s="172" t="s">
        <v>1426</v>
      </c>
      <c r="G154" s="172" t="s">
        <v>84</v>
      </c>
      <c r="H154" s="177">
        <v>1</v>
      </c>
      <c r="I154" s="178">
        <v>0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>
        <v>32</v>
      </c>
      <c r="P154" s="180">
        <v>-56.94</v>
      </c>
    </row>
    <row r="155" spans="1:16" ht="19.5" hidden="1" customHeight="1">
      <c r="A155" s="172" t="s">
        <v>3611</v>
      </c>
      <c r="B155" s="176">
        <v>46114</v>
      </c>
      <c r="C155" s="172" t="s">
        <v>2694</v>
      </c>
      <c r="D155" s="172" t="s">
        <v>95</v>
      </c>
      <c r="E155" s="172" t="s">
        <v>60</v>
      </c>
      <c r="F155" s="172" t="s">
        <v>1426</v>
      </c>
      <c r="G155" s="172" t="s">
        <v>84</v>
      </c>
      <c r="H155" s="177">
        <v>1</v>
      </c>
      <c r="I155" s="178">
        <v>0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-8.75</v>
      </c>
    </row>
    <row r="156" spans="1:16" ht="19.5" hidden="1" customHeight="1">
      <c r="A156" s="172" t="s">
        <v>3611</v>
      </c>
      <c r="B156" s="176">
        <v>46114</v>
      </c>
      <c r="C156" s="172" t="s">
        <v>92</v>
      </c>
      <c r="D156" s="172" t="s">
        <v>96</v>
      </c>
      <c r="E156" s="172" t="s">
        <v>60</v>
      </c>
      <c r="F156" s="172" t="s">
        <v>1426</v>
      </c>
      <c r="G156" s="172" t="s">
        <v>84</v>
      </c>
      <c r="H156" s="177">
        <v>1</v>
      </c>
      <c r="I156" s="178">
        <v>0</v>
      </c>
      <c r="J156" s="176">
        <v>46103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3611</v>
      </c>
      <c r="B157" s="176">
        <v>46114</v>
      </c>
      <c r="C157" s="172" t="s">
        <v>92</v>
      </c>
      <c r="D157" s="172" t="s">
        <v>97</v>
      </c>
      <c r="E157" s="172" t="s">
        <v>60</v>
      </c>
      <c r="F157" s="172" t="s">
        <v>1426</v>
      </c>
      <c r="G157" s="172" t="s">
        <v>84</v>
      </c>
      <c r="H157" s="177">
        <v>1</v>
      </c>
      <c r="I157" s="178">
        <v>0</v>
      </c>
      <c r="J157" s="176">
        <v>46103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-99.64</v>
      </c>
    </row>
    <row r="158" spans="1:16" ht="19.5" hidden="1" customHeight="1">
      <c r="A158" s="172" t="s">
        <v>3611</v>
      </c>
      <c r="B158" s="176">
        <v>46114</v>
      </c>
      <c r="C158" s="172" t="s">
        <v>2694</v>
      </c>
      <c r="D158" s="172" t="s">
        <v>98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46103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3612</v>
      </c>
      <c r="B159" s="176">
        <v>46114</v>
      </c>
      <c r="C159" s="172" t="s">
        <v>2694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46112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-21.43</v>
      </c>
    </row>
    <row r="160" spans="1:16" ht="19.5" hidden="1" customHeight="1">
      <c r="A160" s="172" t="s">
        <v>3612</v>
      </c>
      <c r="B160" s="176">
        <v>46114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2750</v>
      </c>
      <c r="J160" s="176">
        <v>46112</v>
      </c>
      <c r="K160" s="172" t="s">
        <v>93</v>
      </c>
      <c r="L160" s="172" t="s">
        <v>94</v>
      </c>
      <c r="M160" s="179">
        <v>0.43</v>
      </c>
      <c r="N160" s="177"/>
      <c r="O160" s="177">
        <v>32</v>
      </c>
      <c r="P160" s="180">
        <v>-76.25</v>
      </c>
    </row>
    <row r="161" spans="1:16" ht="19.5" hidden="1" customHeight="1">
      <c r="A161" s="172" t="s">
        <v>3612</v>
      </c>
      <c r="B161" s="176">
        <v>46114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2750</v>
      </c>
      <c r="J161" s="176">
        <v>46112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1127.96</v>
      </c>
    </row>
    <row r="162" spans="1:16" ht="19.5" hidden="1" customHeight="1">
      <c r="A162" s="172" t="s">
        <v>3612</v>
      </c>
      <c r="B162" s="176">
        <v>46114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11.28</v>
      </c>
    </row>
    <row r="163" spans="1:16" ht="19.5" hidden="1" customHeight="1">
      <c r="A163" s="172" t="s">
        <v>3612</v>
      </c>
      <c r="B163" s="176">
        <v>46114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1610.76</v>
      </c>
    </row>
    <row r="164" spans="1:16" ht="19.5" hidden="1" customHeight="1">
      <c r="A164" s="172" t="s">
        <v>3612</v>
      </c>
      <c r="B164" s="176">
        <v>46114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2750</v>
      </c>
      <c r="J164" s="176">
        <v>46112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-1182.5</v>
      </c>
    </row>
    <row r="165" spans="1:16" ht="19.5" hidden="1" customHeight="1">
      <c r="A165" s="172" t="s">
        <v>3612</v>
      </c>
      <c r="B165" s="176">
        <v>46114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-5.24</v>
      </c>
    </row>
    <row r="166" spans="1:16" ht="19.5" hidden="1" customHeight="1">
      <c r="A166" s="172" t="s">
        <v>3613</v>
      </c>
      <c r="B166" s="176">
        <v>46114</v>
      </c>
      <c r="C166" s="172" t="s">
        <v>92</v>
      </c>
      <c r="D166" s="172" t="s">
        <v>24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2600</v>
      </c>
      <c r="J166" s="176">
        <v>46113</v>
      </c>
      <c r="K166" s="172" t="s">
        <v>93</v>
      </c>
      <c r="L166" s="172" t="s">
        <v>94</v>
      </c>
      <c r="M166" s="179">
        <v>0.43</v>
      </c>
      <c r="N166" s="177"/>
      <c r="O166" s="177">
        <v>32</v>
      </c>
      <c r="P166" s="180">
        <v>-86.85</v>
      </c>
    </row>
    <row r="167" spans="1:16" ht="19.5" hidden="1" customHeight="1">
      <c r="A167" s="172" t="s">
        <v>3613</v>
      </c>
      <c r="B167" s="176">
        <v>46114</v>
      </c>
      <c r="C167" s="172" t="s">
        <v>100</v>
      </c>
      <c r="D167" s="172" t="s">
        <v>101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2600</v>
      </c>
      <c r="J167" s="176">
        <v>46113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1042.8599999999999</v>
      </c>
    </row>
    <row r="168" spans="1:16" ht="19.5" hidden="1" customHeight="1">
      <c r="A168" s="172" t="s">
        <v>3613</v>
      </c>
      <c r="B168" s="176">
        <v>46114</v>
      </c>
      <c r="C168" s="172" t="s">
        <v>100</v>
      </c>
      <c r="D168" s="172" t="s">
        <v>102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2600</v>
      </c>
      <c r="J168" s="176">
        <v>46113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10.43</v>
      </c>
    </row>
    <row r="169" spans="1:16" ht="19.5" hidden="1" customHeight="1">
      <c r="A169" s="172" t="s">
        <v>3613</v>
      </c>
      <c r="B169" s="176">
        <v>46114</v>
      </c>
      <c r="C169" s="172" t="s">
        <v>100</v>
      </c>
      <c r="D169" s="172" t="s">
        <v>103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2600</v>
      </c>
      <c r="J169" s="176">
        <v>46113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1546.71</v>
      </c>
    </row>
    <row r="170" spans="1:16" ht="19.5" hidden="1" customHeight="1">
      <c r="A170" s="172" t="s">
        <v>3613</v>
      </c>
      <c r="B170" s="176">
        <v>46114</v>
      </c>
      <c r="C170" s="172" t="s">
        <v>104</v>
      </c>
      <c r="D170" s="172" t="s">
        <v>105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2600</v>
      </c>
      <c r="J170" s="176">
        <v>46113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3613</v>
      </c>
      <c r="B171" s="176">
        <v>46114</v>
      </c>
      <c r="C171" s="172" t="s">
        <v>2694</v>
      </c>
      <c r="D171" s="172" t="s">
        <v>95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2600</v>
      </c>
      <c r="J171" s="176">
        <v>46113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-5.86</v>
      </c>
    </row>
    <row r="172" spans="1:16" ht="19.5" hidden="1" customHeight="1">
      <c r="A172" s="172" t="s">
        <v>3614</v>
      </c>
      <c r="B172" s="176">
        <v>46114</v>
      </c>
      <c r="C172" s="172" t="s">
        <v>1748</v>
      </c>
      <c r="D172" s="172" t="s">
        <v>2749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46112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</v>
      </c>
    </row>
    <row r="173" spans="1:16" ht="19.5" hidden="1" customHeight="1">
      <c r="A173" s="172" t="s">
        <v>3614</v>
      </c>
      <c r="B173" s="176">
        <v>46114</v>
      </c>
      <c r="C173" s="172" t="s">
        <v>2694</v>
      </c>
      <c r="D173" s="172" t="s">
        <v>2750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</v>
      </c>
    </row>
    <row r="174" spans="1:16" ht="19.5" hidden="1" customHeight="1">
      <c r="A174" s="172" t="s">
        <v>3615</v>
      </c>
      <c r="B174" s="176">
        <v>46114</v>
      </c>
      <c r="C174" s="172" t="s">
        <v>92</v>
      </c>
      <c r="D174" s="172" t="s">
        <v>24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2146</v>
      </c>
      <c r="J174" s="176">
        <v>46110</v>
      </c>
      <c r="K174" s="172" t="s">
        <v>93</v>
      </c>
      <c r="L174" s="172" t="s">
        <v>94</v>
      </c>
      <c r="M174" s="179">
        <v>0.43</v>
      </c>
      <c r="N174" s="177"/>
      <c r="O174" s="177">
        <v>33</v>
      </c>
      <c r="P174" s="180">
        <v>-82.21</v>
      </c>
    </row>
    <row r="175" spans="1:16" ht="19.5" hidden="1" customHeight="1">
      <c r="A175" s="172" t="s">
        <v>3615</v>
      </c>
      <c r="B175" s="176">
        <v>46114</v>
      </c>
      <c r="C175" s="172" t="s">
        <v>100</v>
      </c>
      <c r="D175" s="172" t="s">
        <v>101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2146</v>
      </c>
      <c r="J175" s="176">
        <v>46110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832.38</v>
      </c>
    </row>
    <row r="176" spans="1:16" ht="19.5" hidden="1" customHeight="1">
      <c r="A176" s="172" t="s">
        <v>3615</v>
      </c>
      <c r="B176" s="176">
        <v>46114</v>
      </c>
      <c r="C176" s="172" t="s">
        <v>100</v>
      </c>
      <c r="D176" s="172" t="s">
        <v>102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2146</v>
      </c>
      <c r="J176" s="176">
        <v>46110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8.32</v>
      </c>
    </row>
    <row r="177" spans="1:16" ht="19.5" hidden="1" customHeight="1">
      <c r="A177" s="172" t="s">
        <v>3615</v>
      </c>
      <c r="B177" s="176">
        <v>46114</v>
      </c>
      <c r="C177" s="172" t="s">
        <v>100</v>
      </c>
      <c r="D177" s="172" t="s">
        <v>103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2146</v>
      </c>
      <c r="J177" s="176">
        <v>46110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1305.3</v>
      </c>
    </row>
    <row r="178" spans="1:16" ht="19.5" hidden="1" customHeight="1">
      <c r="A178" s="172" t="s">
        <v>3615</v>
      </c>
      <c r="B178" s="176">
        <v>46114</v>
      </c>
      <c r="C178" s="172" t="s">
        <v>104</v>
      </c>
      <c r="D178" s="172" t="s">
        <v>105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2146</v>
      </c>
      <c r="J178" s="176">
        <v>46110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-922.78</v>
      </c>
    </row>
    <row r="179" spans="1:16" ht="19.5" hidden="1" customHeight="1">
      <c r="A179" s="172" t="s">
        <v>3615</v>
      </c>
      <c r="B179" s="176">
        <v>46114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2146</v>
      </c>
      <c r="J179" s="176">
        <v>46110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-10.17</v>
      </c>
    </row>
    <row r="180" spans="1:16" ht="19.5" hidden="1" customHeight="1">
      <c r="A180" s="172" t="s">
        <v>3613</v>
      </c>
      <c r="B180" s="176">
        <v>46114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46113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-19.809999999999999</v>
      </c>
    </row>
    <row r="181" spans="1:16" ht="19.5" hidden="1" customHeight="1">
      <c r="A181" s="172" t="s">
        <v>3616</v>
      </c>
      <c r="B181" s="176">
        <v>46114</v>
      </c>
      <c r="C181" s="172" t="s">
        <v>92</v>
      </c>
      <c r="D181" s="172" t="s">
        <v>24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2650</v>
      </c>
      <c r="J181" s="176">
        <v>46113</v>
      </c>
      <c r="K181" s="172" t="s">
        <v>93</v>
      </c>
      <c r="L181" s="172" t="s">
        <v>94</v>
      </c>
      <c r="M181" s="179">
        <v>0.43</v>
      </c>
      <c r="N181" s="177"/>
      <c r="O181" s="177">
        <v>32</v>
      </c>
      <c r="P181" s="180">
        <v>-75.45</v>
      </c>
    </row>
    <row r="182" spans="1:16" ht="19.5" hidden="1" customHeight="1">
      <c r="A182" s="172" t="s">
        <v>3616</v>
      </c>
      <c r="B182" s="176">
        <v>46114</v>
      </c>
      <c r="C182" s="172" t="s">
        <v>100</v>
      </c>
      <c r="D182" s="172" t="s">
        <v>101</v>
      </c>
      <c r="E182" s="172" t="s">
        <v>39</v>
      </c>
      <c r="F182" s="172" t="s">
        <v>117</v>
      </c>
      <c r="G182" s="172" t="s">
        <v>84</v>
      </c>
      <c r="H182" s="177">
        <v>1</v>
      </c>
      <c r="I182" s="178">
        <v>2650</v>
      </c>
      <c r="J182" s="176">
        <v>46113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945.97</v>
      </c>
    </row>
    <row r="183" spans="1:16" ht="19.5" hidden="1" customHeight="1">
      <c r="A183" s="172" t="s">
        <v>3616</v>
      </c>
      <c r="B183" s="176">
        <v>46114</v>
      </c>
      <c r="C183" s="172" t="s">
        <v>100</v>
      </c>
      <c r="D183" s="172" t="s">
        <v>102</v>
      </c>
      <c r="E183" s="172" t="s">
        <v>39</v>
      </c>
      <c r="F183" s="172" t="s">
        <v>117</v>
      </c>
      <c r="G183" s="172" t="s">
        <v>84</v>
      </c>
      <c r="H183" s="177">
        <v>1</v>
      </c>
      <c r="I183" s="178">
        <v>2650</v>
      </c>
      <c r="J183" s="176">
        <v>46113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9.4600000000000009</v>
      </c>
    </row>
    <row r="184" spans="1:16" ht="19.5" hidden="1" customHeight="1">
      <c r="A184" s="172" t="s">
        <v>3616</v>
      </c>
      <c r="B184" s="176">
        <v>46114</v>
      </c>
      <c r="C184" s="172" t="s">
        <v>100</v>
      </c>
      <c r="D184" s="172" t="s">
        <v>103</v>
      </c>
      <c r="E184" s="172" t="s">
        <v>39</v>
      </c>
      <c r="F184" s="172" t="s">
        <v>117</v>
      </c>
      <c r="G184" s="172" t="s">
        <v>84</v>
      </c>
      <c r="H184" s="177">
        <v>1</v>
      </c>
      <c r="I184" s="178">
        <v>2650</v>
      </c>
      <c r="J184" s="176">
        <v>46113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1694.57</v>
      </c>
    </row>
    <row r="185" spans="1:16" ht="19.5" hidden="1" customHeight="1">
      <c r="A185" s="172" t="s">
        <v>3616</v>
      </c>
      <c r="B185" s="176">
        <v>46114</v>
      </c>
      <c r="C185" s="172" t="s">
        <v>104</v>
      </c>
      <c r="D185" s="172" t="s">
        <v>105</v>
      </c>
      <c r="E185" s="172" t="s">
        <v>39</v>
      </c>
      <c r="F185" s="172" t="s">
        <v>117</v>
      </c>
      <c r="G185" s="172" t="s">
        <v>84</v>
      </c>
      <c r="H185" s="177">
        <v>1</v>
      </c>
      <c r="I185" s="178">
        <v>2650</v>
      </c>
      <c r="J185" s="176">
        <v>46113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-1139.5</v>
      </c>
    </row>
    <row r="186" spans="1:16" ht="19.5" hidden="1" customHeight="1">
      <c r="A186" s="172" t="s">
        <v>3616</v>
      </c>
      <c r="B186" s="176">
        <v>46114</v>
      </c>
      <c r="C186" s="172" t="s">
        <v>2694</v>
      </c>
      <c r="D186" s="172" t="s">
        <v>95</v>
      </c>
      <c r="E186" s="172" t="s">
        <v>39</v>
      </c>
      <c r="F186" s="172" t="s">
        <v>117</v>
      </c>
      <c r="G186" s="172" t="s">
        <v>84</v>
      </c>
      <c r="H186" s="177">
        <v>1</v>
      </c>
      <c r="I186" s="178">
        <v>2650</v>
      </c>
      <c r="J186" s="176">
        <v>46113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-5.46</v>
      </c>
    </row>
    <row r="187" spans="1:16" ht="19.5" hidden="1" customHeight="1">
      <c r="A187" s="172" t="s">
        <v>3617</v>
      </c>
      <c r="B187" s="176">
        <v>46114</v>
      </c>
      <c r="C187" s="172" t="s">
        <v>92</v>
      </c>
      <c r="D187" s="172" t="s">
        <v>24</v>
      </c>
      <c r="E187" s="172" t="s">
        <v>56</v>
      </c>
      <c r="F187" s="172" t="s">
        <v>1213</v>
      </c>
      <c r="G187" s="172" t="s">
        <v>84</v>
      </c>
      <c r="H187" s="177">
        <v>1</v>
      </c>
      <c r="I187" s="178">
        <v>2420</v>
      </c>
      <c r="J187" s="176">
        <v>46112</v>
      </c>
      <c r="K187" s="172" t="s">
        <v>93</v>
      </c>
      <c r="L187" s="172" t="s">
        <v>94</v>
      </c>
      <c r="M187" s="179">
        <v>0.43</v>
      </c>
      <c r="N187" s="177"/>
      <c r="O187" s="177">
        <v>32</v>
      </c>
      <c r="P187" s="180">
        <v>-85.41</v>
      </c>
    </row>
    <row r="188" spans="1:16" ht="19.5" hidden="1" customHeight="1">
      <c r="A188" s="172" t="s">
        <v>3617</v>
      </c>
      <c r="B188" s="176">
        <v>46114</v>
      </c>
      <c r="C188" s="172" t="s">
        <v>100</v>
      </c>
      <c r="D188" s="172" t="s">
        <v>101</v>
      </c>
      <c r="E188" s="172" t="s">
        <v>56</v>
      </c>
      <c r="F188" s="172" t="s">
        <v>1213</v>
      </c>
      <c r="G188" s="172" t="s">
        <v>84</v>
      </c>
      <c r="H188" s="177">
        <v>1</v>
      </c>
      <c r="I188" s="178">
        <v>2420</v>
      </c>
      <c r="J188" s="176">
        <v>46112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1262.8599999999999</v>
      </c>
    </row>
    <row r="189" spans="1:16" ht="19.5" hidden="1" customHeight="1">
      <c r="A189" s="172" t="s">
        <v>3617</v>
      </c>
      <c r="B189" s="176">
        <v>46114</v>
      </c>
      <c r="C189" s="172" t="s">
        <v>100</v>
      </c>
      <c r="D189" s="172" t="s">
        <v>102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2420</v>
      </c>
      <c r="J189" s="176">
        <v>46112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12.63</v>
      </c>
    </row>
    <row r="190" spans="1:16" ht="19.5" hidden="1" customHeight="1">
      <c r="A190" s="172" t="s">
        <v>3617</v>
      </c>
      <c r="B190" s="176">
        <v>46114</v>
      </c>
      <c r="C190" s="172" t="s">
        <v>100</v>
      </c>
      <c r="D190" s="172" t="s">
        <v>103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2420</v>
      </c>
      <c r="J190" s="176">
        <v>46112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1144.51</v>
      </c>
    </row>
    <row r="191" spans="1:16" ht="19.5" hidden="1" customHeight="1">
      <c r="A191" s="172" t="s">
        <v>3617</v>
      </c>
      <c r="B191" s="176">
        <v>46114</v>
      </c>
      <c r="C191" s="172" t="s">
        <v>104</v>
      </c>
      <c r="D191" s="172" t="s">
        <v>105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2420</v>
      </c>
      <c r="J191" s="176">
        <v>46112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-1040.5999999999999</v>
      </c>
    </row>
    <row r="192" spans="1:16" ht="19.5" hidden="1" customHeight="1">
      <c r="A192" s="172" t="s">
        <v>3617</v>
      </c>
      <c r="B192" s="176">
        <v>46114</v>
      </c>
      <c r="C192" s="172" t="s">
        <v>2694</v>
      </c>
      <c r="D192" s="172" t="s">
        <v>95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2420</v>
      </c>
      <c r="J192" s="176">
        <v>46112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-5.28</v>
      </c>
    </row>
    <row r="193" spans="1:16" ht="19.5" hidden="1" customHeight="1">
      <c r="A193" s="172" t="s">
        <v>3615</v>
      </c>
      <c r="B193" s="176">
        <v>46114</v>
      </c>
      <c r="C193" s="172" t="s">
        <v>2694</v>
      </c>
      <c r="D193" s="172" t="s">
        <v>82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46110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-15.82</v>
      </c>
    </row>
    <row r="194" spans="1:16" ht="19.5" hidden="1" customHeight="1">
      <c r="A194" s="172" t="s">
        <v>3616</v>
      </c>
      <c r="B194" s="176">
        <v>46114</v>
      </c>
      <c r="C194" s="172" t="s">
        <v>2694</v>
      </c>
      <c r="D194" s="172" t="s">
        <v>82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0</v>
      </c>
      <c r="J194" s="176">
        <v>46113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-17.97</v>
      </c>
    </row>
    <row r="195" spans="1:16" ht="19.5" hidden="1" customHeight="1">
      <c r="A195" s="172" t="s">
        <v>3617</v>
      </c>
      <c r="B195" s="176">
        <v>46114</v>
      </c>
      <c r="C195" s="172" t="s">
        <v>2694</v>
      </c>
      <c r="D195" s="172" t="s">
        <v>82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0</v>
      </c>
      <c r="J195" s="176">
        <v>46112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-23.99</v>
      </c>
    </row>
    <row r="196" spans="1:16" ht="19.5" hidden="1" customHeight="1">
      <c r="A196" s="172" t="s">
        <v>3618</v>
      </c>
      <c r="B196" s="176">
        <v>46114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46111</v>
      </c>
      <c r="K196" s="172" t="s">
        <v>93</v>
      </c>
      <c r="L196" s="172" t="s">
        <v>94</v>
      </c>
      <c r="M196" s="179">
        <v>0</v>
      </c>
      <c r="N196" s="177"/>
      <c r="O196" s="177">
        <v>33</v>
      </c>
      <c r="P196" s="180">
        <v>-46.77</v>
      </c>
    </row>
    <row r="197" spans="1:16" ht="19.5" hidden="1" customHeight="1">
      <c r="A197" s="172" t="s">
        <v>3618</v>
      </c>
      <c r="B197" s="176">
        <v>46114</v>
      </c>
      <c r="C197" s="172" t="s">
        <v>92</v>
      </c>
      <c r="D197" s="172" t="s">
        <v>96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46111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hidden="1" customHeight="1">
      <c r="A198" s="172" t="s">
        <v>3618</v>
      </c>
      <c r="B198" s="176">
        <v>46114</v>
      </c>
      <c r="C198" s="172" t="s">
        <v>92</v>
      </c>
      <c r="D198" s="172" t="s">
        <v>97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0</v>
      </c>
      <c r="J198" s="176">
        <v>46111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hidden="1" customHeight="1">
      <c r="A199" s="172" t="s">
        <v>3619</v>
      </c>
      <c r="B199" s="176">
        <v>46114</v>
      </c>
      <c r="C199" s="172" t="s">
        <v>2694</v>
      </c>
      <c r="D199" s="172" t="s">
        <v>82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0</v>
      </c>
      <c r="J199" s="176">
        <v>46114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-16.16</v>
      </c>
    </row>
    <row r="200" spans="1:16" ht="19.5" hidden="1" customHeight="1">
      <c r="A200" s="172" t="s">
        <v>3246</v>
      </c>
      <c r="B200" s="176">
        <v>46114</v>
      </c>
      <c r="C200" s="172" t="s">
        <v>109</v>
      </c>
      <c r="D200" s="172" t="s">
        <v>139</v>
      </c>
      <c r="E200" s="172" t="s">
        <v>85</v>
      </c>
      <c r="F200" s="172" t="s">
        <v>85</v>
      </c>
      <c r="G200" s="172" t="s">
        <v>85</v>
      </c>
      <c r="H200" s="177">
        <v>0</v>
      </c>
      <c r="I200" s="178">
        <v>0</v>
      </c>
      <c r="J200" s="176">
        <v>46114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-282.8</v>
      </c>
    </row>
    <row r="201" spans="1:16" ht="19.5" hidden="1" customHeight="1">
      <c r="A201" s="172" t="s">
        <v>142</v>
      </c>
      <c r="B201" s="176">
        <v>46114</v>
      </c>
      <c r="C201" s="172" t="s">
        <v>109</v>
      </c>
      <c r="D201" s="172" t="s">
        <v>143</v>
      </c>
      <c r="E201" s="172" t="s">
        <v>85</v>
      </c>
      <c r="F201" s="172" t="s">
        <v>85</v>
      </c>
      <c r="G201" s="172" t="s">
        <v>85</v>
      </c>
      <c r="H201" s="177">
        <v>0</v>
      </c>
      <c r="I201" s="178">
        <v>0</v>
      </c>
      <c r="J201" s="176">
        <v>46114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-1044.3</v>
      </c>
    </row>
    <row r="202" spans="1:16" ht="19.5" hidden="1" customHeight="1">
      <c r="A202" s="172" t="s">
        <v>3251</v>
      </c>
      <c r="B202" s="176">
        <v>46114</v>
      </c>
      <c r="C202" s="172" t="s">
        <v>109</v>
      </c>
      <c r="D202" s="172" t="s">
        <v>139</v>
      </c>
      <c r="E202" s="172" t="s">
        <v>85</v>
      </c>
      <c r="F202" s="172" t="s">
        <v>85</v>
      </c>
      <c r="G202" s="172" t="s">
        <v>85</v>
      </c>
      <c r="H202" s="177">
        <v>0</v>
      </c>
      <c r="I202" s="178">
        <v>0</v>
      </c>
      <c r="J202" s="176">
        <v>46114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-420.54</v>
      </c>
    </row>
    <row r="203" spans="1:16" ht="19.5" hidden="1" customHeight="1">
      <c r="A203" s="172" t="s">
        <v>3432</v>
      </c>
      <c r="B203" s="176">
        <v>46114</v>
      </c>
      <c r="C203" s="172" t="s">
        <v>109</v>
      </c>
      <c r="D203" s="172" t="s">
        <v>139</v>
      </c>
      <c r="E203" s="172" t="s">
        <v>85</v>
      </c>
      <c r="F203" s="172" t="s">
        <v>85</v>
      </c>
      <c r="G203" s="172" t="s">
        <v>85</v>
      </c>
      <c r="H203" s="177">
        <v>0</v>
      </c>
      <c r="I203" s="178">
        <v>0</v>
      </c>
      <c r="J203" s="176">
        <v>46114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-453.15</v>
      </c>
    </row>
    <row r="204" spans="1:16" ht="19.5" hidden="1" customHeight="1">
      <c r="A204" s="172" t="s">
        <v>3433</v>
      </c>
      <c r="B204" s="176">
        <v>46114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46114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-289.58999999999997</v>
      </c>
    </row>
    <row r="205" spans="1:16" ht="19.5" hidden="1" customHeight="1">
      <c r="A205" s="172" t="s">
        <v>3434</v>
      </c>
      <c r="B205" s="176">
        <v>46114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-271.38</v>
      </c>
    </row>
    <row r="206" spans="1:16" ht="19.5" hidden="1" customHeight="1">
      <c r="A206" s="172" t="s">
        <v>3013</v>
      </c>
      <c r="B206" s="176">
        <v>46114</v>
      </c>
      <c r="C206" s="172" t="s">
        <v>109</v>
      </c>
      <c r="D206" s="172" t="s">
        <v>143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46114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-479.6</v>
      </c>
    </row>
    <row r="207" spans="1:16" ht="19.5" hidden="1" customHeight="1">
      <c r="A207" s="172" t="s">
        <v>3407</v>
      </c>
      <c r="B207" s="176">
        <v>46114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46114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-260.02</v>
      </c>
    </row>
    <row r="208" spans="1:16" ht="19.5" hidden="1" customHeight="1">
      <c r="A208" s="172" t="s">
        <v>3406</v>
      </c>
      <c r="B208" s="176">
        <v>46114</v>
      </c>
      <c r="C208" s="172" t="s">
        <v>109</v>
      </c>
      <c r="D208" s="172" t="s">
        <v>139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46114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-369.71</v>
      </c>
    </row>
    <row r="209" spans="1:16" ht="19.5" hidden="1" customHeight="1">
      <c r="A209" s="172" t="s">
        <v>3408</v>
      </c>
      <c r="B209" s="176">
        <v>46114</v>
      </c>
      <c r="C209" s="172" t="s">
        <v>109</v>
      </c>
      <c r="D209" s="172" t="s">
        <v>139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46114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-449.06</v>
      </c>
    </row>
    <row r="210" spans="1:16" ht="19.5" hidden="1" customHeight="1">
      <c r="A210" s="172" t="s">
        <v>3620</v>
      </c>
      <c r="B210" s="176">
        <v>46115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0</v>
      </c>
      <c r="J210" s="176">
        <v>46110</v>
      </c>
      <c r="K210" s="172" t="s">
        <v>93</v>
      </c>
      <c r="L210" s="172" t="s">
        <v>94</v>
      </c>
      <c r="M210" s="179">
        <v>0</v>
      </c>
      <c r="N210" s="177"/>
      <c r="O210" s="177">
        <v>33</v>
      </c>
      <c r="P210" s="180">
        <v>-46.77</v>
      </c>
    </row>
    <row r="211" spans="1:16" ht="19.5" hidden="1" customHeight="1">
      <c r="A211" s="172" t="s">
        <v>3620</v>
      </c>
      <c r="B211" s="176">
        <v>46115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0</v>
      </c>
      <c r="J211" s="176">
        <v>46110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-25</v>
      </c>
    </row>
    <row r="212" spans="1:16" ht="19.5" hidden="1" customHeight="1">
      <c r="A212" s="172" t="s">
        <v>3620</v>
      </c>
      <c r="B212" s="176">
        <v>46115</v>
      </c>
      <c r="C212" s="172" t="s">
        <v>92</v>
      </c>
      <c r="D212" s="172" t="s">
        <v>96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46110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3620</v>
      </c>
      <c r="B213" s="176">
        <v>46115</v>
      </c>
      <c r="C213" s="172" t="s">
        <v>92</v>
      </c>
      <c r="D213" s="172" t="s">
        <v>97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0</v>
      </c>
      <c r="J213" s="176">
        <v>46110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3620</v>
      </c>
      <c r="B214" s="176">
        <v>46115</v>
      </c>
      <c r="C214" s="172" t="s">
        <v>2694</v>
      </c>
      <c r="D214" s="172" t="s">
        <v>98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0</v>
      </c>
      <c r="J214" s="176">
        <v>46110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3621</v>
      </c>
      <c r="B215" s="176">
        <v>46115</v>
      </c>
      <c r="C215" s="172" t="s">
        <v>92</v>
      </c>
      <c r="D215" s="172" t="s">
        <v>96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0</v>
      </c>
    </row>
    <row r="216" spans="1:16" ht="19.5" hidden="1" customHeight="1">
      <c r="A216" s="172" t="s">
        <v>3621</v>
      </c>
      <c r="B216" s="176">
        <v>46115</v>
      </c>
      <c r="C216" s="172" t="s">
        <v>92</v>
      </c>
      <c r="D216" s="172" t="s">
        <v>97</v>
      </c>
      <c r="E216" s="172" t="s">
        <v>39</v>
      </c>
      <c r="F216" s="172" t="s">
        <v>117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-46.77</v>
      </c>
    </row>
    <row r="217" spans="1:16" ht="19.5" hidden="1" customHeight="1">
      <c r="A217" s="172" t="s">
        <v>3621</v>
      </c>
      <c r="B217" s="176">
        <v>46115</v>
      </c>
      <c r="C217" s="172" t="s">
        <v>2694</v>
      </c>
      <c r="D217" s="172" t="s">
        <v>98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-15</v>
      </c>
    </row>
    <row r="218" spans="1:16" ht="19.5" hidden="1" customHeight="1">
      <c r="A218" s="172" t="s">
        <v>3621</v>
      </c>
      <c r="B218" s="176">
        <v>46115</v>
      </c>
      <c r="C218" s="172" t="s">
        <v>92</v>
      </c>
      <c r="D218" s="172" t="s">
        <v>24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>
        <v>34</v>
      </c>
      <c r="P218" s="180">
        <v>-46.77</v>
      </c>
    </row>
    <row r="219" spans="1:16" ht="19.5" hidden="1" customHeight="1">
      <c r="A219" s="172" t="s">
        <v>3621</v>
      </c>
      <c r="B219" s="176">
        <v>46115</v>
      </c>
      <c r="C219" s="172" t="s">
        <v>2694</v>
      </c>
      <c r="D219" s="172" t="s">
        <v>95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0</v>
      </c>
      <c r="J219" s="176">
        <v>46109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-22.89</v>
      </c>
    </row>
    <row r="220" spans="1:16" ht="19.5" hidden="1" customHeight="1">
      <c r="A220" s="172" t="s">
        <v>3622</v>
      </c>
      <c r="B220" s="176">
        <v>46115</v>
      </c>
      <c r="C220" s="172" t="s">
        <v>2694</v>
      </c>
      <c r="D220" s="172" t="s">
        <v>82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0</v>
      </c>
      <c r="J220" s="176">
        <v>46115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-30.35</v>
      </c>
    </row>
    <row r="221" spans="1:16" ht="19.5" hidden="1" customHeight="1">
      <c r="A221" s="172" t="s">
        <v>3623</v>
      </c>
      <c r="B221" s="176">
        <v>46115</v>
      </c>
      <c r="C221" s="172" t="s">
        <v>92</v>
      </c>
      <c r="D221" s="172" t="s">
        <v>24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46111</v>
      </c>
      <c r="K221" s="172" t="s">
        <v>93</v>
      </c>
      <c r="L221" s="172" t="s">
        <v>94</v>
      </c>
      <c r="M221" s="179">
        <v>0</v>
      </c>
      <c r="N221" s="177"/>
      <c r="O221" s="177">
        <v>33</v>
      </c>
      <c r="P221" s="180">
        <v>-56.94</v>
      </c>
    </row>
    <row r="222" spans="1:16" ht="19.5" hidden="1" customHeight="1">
      <c r="A222" s="172" t="s">
        <v>3623</v>
      </c>
      <c r="B222" s="176">
        <v>46115</v>
      </c>
      <c r="C222" s="172" t="s">
        <v>2694</v>
      </c>
      <c r="D222" s="172" t="s">
        <v>95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46111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-5.94</v>
      </c>
    </row>
    <row r="223" spans="1:16" ht="19.5" hidden="1" customHeight="1">
      <c r="A223" s="172" t="s">
        <v>3623</v>
      </c>
      <c r="B223" s="176">
        <v>46115</v>
      </c>
      <c r="C223" s="172" t="s">
        <v>92</v>
      </c>
      <c r="D223" s="172" t="s">
        <v>96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46111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0</v>
      </c>
    </row>
    <row r="224" spans="1:16" ht="19.5" hidden="1" customHeight="1">
      <c r="A224" s="172" t="s">
        <v>3623</v>
      </c>
      <c r="B224" s="176">
        <v>46115</v>
      </c>
      <c r="C224" s="172" t="s">
        <v>92</v>
      </c>
      <c r="D224" s="172" t="s">
        <v>97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46111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-56.94</v>
      </c>
    </row>
    <row r="225" spans="1:16" ht="19.5" hidden="1" customHeight="1">
      <c r="A225" s="172" t="s">
        <v>3623</v>
      </c>
      <c r="B225" s="176">
        <v>46115</v>
      </c>
      <c r="C225" s="172" t="s">
        <v>2694</v>
      </c>
      <c r="D225" s="172" t="s">
        <v>98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0</v>
      </c>
      <c r="J225" s="176">
        <v>46111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</v>
      </c>
    </row>
    <row r="226" spans="1:16" ht="19.5" hidden="1" customHeight="1">
      <c r="A226" s="172" t="s">
        <v>3624</v>
      </c>
      <c r="B226" s="176">
        <v>46115</v>
      </c>
      <c r="C226" s="172" t="s">
        <v>92</v>
      </c>
      <c r="D226" s="172" t="s">
        <v>24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46106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-46.77</v>
      </c>
    </row>
    <row r="227" spans="1:16" ht="19.5" hidden="1" customHeight="1">
      <c r="A227" s="172" t="s">
        <v>3624</v>
      </c>
      <c r="B227" s="176">
        <v>46115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-9.0500000000000007</v>
      </c>
    </row>
    <row r="228" spans="1:16" ht="19.5" hidden="1" customHeight="1">
      <c r="A228" s="172" t="s">
        <v>3625</v>
      </c>
      <c r="B228" s="176">
        <v>46115</v>
      </c>
      <c r="C228" s="172" t="s">
        <v>92</v>
      </c>
      <c r="D228" s="172" t="s">
        <v>24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46107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-56.94</v>
      </c>
    </row>
    <row r="229" spans="1:16" ht="19.5" hidden="1" customHeight="1">
      <c r="A229" s="172" t="s">
        <v>3625</v>
      </c>
      <c r="B229" s="176">
        <v>46115</v>
      </c>
      <c r="C229" s="172" t="s">
        <v>2694</v>
      </c>
      <c r="D229" s="172" t="s">
        <v>95</v>
      </c>
      <c r="E229" s="172" t="s">
        <v>59</v>
      </c>
      <c r="F229" s="172" t="s">
        <v>1386</v>
      </c>
      <c r="G229" s="172" t="s">
        <v>84</v>
      </c>
      <c r="H229" s="177">
        <v>1</v>
      </c>
      <c r="I229" s="178">
        <v>0</v>
      </c>
      <c r="J229" s="176">
        <v>46107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-6.25</v>
      </c>
    </row>
    <row r="230" spans="1:16" ht="19.5" hidden="1" customHeight="1">
      <c r="A230" s="172" t="s">
        <v>3624</v>
      </c>
      <c r="B230" s="176">
        <v>46115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46106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3624</v>
      </c>
      <c r="B231" s="176">
        <v>46115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46106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3624</v>
      </c>
      <c r="B232" s="176">
        <v>46115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46106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3625</v>
      </c>
      <c r="B233" s="176">
        <v>46115</v>
      </c>
      <c r="C233" s="172" t="s">
        <v>92</v>
      </c>
      <c r="D233" s="172" t="s">
        <v>96</v>
      </c>
      <c r="E233" s="172" t="s">
        <v>59</v>
      </c>
      <c r="F233" s="172" t="s">
        <v>1386</v>
      </c>
      <c r="G233" s="172" t="s">
        <v>84</v>
      </c>
      <c r="H233" s="177">
        <v>1</v>
      </c>
      <c r="I233" s="178">
        <v>0</v>
      </c>
      <c r="J233" s="176">
        <v>46107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0</v>
      </c>
    </row>
    <row r="234" spans="1:16" ht="19.5" hidden="1" customHeight="1">
      <c r="A234" s="172" t="s">
        <v>3625</v>
      </c>
      <c r="B234" s="176">
        <v>46115</v>
      </c>
      <c r="C234" s="172" t="s">
        <v>92</v>
      </c>
      <c r="D234" s="172" t="s">
        <v>97</v>
      </c>
      <c r="E234" s="172" t="s">
        <v>59</v>
      </c>
      <c r="F234" s="172" t="s">
        <v>1386</v>
      </c>
      <c r="G234" s="172" t="s">
        <v>84</v>
      </c>
      <c r="H234" s="177">
        <v>1</v>
      </c>
      <c r="I234" s="178">
        <v>0</v>
      </c>
      <c r="J234" s="176">
        <v>46107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-56.94</v>
      </c>
    </row>
    <row r="235" spans="1:16" ht="19.5" hidden="1" customHeight="1">
      <c r="A235" s="172" t="s">
        <v>3625</v>
      </c>
      <c r="B235" s="176">
        <v>46115</v>
      </c>
      <c r="C235" s="172" t="s">
        <v>2694</v>
      </c>
      <c r="D235" s="172" t="s">
        <v>98</v>
      </c>
      <c r="E235" s="172" t="s">
        <v>59</v>
      </c>
      <c r="F235" s="172" t="s">
        <v>1386</v>
      </c>
      <c r="G235" s="172" t="s">
        <v>84</v>
      </c>
      <c r="H235" s="177">
        <v>1</v>
      </c>
      <c r="I235" s="178">
        <v>0</v>
      </c>
      <c r="J235" s="176">
        <v>46107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3626</v>
      </c>
      <c r="B236" s="176">
        <v>46115</v>
      </c>
      <c r="C236" s="172" t="s">
        <v>92</v>
      </c>
      <c r="D236" s="172" t="s">
        <v>24</v>
      </c>
      <c r="E236" s="172" t="s">
        <v>58</v>
      </c>
      <c r="F236" s="172" t="s">
        <v>1300</v>
      </c>
      <c r="G236" s="172" t="s">
        <v>84</v>
      </c>
      <c r="H236" s="177">
        <v>1</v>
      </c>
      <c r="I236" s="178">
        <v>2443</v>
      </c>
      <c r="J236" s="176">
        <v>46113</v>
      </c>
      <c r="K236" s="172" t="s">
        <v>93</v>
      </c>
      <c r="L236" s="172" t="s">
        <v>94</v>
      </c>
      <c r="M236" s="179">
        <v>0.43</v>
      </c>
      <c r="N236" s="177"/>
      <c r="O236" s="177">
        <v>32</v>
      </c>
      <c r="P236" s="180">
        <v>-85.59</v>
      </c>
    </row>
    <row r="237" spans="1:16" ht="19.5" hidden="1" customHeight="1">
      <c r="A237" s="172" t="s">
        <v>3626</v>
      </c>
      <c r="B237" s="176">
        <v>46115</v>
      </c>
      <c r="C237" s="172" t="s">
        <v>100</v>
      </c>
      <c r="D237" s="172" t="s">
        <v>101</v>
      </c>
      <c r="E237" s="172" t="s">
        <v>58</v>
      </c>
      <c r="F237" s="172" t="s">
        <v>1300</v>
      </c>
      <c r="G237" s="172" t="s">
        <v>84</v>
      </c>
      <c r="H237" s="177">
        <v>1</v>
      </c>
      <c r="I237" s="178">
        <v>2443</v>
      </c>
      <c r="J237" s="176">
        <v>46113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1042.8599999999999</v>
      </c>
    </row>
    <row r="238" spans="1:16" ht="19.5" hidden="1" customHeight="1">
      <c r="A238" s="172" t="s">
        <v>3626</v>
      </c>
      <c r="B238" s="176">
        <v>46115</v>
      </c>
      <c r="C238" s="172" t="s">
        <v>100</v>
      </c>
      <c r="D238" s="172" t="s">
        <v>102</v>
      </c>
      <c r="E238" s="172" t="s">
        <v>58</v>
      </c>
      <c r="F238" s="172" t="s">
        <v>1300</v>
      </c>
      <c r="G238" s="172" t="s">
        <v>84</v>
      </c>
      <c r="H238" s="177">
        <v>1</v>
      </c>
      <c r="I238" s="178">
        <v>2443</v>
      </c>
      <c r="J238" s="176">
        <v>46113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10.43</v>
      </c>
    </row>
    <row r="239" spans="1:16" ht="19.5" hidden="1" customHeight="1">
      <c r="A239" s="172" t="s">
        <v>3626</v>
      </c>
      <c r="B239" s="176">
        <v>46115</v>
      </c>
      <c r="C239" s="172" t="s">
        <v>100</v>
      </c>
      <c r="D239" s="172" t="s">
        <v>103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2443</v>
      </c>
      <c r="J239" s="176">
        <v>46113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1389.71</v>
      </c>
    </row>
    <row r="240" spans="1:16" ht="19.5" hidden="1" customHeight="1">
      <c r="A240" s="172" t="s">
        <v>3626</v>
      </c>
      <c r="B240" s="176">
        <v>46115</v>
      </c>
      <c r="C240" s="172" t="s">
        <v>104</v>
      </c>
      <c r="D240" s="172" t="s">
        <v>105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2443</v>
      </c>
      <c r="J240" s="176">
        <v>46113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-1050.49</v>
      </c>
    </row>
    <row r="241" spans="1:16" ht="19.5" hidden="1" customHeight="1">
      <c r="A241" s="172" t="s">
        <v>3626</v>
      </c>
      <c r="B241" s="176">
        <v>46115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2443</v>
      </c>
      <c r="J241" s="176">
        <v>46113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-10.76</v>
      </c>
    </row>
    <row r="242" spans="1:16" ht="19.5" hidden="1" customHeight="1">
      <c r="A242" s="172" t="s">
        <v>3627</v>
      </c>
      <c r="B242" s="176">
        <v>46115</v>
      </c>
      <c r="C242" s="172" t="s">
        <v>92</v>
      </c>
      <c r="D242" s="172" t="s">
        <v>24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2650</v>
      </c>
      <c r="J242" s="176">
        <v>46111</v>
      </c>
      <c r="K242" s="172" t="s">
        <v>93</v>
      </c>
      <c r="L242" s="172" t="s">
        <v>94</v>
      </c>
      <c r="M242" s="179">
        <v>0.43</v>
      </c>
      <c r="N242" s="177"/>
      <c r="O242" s="177">
        <v>33</v>
      </c>
      <c r="P242" s="180">
        <v>-100.52</v>
      </c>
    </row>
    <row r="243" spans="1:16" ht="19.5" hidden="1" customHeight="1">
      <c r="A243" s="172" t="s">
        <v>3627</v>
      </c>
      <c r="B243" s="176">
        <v>46115</v>
      </c>
      <c r="C243" s="172" t="s">
        <v>100</v>
      </c>
      <c r="D243" s="172" t="s">
        <v>101</v>
      </c>
      <c r="E243" s="172" t="s">
        <v>60</v>
      </c>
      <c r="F243" s="172" t="s">
        <v>1426</v>
      </c>
      <c r="G243" s="172" t="s">
        <v>84</v>
      </c>
      <c r="H243" s="177">
        <v>1</v>
      </c>
      <c r="I243" s="178">
        <v>2650</v>
      </c>
      <c r="J243" s="176">
        <v>46111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1034.29</v>
      </c>
    </row>
    <row r="244" spans="1:16" ht="19.5" hidden="1" customHeight="1">
      <c r="A244" s="172" t="s">
        <v>3627</v>
      </c>
      <c r="B244" s="176">
        <v>46115</v>
      </c>
      <c r="C244" s="172" t="s">
        <v>100</v>
      </c>
      <c r="D244" s="172" t="s">
        <v>102</v>
      </c>
      <c r="E244" s="172" t="s">
        <v>60</v>
      </c>
      <c r="F244" s="172" t="s">
        <v>1426</v>
      </c>
      <c r="G244" s="172" t="s">
        <v>84</v>
      </c>
      <c r="H244" s="177">
        <v>1</v>
      </c>
      <c r="I244" s="178">
        <v>2650</v>
      </c>
      <c r="J244" s="176">
        <v>46111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10.34</v>
      </c>
    </row>
    <row r="245" spans="1:16" ht="19.5" hidden="1" customHeight="1">
      <c r="A245" s="172" t="s">
        <v>3627</v>
      </c>
      <c r="B245" s="176">
        <v>46115</v>
      </c>
      <c r="C245" s="172" t="s">
        <v>100</v>
      </c>
      <c r="D245" s="172" t="s">
        <v>103</v>
      </c>
      <c r="E245" s="172" t="s">
        <v>60</v>
      </c>
      <c r="F245" s="172" t="s">
        <v>1426</v>
      </c>
      <c r="G245" s="172" t="s">
        <v>84</v>
      </c>
      <c r="H245" s="177">
        <v>1</v>
      </c>
      <c r="I245" s="178">
        <v>2650</v>
      </c>
      <c r="J245" s="176">
        <v>46111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1605.37</v>
      </c>
    </row>
    <row r="246" spans="1:16" ht="19.5" hidden="1" customHeight="1">
      <c r="A246" s="172" t="s">
        <v>3627</v>
      </c>
      <c r="B246" s="176">
        <v>46115</v>
      </c>
      <c r="C246" s="172" t="s">
        <v>104</v>
      </c>
      <c r="D246" s="172" t="s">
        <v>105</v>
      </c>
      <c r="E246" s="172" t="s">
        <v>60</v>
      </c>
      <c r="F246" s="172" t="s">
        <v>1426</v>
      </c>
      <c r="G246" s="172" t="s">
        <v>84</v>
      </c>
      <c r="H246" s="177">
        <v>1</v>
      </c>
      <c r="I246" s="178">
        <v>2650</v>
      </c>
      <c r="J246" s="176">
        <v>46111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-1139.5</v>
      </c>
    </row>
    <row r="247" spans="1:16" ht="19.5" hidden="1" customHeight="1">
      <c r="A247" s="172" t="s">
        <v>3627</v>
      </c>
      <c r="B247" s="176">
        <v>46115</v>
      </c>
      <c r="C247" s="172" t="s">
        <v>2694</v>
      </c>
      <c r="D247" s="172" t="s">
        <v>95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2650</v>
      </c>
      <c r="J247" s="176">
        <v>46111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-11.21</v>
      </c>
    </row>
    <row r="248" spans="1:16" ht="19.5" hidden="1" customHeight="1">
      <c r="A248" s="172" t="s">
        <v>3626</v>
      </c>
      <c r="B248" s="176">
        <v>46115</v>
      </c>
      <c r="C248" s="172" t="s">
        <v>2694</v>
      </c>
      <c r="D248" s="172" t="s">
        <v>82</v>
      </c>
      <c r="E248" s="172" t="s">
        <v>58</v>
      </c>
      <c r="F248" s="172" t="s">
        <v>1300</v>
      </c>
      <c r="G248" s="172" t="s">
        <v>84</v>
      </c>
      <c r="H248" s="177">
        <v>1</v>
      </c>
      <c r="I248" s="178">
        <v>0</v>
      </c>
      <c r="J248" s="176">
        <v>46113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-19.809999999999999</v>
      </c>
    </row>
    <row r="249" spans="1:16" ht="19.5" hidden="1" customHeight="1">
      <c r="A249" s="172" t="s">
        <v>3628</v>
      </c>
      <c r="B249" s="176">
        <v>46115</v>
      </c>
      <c r="C249" s="172" t="s">
        <v>92</v>
      </c>
      <c r="D249" s="172" t="s">
        <v>24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0</v>
      </c>
      <c r="J249" s="176">
        <v>46106</v>
      </c>
      <c r="K249" s="172" t="s">
        <v>93</v>
      </c>
      <c r="L249" s="172" t="s">
        <v>94</v>
      </c>
      <c r="M249" s="179">
        <v>0</v>
      </c>
      <c r="N249" s="177"/>
      <c r="O249" s="177">
        <v>34</v>
      </c>
      <c r="P249" s="180">
        <v>-46.77</v>
      </c>
    </row>
    <row r="250" spans="1:16" ht="19.5" hidden="1" customHeight="1">
      <c r="A250" s="172" t="s">
        <v>3628</v>
      </c>
      <c r="B250" s="176">
        <v>46115</v>
      </c>
      <c r="C250" s="172" t="s">
        <v>2694</v>
      </c>
      <c r="D250" s="172" t="s">
        <v>95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0</v>
      </c>
      <c r="J250" s="176">
        <v>46106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-7.62</v>
      </c>
    </row>
    <row r="251" spans="1:16" ht="19.5" hidden="1" customHeight="1">
      <c r="A251" s="172" t="s">
        <v>3628</v>
      </c>
      <c r="B251" s="176">
        <v>46115</v>
      </c>
      <c r="C251" s="172" t="s">
        <v>92</v>
      </c>
      <c r="D251" s="172" t="s">
        <v>96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0</v>
      </c>
      <c r="J251" s="176">
        <v>46106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3628</v>
      </c>
      <c r="B252" s="176">
        <v>46115</v>
      </c>
      <c r="C252" s="172" t="s">
        <v>92</v>
      </c>
      <c r="D252" s="172" t="s">
        <v>97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0</v>
      </c>
      <c r="J252" s="176">
        <v>46106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-46.77</v>
      </c>
    </row>
    <row r="253" spans="1:16" ht="19.5" hidden="1" customHeight="1">
      <c r="A253" s="172" t="s">
        <v>3629</v>
      </c>
      <c r="B253" s="176">
        <v>46115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2146</v>
      </c>
      <c r="J253" s="176">
        <v>46109</v>
      </c>
      <c r="K253" s="172" t="s">
        <v>93</v>
      </c>
      <c r="L253" s="172" t="s">
        <v>94</v>
      </c>
      <c r="M253" s="179">
        <v>0.43</v>
      </c>
      <c r="N253" s="177"/>
      <c r="O253" s="177">
        <v>34</v>
      </c>
      <c r="P253" s="180">
        <v>-89.91</v>
      </c>
    </row>
    <row r="254" spans="1:16" ht="19.5" hidden="1" customHeight="1">
      <c r="A254" s="172" t="s">
        <v>3629</v>
      </c>
      <c r="B254" s="176">
        <v>46115</v>
      </c>
      <c r="C254" s="172" t="s">
        <v>100</v>
      </c>
      <c r="D254" s="172" t="s">
        <v>101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2146</v>
      </c>
      <c r="J254" s="176">
        <v>46109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770.69</v>
      </c>
    </row>
    <row r="255" spans="1:16" ht="19.5" hidden="1" customHeight="1">
      <c r="A255" s="172" t="s">
        <v>3629</v>
      </c>
      <c r="B255" s="176">
        <v>46115</v>
      </c>
      <c r="C255" s="172" t="s">
        <v>100</v>
      </c>
      <c r="D255" s="172" t="s">
        <v>102</v>
      </c>
      <c r="E255" s="172" t="s">
        <v>42</v>
      </c>
      <c r="F255" s="172" t="s">
        <v>89</v>
      </c>
      <c r="G255" s="172" t="s">
        <v>84</v>
      </c>
      <c r="H255" s="177">
        <v>1</v>
      </c>
      <c r="I255" s="178">
        <v>2146</v>
      </c>
      <c r="J255" s="176">
        <v>46109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7.71</v>
      </c>
    </row>
    <row r="256" spans="1:16" ht="19.5" hidden="1" customHeight="1">
      <c r="A256" s="172" t="s">
        <v>3629</v>
      </c>
      <c r="B256" s="176">
        <v>46115</v>
      </c>
      <c r="C256" s="172" t="s">
        <v>100</v>
      </c>
      <c r="D256" s="172" t="s">
        <v>103</v>
      </c>
      <c r="E256" s="172" t="s">
        <v>42</v>
      </c>
      <c r="F256" s="172" t="s">
        <v>89</v>
      </c>
      <c r="G256" s="172" t="s">
        <v>84</v>
      </c>
      <c r="H256" s="177">
        <v>1</v>
      </c>
      <c r="I256" s="178">
        <v>2146</v>
      </c>
      <c r="J256" s="176">
        <v>46109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1367.6</v>
      </c>
    </row>
    <row r="257" spans="1:16" ht="19.5" hidden="1" customHeight="1">
      <c r="A257" s="172" t="s">
        <v>3629</v>
      </c>
      <c r="B257" s="176">
        <v>46115</v>
      </c>
      <c r="C257" s="172" t="s">
        <v>104</v>
      </c>
      <c r="D257" s="172" t="s">
        <v>105</v>
      </c>
      <c r="E257" s="172" t="s">
        <v>42</v>
      </c>
      <c r="F257" s="172" t="s">
        <v>89</v>
      </c>
      <c r="G257" s="172" t="s">
        <v>84</v>
      </c>
      <c r="H257" s="177">
        <v>1</v>
      </c>
      <c r="I257" s="178">
        <v>2146</v>
      </c>
      <c r="J257" s="176">
        <v>46109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-922.78</v>
      </c>
    </row>
    <row r="258" spans="1:16" ht="19.5" hidden="1" customHeight="1">
      <c r="A258" s="172" t="s">
        <v>3629</v>
      </c>
      <c r="B258" s="176">
        <v>46115</v>
      </c>
      <c r="C258" s="172" t="s">
        <v>2694</v>
      </c>
      <c r="D258" s="172" t="s">
        <v>95</v>
      </c>
      <c r="E258" s="172" t="s">
        <v>42</v>
      </c>
      <c r="F258" s="172" t="s">
        <v>89</v>
      </c>
      <c r="G258" s="172" t="s">
        <v>84</v>
      </c>
      <c r="H258" s="177">
        <v>1</v>
      </c>
      <c r="I258" s="178">
        <v>2146</v>
      </c>
      <c r="J258" s="176">
        <v>46109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-8.75</v>
      </c>
    </row>
    <row r="259" spans="1:16" ht="19.5" hidden="1" customHeight="1">
      <c r="A259" s="172" t="s">
        <v>3630</v>
      </c>
      <c r="B259" s="176">
        <v>46115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2443</v>
      </c>
      <c r="J259" s="176">
        <v>46113</v>
      </c>
      <c r="K259" s="172" t="s">
        <v>93</v>
      </c>
      <c r="L259" s="172" t="s">
        <v>94</v>
      </c>
      <c r="M259" s="179">
        <v>0.43</v>
      </c>
      <c r="N259" s="177"/>
      <c r="O259" s="177">
        <v>32</v>
      </c>
      <c r="P259" s="180">
        <v>-85.59</v>
      </c>
    </row>
    <row r="260" spans="1:16" ht="19.5" hidden="1" customHeight="1">
      <c r="A260" s="172" t="s">
        <v>3630</v>
      </c>
      <c r="B260" s="176">
        <v>46115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2443</v>
      </c>
      <c r="J260" s="176">
        <v>46113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978.36</v>
      </c>
    </row>
    <row r="261" spans="1:16" ht="19.5" hidden="1" customHeight="1">
      <c r="A261" s="172" t="s">
        <v>3630</v>
      </c>
      <c r="B261" s="176">
        <v>46115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2443</v>
      </c>
      <c r="J261" s="176">
        <v>46113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9.7799999999999994</v>
      </c>
    </row>
    <row r="262" spans="1:16" ht="19.5" hidden="1" customHeight="1">
      <c r="A262" s="172" t="s">
        <v>3630</v>
      </c>
      <c r="B262" s="176">
        <v>46115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2443</v>
      </c>
      <c r="J262" s="176">
        <v>46113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1454.86</v>
      </c>
    </row>
    <row r="263" spans="1:16" ht="19.5" hidden="1" customHeight="1">
      <c r="A263" s="172" t="s">
        <v>3630</v>
      </c>
      <c r="B263" s="176">
        <v>46115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2443</v>
      </c>
      <c r="J263" s="176">
        <v>46113</v>
      </c>
      <c r="K263" s="172" t="s">
        <v>93</v>
      </c>
      <c r="L263" s="172" t="s">
        <v>94</v>
      </c>
      <c r="M263" s="179">
        <v>0.43</v>
      </c>
      <c r="N263" s="177"/>
      <c r="O263" s="177"/>
      <c r="P263" s="180">
        <v>-1050.49</v>
      </c>
    </row>
    <row r="264" spans="1:16" ht="19.5" hidden="1" customHeight="1">
      <c r="A264" s="172" t="s">
        <v>3630</v>
      </c>
      <c r="B264" s="176">
        <v>46115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2443</v>
      </c>
      <c r="J264" s="176">
        <v>46113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-7.53</v>
      </c>
    </row>
    <row r="265" spans="1:16" ht="19.5" hidden="1" customHeight="1">
      <c r="A265" s="172" t="s">
        <v>3631</v>
      </c>
      <c r="B265" s="176">
        <v>46115</v>
      </c>
      <c r="C265" s="172" t="s">
        <v>92</v>
      </c>
      <c r="D265" s="172" t="s">
        <v>24</v>
      </c>
      <c r="E265" s="172" t="s">
        <v>40</v>
      </c>
      <c r="F265" s="172" t="s">
        <v>197</v>
      </c>
      <c r="G265" s="172" t="s">
        <v>84</v>
      </c>
      <c r="H265" s="177">
        <v>1</v>
      </c>
      <c r="I265" s="178">
        <v>2650</v>
      </c>
      <c r="J265" s="176">
        <v>46113</v>
      </c>
      <c r="K265" s="172" t="s">
        <v>93</v>
      </c>
      <c r="L265" s="172" t="s">
        <v>94</v>
      </c>
      <c r="M265" s="179">
        <v>0.43</v>
      </c>
      <c r="N265" s="177"/>
      <c r="O265" s="177">
        <v>32</v>
      </c>
      <c r="P265" s="180">
        <v>-75.45</v>
      </c>
    </row>
    <row r="266" spans="1:16" ht="19.5" hidden="1" customHeight="1">
      <c r="A266" s="172" t="s">
        <v>3631</v>
      </c>
      <c r="B266" s="176">
        <v>46115</v>
      </c>
      <c r="C266" s="172" t="s">
        <v>100</v>
      </c>
      <c r="D266" s="172" t="s">
        <v>101</v>
      </c>
      <c r="E266" s="172" t="s">
        <v>40</v>
      </c>
      <c r="F266" s="172" t="s">
        <v>197</v>
      </c>
      <c r="G266" s="172" t="s">
        <v>84</v>
      </c>
      <c r="H266" s="177">
        <v>1</v>
      </c>
      <c r="I266" s="178">
        <v>2650</v>
      </c>
      <c r="J266" s="176">
        <v>46113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1446.67</v>
      </c>
    </row>
    <row r="267" spans="1:16" ht="19.5" hidden="1" customHeight="1">
      <c r="A267" s="172" t="s">
        <v>3631</v>
      </c>
      <c r="B267" s="176">
        <v>46115</v>
      </c>
      <c r="C267" s="172" t="s">
        <v>100</v>
      </c>
      <c r="D267" s="172" t="s">
        <v>102</v>
      </c>
      <c r="E267" s="172" t="s">
        <v>40</v>
      </c>
      <c r="F267" s="172" t="s">
        <v>197</v>
      </c>
      <c r="G267" s="172" t="s">
        <v>84</v>
      </c>
      <c r="H267" s="177">
        <v>1</v>
      </c>
      <c r="I267" s="178">
        <v>2650</v>
      </c>
      <c r="J267" s="176">
        <v>46113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14.47</v>
      </c>
    </row>
    <row r="268" spans="1:16" ht="19.5" hidden="1" customHeight="1">
      <c r="A268" s="172" t="s">
        <v>3631</v>
      </c>
      <c r="B268" s="176">
        <v>46115</v>
      </c>
      <c r="C268" s="172" t="s">
        <v>100</v>
      </c>
      <c r="D268" s="172" t="s">
        <v>103</v>
      </c>
      <c r="E268" s="172" t="s">
        <v>40</v>
      </c>
      <c r="F268" s="172" t="s">
        <v>197</v>
      </c>
      <c r="G268" s="172" t="s">
        <v>84</v>
      </c>
      <c r="H268" s="177">
        <v>1</v>
      </c>
      <c r="I268" s="178">
        <v>2650</v>
      </c>
      <c r="J268" s="176">
        <v>46113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1188.8599999999999</v>
      </c>
    </row>
    <row r="269" spans="1:16" ht="19.5" hidden="1" customHeight="1">
      <c r="A269" s="172" t="s">
        <v>3631</v>
      </c>
      <c r="B269" s="176">
        <v>46115</v>
      </c>
      <c r="C269" s="172" t="s">
        <v>104</v>
      </c>
      <c r="D269" s="172" t="s">
        <v>105</v>
      </c>
      <c r="E269" s="172" t="s">
        <v>40</v>
      </c>
      <c r="F269" s="172" t="s">
        <v>197</v>
      </c>
      <c r="G269" s="172" t="s">
        <v>84</v>
      </c>
      <c r="H269" s="177">
        <v>1</v>
      </c>
      <c r="I269" s="178">
        <v>2650</v>
      </c>
      <c r="J269" s="176">
        <v>46113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-1139.5</v>
      </c>
    </row>
    <row r="270" spans="1:16" ht="19.5" hidden="1" customHeight="1">
      <c r="A270" s="172" t="s">
        <v>3631</v>
      </c>
      <c r="B270" s="176">
        <v>46115</v>
      </c>
      <c r="C270" s="172" t="s">
        <v>2694</v>
      </c>
      <c r="D270" s="172" t="s">
        <v>95</v>
      </c>
      <c r="E270" s="172" t="s">
        <v>40</v>
      </c>
      <c r="F270" s="172" t="s">
        <v>197</v>
      </c>
      <c r="G270" s="172" t="s">
        <v>84</v>
      </c>
      <c r="H270" s="177">
        <v>1</v>
      </c>
      <c r="I270" s="178">
        <v>2650</v>
      </c>
      <c r="J270" s="176">
        <v>46113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-11.89</v>
      </c>
    </row>
    <row r="271" spans="1:16" ht="19.5" hidden="1" customHeight="1">
      <c r="A271" s="172" t="s">
        <v>3630</v>
      </c>
      <c r="B271" s="176">
        <v>46115</v>
      </c>
      <c r="C271" s="172" t="s">
        <v>2694</v>
      </c>
      <c r="D271" s="172" t="s">
        <v>82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46113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-18.59</v>
      </c>
    </row>
    <row r="272" spans="1:16" ht="19.5" hidden="1" customHeight="1">
      <c r="A272" s="172" t="s">
        <v>3629</v>
      </c>
      <c r="B272" s="176">
        <v>46115</v>
      </c>
      <c r="C272" s="172" t="s">
        <v>2694</v>
      </c>
      <c r="D272" s="172" t="s">
        <v>82</v>
      </c>
      <c r="E272" s="172" t="s">
        <v>42</v>
      </c>
      <c r="F272" s="172" t="s">
        <v>89</v>
      </c>
      <c r="G272" s="172" t="s">
        <v>84</v>
      </c>
      <c r="H272" s="177">
        <v>1</v>
      </c>
      <c r="I272" s="178">
        <v>0</v>
      </c>
      <c r="J272" s="176">
        <v>46109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-14.64</v>
      </c>
    </row>
    <row r="273" spans="1:16" ht="19.5" hidden="1" customHeight="1">
      <c r="A273" s="172" t="s">
        <v>3632</v>
      </c>
      <c r="B273" s="176">
        <v>46115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2600</v>
      </c>
      <c r="J273" s="176">
        <v>46114</v>
      </c>
      <c r="K273" s="172" t="s">
        <v>93</v>
      </c>
      <c r="L273" s="172" t="s">
        <v>94</v>
      </c>
      <c r="M273" s="179">
        <v>0.43</v>
      </c>
      <c r="N273" s="177"/>
      <c r="O273" s="177">
        <v>32</v>
      </c>
      <c r="P273" s="180">
        <v>-86.85</v>
      </c>
    </row>
    <row r="274" spans="1:16" ht="19.5" hidden="1" customHeight="1">
      <c r="A274" s="172" t="s">
        <v>3632</v>
      </c>
      <c r="B274" s="176">
        <v>46115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2600</v>
      </c>
      <c r="J274" s="176">
        <v>46114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906.67</v>
      </c>
    </row>
    <row r="275" spans="1:16" ht="19.5" hidden="1" customHeight="1">
      <c r="A275" s="172" t="s">
        <v>3632</v>
      </c>
      <c r="B275" s="176">
        <v>46115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2600</v>
      </c>
      <c r="J275" s="176">
        <v>46114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9.07</v>
      </c>
    </row>
    <row r="276" spans="1:16" ht="19.5" hidden="1" customHeight="1">
      <c r="A276" s="172" t="s">
        <v>3632</v>
      </c>
      <c r="B276" s="176">
        <v>46115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2600</v>
      </c>
      <c r="J276" s="176">
        <v>46114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1684.26</v>
      </c>
    </row>
    <row r="277" spans="1:16" ht="19.5" hidden="1" customHeight="1">
      <c r="A277" s="172" t="s">
        <v>3632</v>
      </c>
      <c r="B277" s="176">
        <v>46115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2600</v>
      </c>
      <c r="J277" s="176">
        <v>46114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-1118</v>
      </c>
    </row>
    <row r="278" spans="1:16" ht="19.5" hidden="1" customHeight="1">
      <c r="A278" s="172" t="s">
        <v>3632</v>
      </c>
      <c r="B278" s="176">
        <v>46115</v>
      </c>
      <c r="C278" s="172" t="s">
        <v>2694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2600</v>
      </c>
      <c r="J278" s="176">
        <v>46114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-9.02</v>
      </c>
    </row>
    <row r="279" spans="1:16" ht="19.5" hidden="1" customHeight="1">
      <c r="A279" s="172" t="s">
        <v>3632</v>
      </c>
      <c r="B279" s="176">
        <v>46115</v>
      </c>
      <c r="C279" s="172" t="s">
        <v>2694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46114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-17.23</v>
      </c>
    </row>
    <row r="280" spans="1:16" ht="19.5" hidden="1" customHeight="1">
      <c r="A280" s="172" t="s">
        <v>3633</v>
      </c>
      <c r="B280" s="176">
        <v>46115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2750</v>
      </c>
      <c r="J280" s="176">
        <v>46111</v>
      </c>
      <c r="K280" s="172" t="s">
        <v>93</v>
      </c>
      <c r="L280" s="172" t="s">
        <v>94</v>
      </c>
      <c r="M280" s="179">
        <v>0.43</v>
      </c>
      <c r="N280" s="177"/>
      <c r="O280" s="177">
        <v>33</v>
      </c>
      <c r="P280" s="180">
        <v>-89.16</v>
      </c>
    </row>
    <row r="281" spans="1:16" ht="19.5" hidden="1" customHeight="1">
      <c r="A281" s="172" t="s">
        <v>3633</v>
      </c>
      <c r="B281" s="176">
        <v>46115</v>
      </c>
      <c r="C281" s="172" t="s">
        <v>100</v>
      </c>
      <c r="D281" s="172" t="s">
        <v>101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2750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957.18</v>
      </c>
    </row>
    <row r="282" spans="1:16" ht="19.5" hidden="1" customHeight="1">
      <c r="A282" s="172" t="s">
        <v>3633</v>
      </c>
      <c r="B282" s="176">
        <v>46115</v>
      </c>
      <c r="C282" s="172" t="s">
        <v>100</v>
      </c>
      <c r="D282" s="172" t="s">
        <v>102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2750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9.57</v>
      </c>
    </row>
    <row r="283" spans="1:16" ht="19.5" hidden="1" customHeight="1">
      <c r="A283" s="172" t="s">
        <v>3633</v>
      </c>
      <c r="B283" s="176">
        <v>46115</v>
      </c>
      <c r="C283" s="172" t="s">
        <v>100</v>
      </c>
      <c r="D283" s="172" t="s">
        <v>103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2750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1783.25</v>
      </c>
    </row>
    <row r="284" spans="1:16" ht="19.5" hidden="1" customHeight="1">
      <c r="A284" s="172" t="s">
        <v>3633</v>
      </c>
      <c r="B284" s="176">
        <v>46115</v>
      </c>
      <c r="C284" s="172" t="s">
        <v>104</v>
      </c>
      <c r="D284" s="172" t="s">
        <v>105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2750</v>
      </c>
      <c r="J284" s="176">
        <v>46111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-1182.5</v>
      </c>
    </row>
    <row r="285" spans="1:16" ht="19.5" hidden="1" customHeight="1">
      <c r="A285" s="172" t="s">
        <v>3633</v>
      </c>
      <c r="B285" s="176">
        <v>46115</v>
      </c>
      <c r="C285" s="172" t="s">
        <v>2694</v>
      </c>
      <c r="D285" s="172" t="s">
        <v>95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2750</v>
      </c>
      <c r="J285" s="176">
        <v>46111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-5.79</v>
      </c>
    </row>
    <row r="286" spans="1:16" ht="19.5" hidden="1" customHeight="1">
      <c r="A286" s="172" t="s">
        <v>3634</v>
      </c>
      <c r="B286" s="176">
        <v>46115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46103</v>
      </c>
      <c r="K286" s="172" t="s">
        <v>93</v>
      </c>
      <c r="L286" s="172" t="s">
        <v>94</v>
      </c>
      <c r="M286" s="179">
        <v>0</v>
      </c>
      <c r="N286" s="177"/>
      <c r="O286" s="177">
        <v>32</v>
      </c>
      <c r="P286" s="180">
        <v>-56.94</v>
      </c>
    </row>
    <row r="287" spans="1:16" ht="19.5" hidden="1" customHeight="1">
      <c r="A287" s="172" t="s">
        <v>3634</v>
      </c>
      <c r="B287" s="176">
        <v>46115</v>
      </c>
      <c r="C287" s="172" t="s">
        <v>2694</v>
      </c>
      <c r="D287" s="172" t="s">
        <v>95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46103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-9.68</v>
      </c>
    </row>
    <row r="288" spans="1:16" ht="19.5" hidden="1" customHeight="1">
      <c r="A288" s="172" t="s">
        <v>3635</v>
      </c>
      <c r="B288" s="176">
        <v>46115</v>
      </c>
      <c r="C288" s="172" t="s">
        <v>2694</v>
      </c>
      <c r="D288" s="172" t="s">
        <v>82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-20.51</v>
      </c>
    </row>
    <row r="289" spans="1:16" ht="19.5" hidden="1" customHeight="1">
      <c r="A289" s="172" t="s">
        <v>3633</v>
      </c>
      <c r="B289" s="176">
        <v>46115</v>
      </c>
      <c r="C289" s="172" t="s">
        <v>2694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46111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-18.190000000000001</v>
      </c>
    </row>
    <row r="290" spans="1:16" ht="19.5" hidden="1" customHeight="1">
      <c r="A290" s="172" t="s">
        <v>3634</v>
      </c>
      <c r="B290" s="176">
        <v>46115</v>
      </c>
      <c r="C290" s="172" t="s">
        <v>92</v>
      </c>
      <c r="D290" s="172" t="s">
        <v>96</v>
      </c>
      <c r="E290" s="172" t="s">
        <v>57</v>
      </c>
      <c r="F290" s="172" t="s">
        <v>1263</v>
      </c>
      <c r="G290" s="172" t="s">
        <v>84</v>
      </c>
      <c r="H290" s="177">
        <v>1</v>
      </c>
      <c r="I290" s="178">
        <v>0</v>
      </c>
      <c r="J290" s="176">
        <v>46103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3634</v>
      </c>
      <c r="B291" s="176">
        <v>46115</v>
      </c>
      <c r="C291" s="172" t="s">
        <v>92</v>
      </c>
      <c r="D291" s="172" t="s">
        <v>97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46103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-56.94</v>
      </c>
    </row>
    <row r="292" spans="1:16" ht="19.5" hidden="1" customHeight="1">
      <c r="A292" s="172" t="s">
        <v>3634</v>
      </c>
      <c r="B292" s="176">
        <v>46115</v>
      </c>
      <c r="C292" s="172" t="s">
        <v>2694</v>
      </c>
      <c r="D292" s="172" t="s">
        <v>98</v>
      </c>
      <c r="E292" s="172" t="s">
        <v>57</v>
      </c>
      <c r="F292" s="172" t="s">
        <v>1263</v>
      </c>
      <c r="G292" s="172" t="s">
        <v>84</v>
      </c>
      <c r="H292" s="177">
        <v>1</v>
      </c>
      <c r="I292" s="178">
        <v>0</v>
      </c>
      <c r="J292" s="176">
        <v>46103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3636</v>
      </c>
      <c r="B293" s="176">
        <v>46115</v>
      </c>
      <c r="C293" s="172" t="s">
        <v>92</v>
      </c>
      <c r="D293" s="172" t="s">
        <v>96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46111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0</v>
      </c>
    </row>
    <row r="294" spans="1:16" ht="19.5" hidden="1" customHeight="1">
      <c r="A294" s="172" t="s">
        <v>3636</v>
      </c>
      <c r="B294" s="176">
        <v>46115</v>
      </c>
      <c r="C294" s="172" t="s">
        <v>92</v>
      </c>
      <c r="D294" s="172" t="s">
        <v>97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46111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-46.77</v>
      </c>
    </row>
    <row r="295" spans="1:16" ht="19.5" hidden="1" customHeight="1">
      <c r="A295" s="172" t="s">
        <v>3636</v>
      </c>
      <c r="B295" s="176">
        <v>46115</v>
      </c>
      <c r="C295" s="172" t="s">
        <v>2694</v>
      </c>
      <c r="D295" s="172" t="s">
        <v>98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46111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3636</v>
      </c>
      <c r="B296" s="176">
        <v>46115</v>
      </c>
      <c r="C296" s="172" t="s">
        <v>92</v>
      </c>
      <c r="D296" s="172" t="s">
        <v>24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46111</v>
      </c>
      <c r="K296" s="172" t="s">
        <v>93</v>
      </c>
      <c r="L296" s="172" t="s">
        <v>94</v>
      </c>
      <c r="M296" s="179">
        <v>0</v>
      </c>
      <c r="N296" s="177"/>
      <c r="O296" s="177">
        <v>33</v>
      </c>
      <c r="P296" s="180">
        <v>-46.77</v>
      </c>
    </row>
    <row r="297" spans="1:16" ht="19.5" hidden="1" customHeight="1">
      <c r="A297" s="172" t="s">
        <v>3636</v>
      </c>
      <c r="B297" s="176">
        <v>46115</v>
      </c>
      <c r="C297" s="172" t="s">
        <v>2694</v>
      </c>
      <c r="D297" s="172" t="s">
        <v>95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46111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-4.92</v>
      </c>
    </row>
    <row r="298" spans="1:16" ht="19.5" hidden="1" customHeight="1">
      <c r="A298" s="172" t="s">
        <v>3637</v>
      </c>
      <c r="B298" s="176">
        <v>46115</v>
      </c>
      <c r="C298" s="172" t="s">
        <v>92</v>
      </c>
      <c r="D298" s="172" t="s">
        <v>24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2750</v>
      </c>
      <c r="J298" s="176">
        <v>46114</v>
      </c>
      <c r="K298" s="172" t="s">
        <v>93</v>
      </c>
      <c r="L298" s="172" t="s">
        <v>94</v>
      </c>
      <c r="M298" s="179">
        <v>0.43</v>
      </c>
      <c r="N298" s="177"/>
      <c r="O298" s="177">
        <v>32</v>
      </c>
      <c r="P298" s="180">
        <v>-76.25</v>
      </c>
    </row>
    <row r="299" spans="1:16" ht="19.5" hidden="1" customHeight="1">
      <c r="A299" s="172" t="s">
        <v>3637</v>
      </c>
      <c r="B299" s="176">
        <v>46115</v>
      </c>
      <c r="C299" s="172" t="s">
        <v>100</v>
      </c>
      <c r="D299" s="172" t="s">
        <v>101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2750</v>
      </c>
      <c r="J299" s="176">
        <v>46114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1099.9000000000001</v>
      </c>
    </row>
    <row r="300" spans="1:16" ht="19.5" hidden="1" customHeight="1">
      <c r="A300" s="172" t="s">
        <v>3637</v>
      </c>
      <c r="B300" s="176">
        <v>46115</v>
      </c>
      <c r="C300" s="172" t="s">
        <v>100</v>
      </c>
      <c r="D300" s="172" t="s">
        <v>102</v>
      </c>
      <c r="E300" s="172" t="s">
        <v>43</v>
      </c>
      <c r="F300" s="172" t="s">
        <v>125</v>
      </c>
      <c r="G300" s="172" t="s">
        <v>84</v>
      </c>
      <c r="H300" s="177">
        <v>1</v>
      </c>
      <c r="I300" s="178">
        <v>2750</v>
      </c>
      <c r="J300" s="176">
        <v>46114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11</v>
      </c>
    </row>
    <row r="301" spans="1:16" ht="19.5" hidden="1" customHeight="1">
      <c r="A301" s="172" t="s">
        <v>3637</v>
      </c>
      <c r="B301" s="176">
        <v>46115</v>
      </c>
      <c r="C301" s="172" t="s">
        <v>100</v>
      </c>
      <c r="D301" s="172" t="s">
        <v>103</v>
      </c>
      <c r="E301" s="172" t="s">
        <v>43</v>
      </c>
      <c r="F301" s="172" t="s">
        <v>125</v>
      </c>
      <c r="G301" s="172" t="s">
        <v>84</v>
      </c>
      <c r="H301" s="177">
        <v>1</v>
      </c>
      <c r="I301" s="178">
        <v>2750</v>
      </c>
      <c r="J301" s="176">
        <v>46114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1639.1</v>
      </c>
    </row>
    <row r="302" spans="1:16" ht="19.5" hidden="1" customHeight="1">
      <c r="A302" s="172" t="s">
        <v>3637</v>
      </c>
      <c r="B302" s="176">
        <v>46115</v>
      </c>
      <c r="C302" s="172" t="s">
        <v>104</v>
      </c>
      <c r="D302" s="172" t="s">
        <v>105</v>
      </c>
      <c r="E302" s="172" t="s">
        <v>43</v>
      </c>
      <c r="F302" s="172" t="s">
        <v>125</v>
      </c>
      <c r="G302" s="172" t="s">
        <v>84</v>
      </c>
      <c r="H302" s="177">
        <v>1</v>
      </c>
      <c r="I302" s="178">
        <v>2750</v>
      </c>
      <c r="J302" s="176">
        <v>46114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-1182.5</v>
      </c>
    </row>
    <row r="303" spans="1:16" ht="19.5" hidden="1" customHeight="1">
      <c r="A303" s="172" t="s">
        <v>3637</v>
      </c>
      <c r="B303" s="176">
        <v>46115</v>
      </c>
      <c r="C303" s="172" t="s">
        <v>2694</v>
      </c>
      <c r="D303" s="172" t="s">
        <v>95</v>
      </c>
      <c r="E303" s="172" t="s">
        <v>43</v>
      </c>
      <c r="F303" s="172" t="s">
        <v>125</v>
      </c>
      <c r="G303" s="172" t="s">
        <v>84</v>
      </c>
      <c r="H303" s="177">
        <v>1</v>
      </c>
      <c r="I303" s="178">
        <v>2750</v>
      </c>
      <c r="J303" s="176">
        <v>46114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-10.91</v>
      </c>
    </row>
    <row r="304" spans="1:16" ht="19.5" hidden="1" customHeight="1">
      <c r="A304" s="172" t="s">
        <v>3638</v>
      </c>
      <c r="B304" s="176">
        <v>46115</v>
      </c>
      <c r="C304" s="172" t="s">
        <v>2694</v>
      </c>
      <c r="D304" s="172" t="s">
        <v>82</v>
      </c>
      <c r="E304" s="172" t="s">
        <v>60</v>
      </c>
      <c r="F304" s="172" t="s">
        <v>1426</v>
      </c>
      <c r="G304" s="172" t="s">
        <v>84</v>
      </c>
      <c r="H304" s="177">
        <v>1</v>
      </c>
      <c r="I304" s="178">
        <v>0</v>
      </c>
      <c r="J304" s="176">
        <v>46115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-18.02</v>
      </c>
    </row>
    <row r="305" spans="1:16" ht="19.5" hidden="1" customHeight="1">
      <c r="A305" s="172" t="s">
        <v>3637</v>
      </c>
      <c r="B305" s="176">
        <v>46115</v>
      </c>
      <c r="C305" s="172" t="s">
        <v>2694</v>
      </c>
      <c r="D305" s="172" t="s">
        <v>82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46114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-20.9</v>
      </c>
    </row>
    <row r="306" spans="1:16" ht="19.5" hidden="1" customHeight="1">
      <c r="A306" s="172" t="s">
        <v>3639</v>
      </c>
      <c r="B306" s="176">
        <v>46115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46112</v>
      </c>
      <c r="K306" s="172" t="s">
        <v>93</v>
      </c>
      <c r="L306" s="172" t="s">
        <v>94</v>
      </c>
      <c r="M306" s="179">
        <v>0.43</v>
      </c>
      <c r="N306" s="177"/>
      <c r="O306" s="177">
        <v>32</v>
      </c>
      <c r="P306" s="180">
        <v>-76.25</v>
      </c>
    </row>
    <row r="307" spans="1:16" ht="19.5" hidden="1" customHeight="1">
      <c r="A307" s="172" t="s">
        <v>3639</v>
      </c>
      <c r="B307" s="176">
        <v>46115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46112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1360.95</v>
      </c>
    </row>
    <row r="308" spans="1:16" ht="19.5" hidden="1" customHeight="1">
      <c r="A308" s="172" t="s">
        <v>3639</v>
      </c>
      <c r="B308" s="176">
        <v>46115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46112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hidden="1" customHeight="1">
      <c r="A309" s="172" t="s">
        <v>3639</v>
      </c>
      <c r="B309" s="176">
        <v>46115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46112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1389.05</v>
      </c>
    </row>
    <row r="310" spans="1:16" ht="19.5" hidden="1" customHeight="1">
      <c r="A310" s="172" t="s">
        <v>3639</v>
      </c>
      <c r="B310" s="176">
        <v>46115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2750</v>
      </c>
      <c r="J310" s="176">
        <v>46112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-1182.5</v>
      </c>
    </row>
    <row r="311" spans="1:16" ht="19.5" hidden="1" customHeight="1">
      <c r="A311" s="172" t="s">
        <v>3639</v>
      </c>
      <c r="B311" s="176">
        <v>46115</v>
      </c>
      <c r="C311" s="172" t="s">
        <v>2694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2750</v>
      </c>
      <c r="J311" s="176">
        <v>46112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-8.11</v>
      </c>
    </row>
    <row r="312" spans="1:16" ht="19.5" hidden="1" customHeight="1">
      <c r="A312" s="172" t="s">
        <v>3506</v>
      </c>
      <c r="B312" s="176">
        <v>46115</v>
      </c>
      <c r="C312" s="172" t="s">
        <v>92</v>
      </c>
      <c r="D312" s="172" t="s">
        <v>96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3506</v>
      </c>
      <c r="B313" s="176">
        <v>46115</v>
      </c>
      <c r="C313" s="172" t="s">
        <v>92</v>
      </c>
      <c r="D313" s="172" t="s">
        <v>97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-46.77</v>
      </c>
    </row>
    <row r="314" spans="1:16" ht="19.5" hidden="1" customHeight="1">
      <c r="A314" s="172" t="s">
        <v>3506</v>
      </c>
      <c r="B314" s="176">
        <v>46115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46104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3640</v>
      </c>
      <c r="B315" s="176">
        <v>46115</v>
      </c>
      <c r="C315" s="172" t="s">
        <v>2694</v>
      </c>
      <c r="D315" s="172" t="s">
        <v>82</v>
      </c>
      <c r="E315" s="172" t="s">
        <v>58</v>
      </c>
      <c r="F315" s="172" t="s">
        <v>1300</v>
      </c>
      <c r="G315" s="172" t="s">
        <v>84</v>
      </c>
      <c r="H315" s="177">
        <v>1</v>
      </c>
      <c r="I315" s="178">
        <v>0</v>
      </c>
      <c r="J315" s="176">
        <v>46114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-17.57</v>
      </c>
    </row>
    <row r="316" spans="1:16" ht="19.5" hidden="1" customHeight="1">
      <c r="A316" s="172" t="s">
        <v>3641</v>
      </c>
      <c r="B316" s="176">
        <v>46115</v>
      </c>
      <c r="C316" s="172" t="s">
        <v>2694</v>
      </c>
      <c r="D316" s="172" t="s">
        <v>82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46111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-15.82</v>
      </c>
    </row>
    <row r="317" spans="1:16" ht="19.5" hidden="1" customHeight="1">
      <c r="A317" s="172" t="s">
        <v>3642</v>
      </c>
      <c r="B317" s="176">
        <v>46115</v>
      </c>
      <c r="C317" s="172" t="s">
        <v>92</v>
      </c>
      <c r="D317" s="172" t="s">
        <v>24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2750</v>
      </c>
      <c r="J317" s="176">
        <v>46114</v>
      </c>
      <c r="K317" s="172" t="s">
        <v>93</v>
      </c>
      <c r="L317" s="172" t="s">
        <v>94</v>
      </c>
      <c r="M317" s="179">
        <v>0.43</v>
      </c>
      <c r="N317" s="177"/>
      <c r="O317" s="177">
        <v>32</v>
      </c>
      <c r="P317" s="180">
        <v>-76.25</v>
      </c>
    </row>
    <row r="318" spans="1:16" ht="19.5" hidden="1" customHeight="1">
      <c r="A318" s="172" t="s">
        <v>3642</v>
      </c>
      <c r="B318" s="176">
        <v>46115</v>
      </c>
      <c r="C318" s="172" t="s">
        <v>100</v>
      </c>
      <c r="D318" s="172" t="s">
        <v>101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2750</v>
      </c>
      <c r="J318" s="176">
        <v>46114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1033.08</v>
      </c>
    </row>
    <row r="319" spans="1:16" ht="19.5" hidden="1" customHeight="1">
      <c r="A319" s="172" t="s">
        <v>3642</v>
      </c>
      <c r="B319" s="176">
        <v>46115</v>
      </c>
      <c r="C319" s="172" t="s">
        <v>100</v>
      </c>
      <c r="D319" s="172" t="s">
        <v>102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2750</v>
      </c>
      <c r="J319" s="176">
        <v>46114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10.33</v>
      </c>
    </row>
    <row r="320" spans="1:16" ht="19.5" hidden="1" customHeight="1">
      <c r="A320" s="172" t="s">
        <v>3642</v>
      </c>
      <c r="B320" s="176">
        <v>46115</v>
      </c>
      <c r="C320" s="172" t="s">
        <v>100</v>
      </c>
      <c r="D320" s="172" t="s">
        <v>103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2750</v>
      </c>
      <c r="J320" s="176">
        <v>46114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1706.59</v>
      </c>
    </row>
    <row r="321" spans="1:16" ht="19.5" hidden="1" customHeight="1">
      <c r="A321" s="172" t="s">
        <v>3642</v>
      </c>
      <c r="B321" s="176">
        <v>46115</v>
      </c>
      <c r="C321" s="172" t="s">
        <v>104</v>
      </c>
      <c r="D321" s="172" t="s">
        <v>105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2750</v>
      </c>
      <c r="J321" s="176">
        <v>46114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-1182.5</v>
      </c>
    </row>
    <row r="322" spans="1:16" ht="19.5" hidden="1" customHeight="1">
      <c r="A322" s="172" t="s">
        <v>3642</v>
      </c>
      <c r="B322" s="176">
        <v>46115</v>
      </c>
      <c r="C322" s="172" t="s">
        <v>2694</v>
      </c>
      <c r="D322" s="172" t="s">
        <v>95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2750</v>
      </c>
      <c r="J322" s="176">
        <v>46114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-6.54</v>
      </c>
    </row>
    <row r="323" spans="1:16" ht="19.5" hidden="1" customHeight="1">
      <c r="A323" s="172" t="s">
        <v>3640</v>
      </c>
      <c r="B323" s="176">
        <v>46115</v>
      </c>
      <c r="C323" s="172" t="s">
        <v>92</v>
      </c>
      <c r="D323" s="172" t="s">
        <v>24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2443</v>
      </c>
      <c r="J323" s="176">
        <v>46114</v>
      </c>
      <c r="K323" s="172" t="s">
        <v>93</v>
      </c>
      <c r="L323" s="172" t="s">
        <v>94</v>
      </c>
      <c r="M323" s="179">
        <v>0.43</v>
      </c>
      <c r="N323" s="177"/>
      <c r="O323" s="177">
        <v>32</v>
      </c>
      <c r="P323" s="180">
        <v>-85.59</v>
      </c>
    </row>
    <row r="324" spans="1:16" ht="19.5" hidden="1" customHeight="1">
      <c r="A324" s="172" t="s">
        <v>3640</v>
      </c>
      <c r="B324" s="176">
        <v>46115</v>
      </c>
      <c r="C324" s="172" t="s">
        <v>100</v>
      </c>
      <c r="D324" s="172" t="s">
        <v>101</v>
      </c>
      <c r="E324" s="172" t="s">
        <v>58</v>
      </c>
      <c r="F324" s="172" t="s">
        <v>1300</v>
      </c>
      <c r="G324" s="172" t="s">
        <v>84</v>
      </c>
      <c r="H324" s="177">
        <v>1</v>
      </c>
      <c r="I324" s="178">
        <v>2443</v>
      </c>
      <c r="J324" s="176">
        <v>46114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924.83</v>
      </c>
    </row>
    <row r="325" spans="1:16" ht="19.5" hidden="1" customHeight="1">
      <c r="A325" s="172" t="s">
        <v>3640</v>
      </c>
      <c r="B325" s="176">
        <v>46115</v>
      </c>
      <c r="C325" s="172" t="s">
        <v>100</v>
      </c>
      <c r="D325" s="172" t="s">
        <v>102</v>
      </c>
      <c r="E325" s="172" t="s">
        <v>58</v>
      </c>
      <c r="F325" s="172" t="s">
        <v>1300</v>
      </c>
      <c r="G325" s="172" t="s">
        <v>84</v>
      </c>
      <c r="H325" s="177">
        <v>1</v>
      </c>
      <c r="I325" s="178">
        <v>2443</v>
      </c>
      <c r="J325" s="176">
        <v>46114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9.25</v>
      </c>
    </row>
    <row r="326" spans="1:16" ht="19.5" hidden="1" customHeight="1">
      <c r="A326" s="172" t="s">
        <v>3640</v>
      </c>
      <c r="B326" s="176">
        <v>46115</v>
      </c>
      <c r="C326" s="172" t="s">
        <v>100</v>
      </c>
      <c r="D326" s="172" t="s">
        <v>103</v>
      </c>
      <c r="E326" s="172" t="s">
        <v>58</v>
      </c>
      <c r="F326" s="172" t="s">
        <v>1300</v>
      </c>
      <c r="G326" s="172" t="s">
        <v>84</v>
      </c>
      <c r="H326" s="177">
        <v>1</v>
      </c>
      <c r="I326" s="178">
        <v>2443</v>
      </c>
      <c r="J326" s="176">
        <v>46114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1508.92</v>
      </c>
    </row>
    <row r="327" spans="1:16" ht="19.5" hidden="1" customHeight="1">
      <c r="A327" s="172" t="s">
        <v>3640</v>
      </c>
      <c r="B327" s="176">
        <v>46115</v>
      </c>
      <c r="C327" s="172" t="s">
        <v>104</v>
      </c>
      <c r="D327" s="172" t="s">
        <v>105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2443</v>
      </c>
      <c r="J327" s="176">
        <v>46114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-1050.49</v>
      </c>
    </row>
    <row r="328" spans="1:16" ht="19.5" hidden="1" customHeight="1">
      <c r="A328" s="172" t="s">
        <v>3640</v>
      </c>
      <c r="B328" s="176">
        <v>46115</v>
      </c>
      <c r="C328" s="172" t="s">
        <v>2694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2443</v>
      </c>
      <c r="J328" s="176">
        <v>46114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-6.22</v>
      </c>
    </row>
    <row r="329" spans="1:16" ht="19.5" hidden="1" customHeight="1">
      <c r="A329" s="172" t="s">
        <v>3641</v>
      </c>
      <c r="B329" s="176">
        <v>46115</v>
      </c>
      <c r="C329" s="172" t="s">
        <v>92</v>
      </c>
      <c r="D329" s="172" t="s">
        <v>24</v>
      </c>
      <c r="E329" s="172" t="s">
        <v>57</v>
      </c>
      <c r="F329" s="172" t="s">
        <v>1263</v>
      </c>
      <c r="G329" s="172" t="s">
        <v>84</v>
      </c>
      <c r="H329" s="177">
        <v>1</v>
      </c>
      <c r="I329" s="178">
        <v>2393</v>
      </c>
      <c r="J329" s="176">
        <v>46111</v>
      </c>
      <c r="K329" s="172" t="s">
        <v>93</v>
      </c>
      <c r="L329" s="172" t="s">
        <v>94</v>
      </c>
      <c r="M329" s="179">
        <v>0.43</v>
      </c>
      <c r="N329" s="177"/>
      <c r="O329" s="177">
        <v>33</v>
      </c>
      <c r="P329" s="180">
        <v>-97.56</v>
      </c>
    </row>
    <row r="330" spans="1:16" ht="19.5" hidden="1" customHeight="1">
      <c r="A330" s="172" t="s">
        <v>3641</v>
      </c>
      <c r="B330" s="176">
        <v>46115</v>
      </c>
      <c r="C330" s="172" t="s">
        <v>100</v>
      </c>
      <c r="D330" s="172" t="s">
        <v>101</v>
      </c>
      <c r="E330" s="172" t="s">
        <v>57</v>
      </c>
      <c r="F330" s="172" t="s">
        <v>1263</v>
      </c>
      <c r="G330" s="172" t="s">
        <v>84</v>
      </c>
      <c r="H330" s="177">
        <v>1</v>
      </c>
      <c r="I330" s="178">
        <v>2393</v>
      </c>
      <c r="J330" s="176">
        <v>46111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832.7</v>
      </c>
    </row>
    <row r="331" spans="1:16" ht="19.5" hidden="1" customHeight="1">
      <c r="A331" s="172" t="s">
        <v>3641</v>
      </c>
      <c r="B331" s="176">
        <v>46115</v>
      </c>
      <c r="C331" s="172" t="s">
        <v>100</v>
      </c>
      <c r="D331" s="172" t="s">
        <v>102</v>
      </c>
      <c r="E331" s="172" t="s">
        <v>57</v>
      </c>
      <c r="F331" s="172" t="s">
        <v>1263</v>
      </c>
      <c r="G331" s="172" t="s">
        <v>84</v>
      </c>
      <c r="H331" s="177">
        <v>1</v>
      </c>
      <c r="I331" s="178">
        <v>2393</v>
      </c>
      <c r="J331" s="176">
        <v>46111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8.33</v>
      </c>
    </row>
    <row r="332" spans="1:16" ht="19.5" hidden="1" customHeight="1">
      <c r="A332" s="172" t="s">
        <v>3641</v>
      </c>
      <c r="B332" s="176">
        <v>46115</v>
      </c>
      <c r="C332" s="172" t="s">
        <v>100</v>
      </c>
      <c r="D332" s="172" t="s">
        <v>103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2393</v>
      </c>
      <c r="J332" s="176">
        <v>46111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1551.97</v>
      </c>
    </row>
    <row r="333" spans="1:16" ht="19.5" hidden="1" customHeight="1">
      <c r="A333" s="172" t="s">
        <v>3641</v>
      </c>
      <c r="B333" s="176">
        <v>46115</v>
      </c>
      <c r="C333" s="172" t="s">
        <v>104</v>
      </c>
      <c r="D333" s="172" t="s">
        <v>105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2393</v>
      </c>
      <c r="J333" s="176">
        <v>46111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-1028.99</v>
      </c>
    </row>
    <row r="334" spans="1:16" ht="19.5" hidden="1" customHeight="1">
      <c r="A334" s="172" t="s">
        <v>3641</v>
      </c>
      <c r="B334" s="176">
        <v>46115</v>
      </c>
      <c r="C334" s="172" t="s">
        <v>2694</v>
      </c>
      <c r="D334" s="172" t="s">
        <v>95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2393</v>
      </c>
      <c r="J334" s="176">
        <v>46111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-7.51</v>
      </c>
    </row>
    <row r="335" spans="1:16" ht="19.5" hidden="1" customHeight="1">
      <c r="A335" s="172" t="s">
        <v>3506</v>
      </c>
      <c r="B335" s="176">
        <v>46115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0</v>
      </c>
      <c r="J335" s="176">
        <v>46104</v>
      </c>
      <c r="K335" s="172" t="s">
        <v>93</v>
      </c>
      <c r="L335" s="172" t="s">
        <v>94</v>
      </c>
      <c r="M335" s="179">
        <v>0</v>
      </c>
      <c r="N335" s="177"/>
      <c r="O335" s="177">
        <v>33</v>
      </c>
      <c r="P335" s="180">
        <v>-46.77</v>
      </c>
    </row>
    <row r="336" spans="1:16" ht="19.5" hidden="1" customHeight="1">
      <c r="A336" s="172" t="s">
        <v>3506</v>
      </c>
      <c r="B336" s="176">
        <v>46115</v>
      </c>
      <c r="C336" s="172" t="s">
        <v>2694</v>
      </c>
      <c r="D336" s="172" t="s">
        <v>95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46104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-5.68</v>
      </c>
    </row>
    <row r="337" spans="1:16" ht="19.5" hidden="1" customHeight="1">
      <c r="A337" s="172" t="s">
        <v>3643</v>
      </c>
      <c r="B337" s="176">
        <v>46115</v>
      </c>
      <c r="C337" s="172" t="s">
        <v>92</v>
      </c>
      <c r="D337" s="172" t="s">
        <v>96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0</v>
      </c>
      <c r="J337" s="176">
        <v>46111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0</v>
      </c>
    </row>
    <row r="338" spans="1:16" ht="19.5" hidden="1" customHeight="1">
      <c r="A338" s="172" t="s">
        <v>3643</v>
      </c>
      <c r="B338" s="176">
        <v>46115</v>
      </c>
      <c r="C338" s="172" t="s">
        <v>92</v>
      </c>
      <c r="D338" s="172" t="s">
        <v>97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0</v>
      </c>
      <c r="J338" s="176">
        <v>46111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-46.77</v>
      </c>
    </row>
    <row r="339" spans="1:16" ht="19.5" hidden="1" customHeight="1">
      <c r="A339" s="172" t="s">
        <v>3643</v>
      </c>
      <c r="B339" s="176">
        <v>46115</v>
      </c>
      <c r="C339" s="172" t="s">
        <v>2694</v>
      </c>
      <c r="D339" s="172" t="s">
        <v>98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0</v>
      </c>
      <c r="J339" s="176">
        <v>46111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-15</v>
      </c>
    </row>
    <row r="340" spans="1:16" ht="19.5" hidden="1" customHeight="1">
      <c r="A340" s="172" t="s">
        <v>3643</v>
      </c>
      <c r="B340" s="176">
        <v>46115</v>
      </c>
      <c r="C340" s="172" t="s">
        <v>92</v>
      </c>
      <c r="D340" s="172" t="s">
        <v>24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46111</v>
      </c>
      <c r="K340" s="172" t="s">
        <v>93</v>
      </c>
      <c r="L340" s="172" t="s">
        <v>94</v>
      </c>
      <c r="M340" s="179">
        <v>0</v>
      </c>
      <c r="N340" s="177"/>
      <c r="O340" s="177">
        <v>33</v>
      </c>
      <c r="P340" s="180">
        <v>-46.77</v>
      </c>
    </row>
    <row r="341" spans="1:16" ht="19.5" hidden="1" customHeight="1">
      <c r="A341" s="172" t="s">
        <v>3643</v>
      </c>
      <c r="B341" s="176">
        <v>46115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0</v>
      </c>
      <c r="J341" s="176">
        <v>46111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-5.54</v>
      </c>
    </row>
    <row r="342" spans="1:16" ht="19.5" hidden="1" customHeight="1">
      <c r="A342" s="172" t="s">
        <v>3644</v>
      </c>
      <c r="B342" s="176">
        <v>46115</v>
      </c>
      <c r="C342" s="172" t="s">
        <v>92</v>
      </c>
      <c r="D342" s="172" t="s">
        <v>24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2600</v>
      </c>
      <c r="J342" s="176">
        <v>46113</v>
      </c>
      <c r="K342" s="172" t="s">
        <v>93</v>
      </c>
      <c r="L342" s="172" t="s">
        <v>94</v>
      </c>
      <c r="M342" s="179">
        <v>0.43</v>
      </c>
      <c r="N342" s="177"/>
      <c r="O342" s="177">
        <v>32</v>
      </c>
      <c r="P342" s="180">
        <v>-86.85</v>
      </c>
    </row>
    <row r="343" spans="1:16" ht="19.5" hidden="1" customHeight="1">
      <c r="A343" s="172" t="s">
        <v>3644</v>
      </c>
      <c r="B343" s="176">
        <v>46115</v>
      </c>
      <c r="C343" s="172" t="s">
        <v>100</v>
      </c>
      <c r="D343" s="172" t="s">
        <v>101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2600</v>
      </c>
      <c r="J343" s="176">
        <v>46113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897.27</v>
      </c>
    </row>
    <row r="344" spans="1:16" ht="19.5" hidden="1" customHeight="1">
      <c r="A344" s="172" t="s">
        <v>3644</v>
      </c>
      <c r="B344" s="176">
        <v>46115</v>
      </c>
      <c r="C344" s="172" t="s">
        <v>100</v>
      </c>
      <c r="D344" s="172" t="s">
        <v>102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2600</v>
      </c>
      <c r="J344" s="176">
        <v>46113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8.9700000000000006</v>
      </c>
    </row>
    <row r="345" spans="1:16" ht="19.5" hidden="1" customHeight="1">
      <c r="A345" s="172" t="s">
        <v>3644</v>
      </c>
      <c r="B345" s="176">
        <v>46115</v>
      </c>
      <c r="C345" s="172" t="s">
        <v>100</v>
      </c>
      <c r="D345" s="172" t="s">
        <v>103</v>
      </c>
      <c r="E345" s="172" t="s">
        <v>52</v>
      </c>
      <c r="F345" s="172" t="s">
        <v>90</v>
      </c>
      <c r="G345" s="172" t="s">
        <v>84</v>
      </c>
      <c r="H345" s="177">
        <v>1</v>
      </c>
      <c r="I345" s="178">
        <v>2600</v>
      </c>
      <c r="J345" s="176">
        <v>46113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1693.76</v>
      </c>
    </row>
    <row r="346" spans="1:16" ht="19.5" hidden="1" customHeight="1">
      <c r="A346" s="172" t="s">
        <v>3644</v>
      </c>
      <c r="B346" s="176">
        <v>46115</v>
      </c>
      <c r="C346" s="172" t="s">
        <v>104</v>
      </c>
      <c r="D346" s="172" t="s">
        <v>105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2600</v>
      </c>
      <c r="J346" s="176">
        <v>46113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-1118</v>
      </c>
    </row>
    <row r="347" spans="1:16" ht="19.5" hidden="1" customHeight="1">
      <c r="A347" s="172" t="s">
        <v>3644</v>
      </c>
      <c r="B347" s="176">
        <v>46115</v>
      </c>
      <c r="C347" s="172" t="s">
        <v>2694</v>
      </c>
      <c r="D347" s="172" t="s">
        <v>95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2600</v>
      </c>
      <c r="J347" s="176">
        <v>46113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-7.19</v>
      </c>
    </row>
    <row r="348" spans="1:16" ht="19.5" hidden="1" customHeight="1">
      <c r="A348" s="172" t="s">
        <v>3644</v>
      </c>
      <c r="B348" s="176">
        <v>46115</v>
      </c>
      <c r="C348" s="172" t="s">
        <v>2694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46113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-17.05</v>
      </c>
    </row>
    <row r="349" spans="1:16" ht="19.5" hidden="1" customHeight="1">
      <c r="A349" s="172" t="s">
        <v>3645</v>
      </c>
      <c r="B349" s="176">
        <v>46115</v>
      </c>
      <c r="C349" s="172" t="s">
        <v>92</v>
      </c>
      <c r="D349" s="172" t="s">
        <v>24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2443</v>
      </c>
      <c r="J349" s="176">
        <v>46113</v>
      </c>
      <c r="K349" s="172" t="s">
        <v>93</v>
      </c>
      <c r="L349" s="172" t="s">
        <v>94</v>
      </c>
      <c r="M349" s="179">
        <v>0.43</v>
      </c>
      <c r="N349" s="177"/>
      <c r="O349" s="177">
        <v>32</v>
      </c>
      <c r="P349" s="180">
        <v>-85.59</v>
      </c>
    </row>
    <row r="350" spans="1:16" ht="19.5" hidden="1" customHeight="1">
      <c r="A350" s="172" t="s">
        <v>3645</v>
      </c>
      <c r="B350" s="176">
        <v>46115</v>
      </c>
      <c r="C350" s="172" t="s">
        <v>100</v>
      </c>
      <c r="D350" s="172" t="s">
        <v>101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2443</v>
      </c>
      <c r="J350" s="176">
        <v>46113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990.48</v>
      </c>
    </row>
    <row r="351" spans="1:16" ht="19.5" hidden="1" customHeight="1">
      <c r="A351" s="172" t="s">
        <v>3645</v>
      </c>
      <c r="B351" s="176">
        <v>46115</v>
      </c>
      <c r="C351" s="172" t="s">
        <v>100</v>
      </c>
      <c r="D351" s="172" t="s">
        <v>102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2443</v>
      </c>
      <c r="J351" s="176">
        <v>46113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9.9</v>
      </c>
    </row>
    <row r="352" spans="1:16" ht="19.5" hidden="1" customHeight="1">
      <c r="A352" s="172" t="s">
        <v>3645</v>
      </c>
      <c r="B352" s="176">
        <v>46115</v>
      </c>
      <c r="C352" s="172" t="s">
        <v>100</v>
      </c>
      <c r="D352" s="172" t="s">
        <v>103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2443</v>
      </c>
      <c r="J352" s="176">
        <v>46113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1442.62</v>
      </c>
    </row>
    <row r="353" spans="1:16" ht="19.5" hidden="1" customHeight="1">
      <c r="A353" s="172" t="s">
        <v>3645</v>
      </c>
      <c r="B353" s="176">
        <v>46115</v>
      </c>
      <c r="C353" s="172" t="s">
        <v>104</v>
      </c>
      <c r="D353" s="172" t="s">
        <v>105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2443</v>
      </c>
      <c r="J353" s="176">
        <v>46113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-1050.49</v>
      </c>
    </row>
    <row r="354" spans="1:16" ht="19.5" hidden="1" customHeight="1">
      <c r="A354" s="172" t="s">
        <v>3645</v>
      </c>
      <c r="B354" s="176">
        <v>46115</v>
      </c>
      <c r="C354" s="172" t="s">
        <v>2694</v>
      </c>
      <c r="D354" s="172" t="s">
        <v>95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46113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-5.1100000000000003</v>
      </c>
    </row>
    <row r="355" spans="1:16" ht="19.5" hidden="1" customHeight="1">
      <c r="A355" s="172" t="s">
        <v>3645</v>
      </c>
      <c r="B355" s="176">
        <v>46115</v>
      </c>
      <c r="C355" s="172" t="s">
        <v>2694</v>
      </c>
      <c r="D355" s="172" t="s">
        <v>82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0</v>
      </c>
      <c r="J355" s="176">
        <v>46113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-18.82</v>
      </c>
    </row>
    <row r="356" spans="1:16" ht="19.5" hidden="1" customHeight="1">
      <c r="A356" s="172" t="s">
        <v>3646</v>
      </c>
      <c r="B356" s="176">
        <v>46115</v>
      </c>
      <c r="C356" s="172" t="s">
        <v>2694</v>
      </c>
      <c r="D356" s="172" t="s">
        <v>82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0</v>
      </c>
      <c r="J356" s="176">
        <v>46115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-17.22</v>
      </c>
    </row>
    <row r="357" spans="1:16" ht="19.5" hidden="1" customHeight="1">
      <c r="A357" s="172" t="s">
        <v>3521</v>
      </c>
      <c r="B357" s="176">
        <v>46115</v>
      </c>
      <c r="C357" s="172" t="s">
        <v>92</v>
      </c>
      <c r="D357" s="172" t="s">
        <v>24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46104</v>
      </c>
      <c r="K357" s="172" t="s">
        <v>93</v>
      </c>
      <c r="L357" s="172" t="s">
        <v>94</v>
      </c>
      <c r="M357" s="179">
        <v>0</v>
      </c>
      <c r="N357" s="177"/>
      <c r="O357" s="177">
        <v>33</v>
      </c>
      <c r="P357" s="180">
        <v>-46.77</v>
      </c>
    </row>
    <row r="358" spans="1:16" ht="19.5" hidden="1" customHeight="1">
      <c r="A358" s="172" t="s">
        <v>3521</v>
      </c>
      <c r="B358" s="176">
        <v>46115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46104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-7.52</v>
      </c>
    </row>
    <row r="359" spans="1:16" ht="19.5" hidden="1" customHeight="1">
      <c r="A359" s="172" t="s">
        <v>3521</v>
      </c>
      <c r="B359" s="176">
        <v>46115</v>
      </c>
      <c r="C359" s="172" t="s">
        <v>92</v>
      </c>
      <c r="D359" s="172" t="s">
        <v>96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46104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hidden="1" customHeight="1">
      <c r="A360" s="172" t="s">
        <v>3521</v>
      </c>
      <c r="B360" s="176">
        <v>46115</v>
      </c>
      <c r="C360" s="172" t="s">
        <v>92</v>
      </c>
      <c r="D360" s="172" t="s">
        <v>97</v>
      </c>
      <c r="E360" s="172" t="s">
        <v>41</v>
      </c>
      <c r="F360" s="172" t="s">
        <v>83</v>
      </c>
      <c r="G360" s="172" t="s">
        <v>84</v>
      </c>
      <c r="H360" s="177">
        <v>1</v>
      </c>
      <c r="I360" s="178">
        <v>0</v>
      </c>
      <c r="J360" s="176">
        <v>46104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-46.77</v>
      </c>
    </row>
    <row r="361" spans="1:16" ht="19.5" hidden="1" customHeight="1">
      <c r="A361" s="172" t="s">
        <v>3521</v>
      </c>
      <c r="B361" s="176">
        <v>46115</v>
      </c>
      <c r="C361" s="172" t="s">
        <v>2694</v>
      </c>
      <c r="D361" s="172" t="s">
        <v>98</v>
      </c>
      <c r="E361" s="172" t="s">
        <v>41</v>
      </c>
      <c r="F361" s="172" t="s">
        <v>83</v>
      </c>
      <c r="G361" s="172" t="s">
        <v>84</v>
      </c>
      <c r="H361" s="177">
        <v>1</v>
      </c>
      <c r="I361" s="178">
        <v>0</v>
      </c>
      <c r="J361" s="176">
        <v>46104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</v>
      </c>
    </row>
    <row r="362" spans="1:16" ht="19.5" hidden="1" customHeight="1">
      <c r="A362" s="172" t="s">
        <v>3647</v>
      </c>
      <c r="B362" s="176">
        <v>46115</v>
      </c>
      <c r="C362" s="172" t="s">
        <v>92</v>
      </c>
      <c r="D362" s="172" t="s">
        <v>24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0</v>
      </c>
      <c r="J362" s="176">
        <v>46111</v>
      </c>
      <c r="K362" s="172" t="s">
        <v>93</v>
      </c>
      <c r="L362" s="172" t="s">
        <v>94</v>
      </c>
      <c r="M362" s="179">
        <v>0</v>
      </c>
      <c r="N362" s="177"/>
      <c r="O362" s="177">
        <v>33</v>
      </c>
      <c r="P362" s="180">
        <v>-46.77</v>
      </c>
    </row>
    <row r="363" spans="1:16" ht="19.5" hidden="1" customHeight="1">
      <c r="A363" s="172" t="s">
        <v>3647</v>
      </c>
      <c r="B363" s="176">
        <v>46115</v>
      </c>
      <c r="C363" s="172" t="s">
        <v>2694</v>
      </c>
      <c r="D363" s="172" t="s">
        <v>95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0</v>
      </c>
      <c r="J363" s="176">
        <v>46111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-8.9700000000000006</v>
      </c>
    </row>
    <row r="364" spans="1:16" ht="19.5" hidden="1" customHeight="1">
      <c r="A364" s="172" t="s">
        <v>3647</v>
      </c>
      <c r="B364" s="176">
        <v>46115</v>
      </c>
      <c r="C364" s="172" t="s">
        <v>92</v>
      </c>
      <c r="D364" s="172" t="s">
        <v>96</v>
      </c>
      <c r="E364" s="172" t="s">
        <v>39</v>
      </c>
      <c r="F364" s="172" t="s">
        <v>117</v>
      </c>
      <c r="G364" s="172" t="s">
        <v>84</v>
      </c>
      <c r="H364" s="177">
        <v>1</v>
      </c>
      <c r="I364" s="178">
        <v>0</v>
      </c>
      <c r="J364" s="176">
        <v>46111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0</v>
      </c>
    </row>
    <row r="365" spans="1:16" ht="19.5" hidden="1" customHeight="1">
      <c r="A365" s="172" t="s">
        <v>3647</v>
      </c>
      <c r="B365" s="176">
        <v>46115</v>
      </c>
      <c r="C365" s="172" t="s">
        <v>92</v>
      </c>
      <c r="D365" s="172" t="s">
        <v>97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46111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-46.77</v>
      </c>
    </row>
    <row r="366" spans="1:16" ht="19.5" hidden="1" customHeight="1">
      <c r="A366" s="172" t="s">
        <v>3647</v>
      </c>
      <c r="B366" s="176">
        <v>46115</v>
      </c>
      <c r="C366" s="172" t="s">
        <v>2694</v>
      </c>
      <c r="D366" s="172" t="s">
        <v>98</v>
      </c>
      <c r="E366" s="172" t="s">
        <v>39</v>
      </c>
      <c r="F366" s="172" t="s">
        <v>117</v>
      </c>
      <c r="G366" s="172" t="s">
        <v>84</v>
      </c>
      <c r="H366" s="177">
        <v>1</v>
      </c>
      <c r="I366" s="178">
        <v>0</v>
      </c>
      <c r="J366" s="176">
        <v>46111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-15</v>
      </c>
    </row>
    <row r="367" spans="1:16" ht="19.5" hidden="1" customHeight="1">
      <c r="A367" s="172" t="s">
        <v>3246</v>
      </c>
      <c r="B367" s="176">
        <v>46115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46115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-287.8</v>
      </c>
    </row>
    <row r="368" spans="1:16" ht="19.5" hidden="1" customHeight="1">
      <c r="A368" s="172" t="s">
        <v>142</v>
      </c>
      <c r="B368" s="176">
        <v>46115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46115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-2254.5</v>
      </c>
    </row>
    <row r="369" spans="1:16" ht="19.5" hidden="1" customHeight="1">
      <c r="A369" s="172" t="s">
        <v>3251</v>
      </c>
      <c r="B369" s="176">
        <v>46115</v>
      </c>
      <c r="C369" s="172" t="s">
        <v>109</v>
      </c>
      <c r="D369" s="172" t="s">
        <v>139</v>
      </c>
      <c r="E369" s="172" t="s">
        <v>85</v>
      </c>
      <c r="F369" s="172" t="s">
        <v>85</v>
      </c>
      <c r="G369" s="172" t="s">
        <v>85</v>
      </c>
      <c r="H369" s="177">
        <v>0</v>
      </c>
      <c r="I369" s="178">
        <v>0</v>
      </c>
      <c r="J369" s="176">
        <v>46115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-438.85</v>
      </c>
    </row>
    <row r="370" spans="1:16" ht="19.5" hidden="1" customHeight="1">
      <c r="A370" s="172" t="s">
        <v>3432</v>
      </c>
      <c r="B370" s="176">
        <v>46115</v>
      </c>
      <c r="C370" s="172" t="s">
        <v>109</v>
      </c>
      <c r="D370" s="172" t="s">
        <v>139</v>
      </c>
      <c r="E370" s="172" t="s">
        <v>85</v>
      </c>
      <c r="F370" s="172" t="s">
        <v>85</v>
      </c>
      <c r="G370" s="172" t="s">
        <v>85</v>
      </c>
      <c r="H370" s="177">
        <v>0</v>
      </c>
      <c r="I370" s="178">
        <v>0</v>
      </c>
      <c r="J370" s="176">
        <v>46115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-456.92</v>
      </c>
    </row>
    <row r="371" spans="1:16" ht="19.5" hidden="1" customHeight="1">
      <c r="A371" s="172" t="s">
        <v>3433</v>
      </c>
      <c r="B371" s="176">
        <v>46115</v>
      </c>
      <c r="C371" s="172" t="s">
        <v>109</v>
      </c>
      <c r="D371" s="172" t="s">
        <v>139</v>
      </c>
      <c r="E371" s="172" t="s">
        <v>85</v>
      </c>
      <c r="F371" s="172" t="s">
        <v>85</v>
      </c>
      <c r="G371" s="172" t="s">
        <v>85</v>
      </c>
      <c r="H371" s="177">
        <v>0</v>
      </c>
      <c r="I371" s="178">
        <v>0</v>
      </c>
      <c r="J371" s="176">
        <v>46115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-282.14999999999998</v>
      </c>
    </row>
    <row r="372" spans="1:16" ht="19.5" hidden="1" customHeight="1">
      <c r="A372" s="172" t="s">
        <v>3434</v>
      </c>
      <c r="B372" s="176">
        <v>46115</v>
      </c>
      <c r="C372" s="172" t="s">
        <v>109</v>
      </c>
      <c r="D372" s="172" t="s">
        <v>139</v>
      </c>
      <c r="E372" s="172" t="s">
        <v>85</v>
      </c>
      <c r="F372" s="172" t="s">
        <v>85</v>
      </c>
      <c r="G372" s="172" t="s">
        <v>85</v>
      </c>
      <c r="H372" s="177">
        <v>0</v>
      </c>
      <c r="I372" s="178">
        <v>0</v>
      </c>
      <c r="J372" s="176">
        <v>46115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-290.83999999999997</v>
      </c>
    </row>
    <row r="373" spans="1:16" ht="19.5" hidden="1" customHeight="1">
      <c r="A373" s="172" t="s">
        <v>3013</v>
      </c>
      <c r="B373" s="176">
        <v>46115</v>
      </c>
      <c r="C373" s="172" t="s">
        <v>109</v>
      </c>
      <c r="D373" s="172" t="s">
        <v>143</v>
      </c>
      <c r="E373" s="172" t="s">
        <v>85</v>
      </c>
      <c r="F373" s="172" t="s">
        <v>85</v>
      </c>
      <c r="G373" s="172" t="s">
        <v>85</v>
      </c>
      <c r="H373" s="177">
        <v>0</v>
      </c>
      <c r="I373" s="178">
        <v>0</v>
      </c>
      <c r="J373" s="176">
        <v>46115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-533.5</v>
      </c>
    </row>
    <row r="374" spans="1:16" ht="19.5" hidden="1" customHeight="1">
      <c r="A374" s="172" t="s">
        <v>3407</v>
      </c>
      <c r="B374" s="176">
        <v>46115</v>
      </c>
      <c r="C374" s="172" t="s">
        <v>109</v>
      </c>
      <c r="D374" s="172" t="s">
        <v>139</v>
      </c>
      <c r="E374" s="172" t="s">
        <v>85</v>
      </c>
      <c r="F374" s="172" t="s">
        <v>85</v>
      </c>
      <c r="G374" s="172" t="s">
        <v>85</v>
      </c>
      <c r="H374" s="177">
        <v>0</v>
      </c>
      <c r="I374" s="178">
        <v>0</v>
      </c>
      <c r="J374" s="176">
        <v>46115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-286.89</v>
      </c>
    </row>
    <row r="375" spans="1:16" ht="19.5" hidden="1" customHeight="1">
      <c r="A375" s="172" t="s">
        <v>3406</v>
      </c>
      <c r="B375" s="176">
        <v>46115</v>
      </c>
      <c r="C375" s="172" t="s">
        <v>109</v>
      </c>
      <c r="D375" s="172" t="s">
        <v>139</v>
      </c>
      <c r="E375" s="172" t="s">
        <v>85</v>
      </c>
      <c r="F375" s="172" t="s">
        <v>85</v>
      </c>
      <c r="G375" s="172" t="s">
        <v>85</v>
      </c>
      <c r="H375" s="177">
        <v>0</v>
      </c>
      <c r="I375" s="178">
        <v>0</v>
      </c>
      <c r="J375" s="176">
        <v>46115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-369</v>
      </c>
    </row>
    <row r="376" spans="1:16" ht="19.5" hidden="1" customHeight="1">
      <c r="A376" s="172" t="s">
        <v>3408</v>
      </c>
      <c r="B376" s="176">
        <v>46115</v>
      </c>
      <c r="C376" s="172" t="s">
        <v>109</v>
      </c>
      <c r="D376" s="172" t="s">
        <v>139</v>
      </c>
      <c r="E376" s="172" t="s">
        <v>85</v>
      </c>
      <c r="F376" s="172" t="s">
        <v>85</v>
      </c>
      <c r="G376" s="172" t="s">
        <v>85</v>
      </c>
      <c r="H376" s="177">
        <v>0</v>
      </c>
      <c r="I376" s="178">
        <v>0</v>
      </c>
      <c r="J376" s="176">
        <v>46115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-414.03</v>
      </c>
    </row>
    <row r="377" spans="1:16" ht="19.5" hidden="1" customHeight="1">
      <c r="A377" s="172" t="s">
        <v>3648</v>
      </c>
      <c r="B377" s="176">
        <v>46116</v>
      </c>
      <c r="C377" s="172" t="s">
        <v>92</v>
      </c>
      <c r="D377" s="172" t="s">
        <v>96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0</v>
      </c>
      <c r="J377" s="176">
        <v>46111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0</v>
      </c>
    </row>
    <row r="378" spans="1:16" ht="19.5" hidden="1" customHeight="1">
      <c r="A378" s="172" t="s">
        <v>3648</v>
      </c>
      <c r="B378" s="176">
        <v>46116</v>
      </c>
      <c r="C378" s="172" t="s">
        <v>92</v>
      </c>
      <c r="D378" s="172" t="s">
        <v>97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0</v>
      </c>
      <c r="J378" s="176">
        <v>46111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-46.77</v>
      </c>
    </row>
    <row r="379" spans="1:16" ht="19.5" hidden="1" customHeight="1">
      <c r="A379" s="172" t="s">
        <v>3648</v>
      </c>
      <c r="B379" s="176">
        <v>46116</v>
      </c>
      <c r="C379" s="172" t="s">
        <v>2694</v>
      </c>
      <c r="D379" s="172" t="s">
        <v>98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46111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-15</v>
      </c>
    </row>
    <row r="380" spans="1:16" ht="19.5" hidden="1" customHeight="1">
      <c r="A380" s="172" t="s">
        <v>3648</v>
      </c>
      <c r="B380" s="176">
        <v>46116</v>
      </c>
      <c r="C380" s="172" t="s">
        <v>92</v>
      </c>
      <c r="D380" s="172" t="s">
        <v>24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46111</v>
      </c>
      <c r="K380" s="172" t="s">
        <v>93</v>
      </c>
      <c r="L380" s="172" t="s">
        <v>94</v>
      </c>
      <c r="M380" s="179">
        <v>0</v>
      </c>
      <c r="N380" s="177"/>
      <c r="O380" s="177">
        <v>33</v>
      </c>
      <c r="P380" s="180">
        <v>-46.77</v>
      </c>
    </row>
    <row r="381" spans="1:16" ht="19.5" hidden="1" customHeight="1">
      <c r="A381" s="172" t="s">
        <v>3648</v>
      </c>
      <c r="B381" s="176">
        <v>46116</v>
      </c>
      <c r="C381" s="172" t="s">
        <v>2694</v>
      </c>
      <c r="D381" s="172" t="s">
        <v>95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46111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-10.050000000000001</v>
      </c>
    </row>
    <row r="382" spans="1:16" ht="19.5" hidden="1" customHeight="1">
      <c r="A382" s="172" t="s">
        <v>3649</v>
      </c>
      <c r="B382" s="176">
        <v>46116</v>
      </c>
      <c r="C382" s="172" t="s">
        <v>92</v>
      </c>
      <c r="D382" s="172" t="s">
        <v>24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2650</v>
      </c>
      <c r="J382" s="176">
        <v>46114</v>
      </c>
      <c r="K382" s="172" t="s">
        <v>93</v>
      </c>
      <c r="L382" s="172" t="s">
        <v>94</v>
      </c>
      <c r="M382" s="179">
        <v>0.43</v>
      </c>
      <c r="N382" s="177"/>
      <c r="O382" s="177">
        <v>32</v>
      </c>
      <c r="P382" s="180">
        <v>-75.45</v>
      </c>
    </row>
    <row r="383" spans="1:16" ht="19.5" hidden="1" customHeight="1">
      <c r="A383" s="172" t="s">
        <v>3649</v>
      </c>
      <c r="B383" s="176">
        <v>46116</v>
      </c>
      <c r="C383" s="172" t="s">
        <v>100</v>
      </c>
      <c r="D383" s="172" t="s">
        <v>101</v>
      </c>
      <c r="E383" s="172" t="s">
        <v>38</v>
      </c>
      <c r="F383" s="172" t="s">
        <v>87</v>
      </c>
      <c r="G383" s="172" t="s">
        <v>84</v>
      </c>
      <c r="H383" s="177">
        <v>1</v>
      </c>
      <c r="I383" s="178">
        <v>2650</v>
      </c>
      <c r="J383" s="176">
        <v>46114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923.81</v>
      </c>
    </row>
    <row r="384" spans="1:16" ht="19.5" hidden="1" customHeight="1">
      <c r="A384" s="172" t="s">
        <v>3649</v>
      </c>
      <c r="B384" s="176">
        <v>46116</v>
      </c>
      <c r="C384" s="172" t="s">
        <v>100</v>
      </c>
      <c r="D384" s="172" t="s">
        <v>102</v>
      </c>
      <c r="E384" s="172" t="s">
        <v>38</v>
      </c>
      <c r="F384" s="172" t="s">
        <v>87</v>
      </c>
      <c r="G384" s="172" t="s">
        <v>84</v>
      </c>
      <c r="H384" s="177">
        <v>1</v>
      </c>
      <c r="I384" s="178">
        <v>2650</v>
      </c>
      <c r="J384" s="176">
        <v>46114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9.24</v>
      </c>
    </row>
    <row r="385" spans="1:16" ht="19.5" hidden="1" customHeight="1">
      <c r="A385" s="172" t="s">
        <v>3649</v>
      </c>
      <c r="B385" s="176">
        <v>46116</v>
      </c>
      <c r="C385" s="172" t="s">
        <v>100</v>
      </c>
      <c r="D385" s="172" t="s">
        <v>103</v>
      </c>
      <c r="E385" s="172" t="s">
        <v>38</v>
      </c>
      <c r="F385" s="172" t="s">
        <v>87</v>
      </c>
      <c r="G385" s="172" t="s">
        <v>84</v>
      </c>
      <c r="H385" s="177">
        <v>1</v>
      </c>
      <c r="I385" s="178">
        <v>2650</v>
      </c>
      <c r="J385" s="176">
        <v>46114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1716.95</v>
      </c>
    </row>
    <row r="386" spans="1:16" ht="19.5" hidden="1" customHeight="1">
      <c r="A386" s="172" t="s">
        <v>3649</v>
      </c>
      <c r="B386" s="176">
        <v>46116</v>
      </c>
      <c r="C386" s="172" t="s">
        <v>104</v>
      </c>
      <c r="D386" s="172" t="s">
        <v>105</v>
      </c>
      <c r="E386" s="172" t="s">
        <v>38</v>
      </c>
      <c r="F386" s="172" t="s">
        <v>87</v>
      </c>
      <c r="G386" s="172" t="s">
        <v>84</v>
      </c>
      <c r="H386" s="177">
        <v>1</v>
      </c>
      <c r="I386" s="178">
        <v>2650</v>
      </c>
      <c r="J386" s="176">
        <v>46114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-1139.5</v>
      </c>
    </row>
    <row r="387" spans="1:16" ht="19.5" hidden="1" customHeight="1">
      <c r="A387" s="172" t="s">
        <v>3649</v>
      </c>
      <c r="B387" s="176">
        <v>46116</v>
      </c>
      <c r="C387" s="172" t="s">
        <v>2694</v>
      </c>
      <c r="D387" s="172" t="s">
        <v>95</v>
      </c>
      <c r="E387" s="172" t="s">
        <v>38</v>
      </c>
      <c r="F387" s="172" t="s">
        <v>87</v>
      </c>
      <c r="G387" s="172" t="s">
        <v>84</v>
      </c>
      <c r="H387" s="177">
        <v>1</v>
      </c>
      <c r="I387" s="178">
        <v>2650</v>
      </c>
      <c r="J387" s="176">
        <v>46114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-11.34</v>
      </c>
    </row>
    <row r="388" spans="1:16" ht="19.5" hidden="1" customHeight="1">
      <c r="A388" s="172" t="s">
        <v>3649</v>
      </c>
      <c r="B388" s="176">
        <v>46116</v>
      </c>
      <c r="C388" s="172" t="s">
        <v>2694</v>
      </c>
      <c r="D388" s="172" t="s">
        <v>82</v>
      </c>
      <c r="E388" s="172" t="s">
        <v>38</v>
      </c>
      <c r="F388" s="172" t="s">
        <v>87</v>
      </c>
      <c r="G388" s="172" t="s">
        <v>84</v>
      </c>
      <c r="H388" s="177">
        <v>1</v>
      </c>
      <c r="I388" s="178">
        <v>0</v>
      </c>
      <c r="J388" s="176">
        <v>46114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-17.55</v>
      </c>
    </row>
    <row r="389" spans="1:16" ht="19.5" hidden="1" customHeight="1">
      <c r="A389" s="172" t="s">
        <v>3650</v>
      </c>
      <c r="B389" s="176">
        <v>46116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46111</v>
      </c>
      <c r="K389" s="172" t="s">
        <v>93</v>
      </c>
      <c r="L389" s="172" t="s">
        <v>94</v>
      </c>
      <c r="M389" s="179">
        <v>0</v>
      </c>
      <c r="N389" s="177"/>
      <c r="O389" s="177">
        <v>33</v>
      </c>
      <c r="P389" s="180">
        <v>-46.77</v>
      </c>
    </row>
    <row r="390" spans="1:16" ht="19.5" hidden="1" customHeight="1">
      <c r="A390" s="172" t="s">
        <v>3650</v>
      </c>
      <c r="B390" s="176">
        <v>46116</v>
      </c>
      <c r="C390" s="172" t="s">
        <v>2694</v>
      </c>
      <c r="D390" s="172" t="s">
        <v>95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46111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-7.42</v>
      </c>
    </row>
    <row r="391" spans="1:16" ht="19.5" hidden="1" customHeight="1">
      <c r="A391" s="172" t="s">
        <v>3650</v>
      </c>
      <c r="B391" s="176">
        <v>46116</v>
      </c>
      <c r="C391" s="172" t="s">
        <v>92</v>
      </c>
      <c r="D391" s="172" t="s">
        <v>96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0</v>
      </c>
      <c r="J391" s="176">
        <v>46111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0</v>
      </c>
    </row>
    <row r="392" spans="1:16" ht="19.5" hidden="1" customHeight="1">
      <c r="A392" s="172" t="s">
        <v>3650</v>
      </c>
      <c r="B392" s="176">
        <v>46116</v>
      </c>
      <c r="C392" s="172" t="s">
        <v>92</v>
      </c>
      <c r="D392" s="172" t="s">
        <v>97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0</v>
      </c>
      <c r="J392" s="176">
        <v>46111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-46.77</v>
      </c>
    </row>
    <row r="393" spans="1:16" ht="19.5" hidden="1" customHeight="1">
      <c r="A393" s="172" t="s">
        <v>3650</v>
      </c>
      <c r="B393" s="176">
        <v>46116</v>
      </c>
      <c r="C393" s="172" t="s">
        <v>2694</v>
      </c>
      <c r="D393" s="172" t="s">
        <v>98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0</v>
      </c>
      <c r="J393" s="176">
        <v>46111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-15</v>
      </c>
    </row>
    <row r="394" spans="1:16" ht="19.5" hidden="1" customHeight="1">
      <c r="A394" s="172" t="s">
        <v>3651</v>
      </c>
      <c r="B394" s="176">
        <v>46116</v>
      </c>
      <c r="C394" s="172" t="s">
        <v>92</v>
      </c>
      <c r="D394" s="172" t="s">
        <v>24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46111</v>
      </c>
      <c r="K394" s="172" t="s">
        <v>93</v>
      </c>
      <c r="L394" s="172" t="s">
        <v>94</v>
      </c>
      <c r="M394" s="179">
        <v>0</v>
      </c>
      <c r="N394" s="177"/>
      <c r="O394" s="177">
        <v>33</v>
      </c>
      <c r="P394" s="180">
        <v>-46.77</v>
      </c>
    </row>
    <row r="395" spans="1:16" ht="19.5" hidden="1" customHeight="1">
      <c r="A395" s="172" t="s">
        <v>3651</v>
      </c>
      <c r="B395" s="176">
        <v>46116</v>
      </c>
      <c r="C395" s="172" t="s">
        <v>2694</v>
      </c>
      <c r="D395" s="172" t="s">
        <v>95</v>
      </c>
      <c r="E395" s="172" t="s">
        <v>43</v>
      </c>
      <c r="F395" s="172" t="s">
        <v>125</v>
      </c>
      <c r="G395" s="172" t="s">
        <v>84</v>
      </c>
      <c r="H395" s="177">
        <v>1</v>
      </c>
      <c r="I395" s="178">
        <v>0</v>
      </c>
      <c r="J395" s="176">
        <v>46111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-12.9</v>
      </c>
    </row>
    <row r="396" spans="1:16" ht="19.5" hidden="1" customHeight="1">
      <c r="A396" s="172" t="s">
        <v>3651</v>
      </c>
      <c r="B396" s="176">
        <v>46116</v>
      </c>
      <c r="C396" s="172" t="s">
        <v>92</v>
      </c>
      <c r="D396" s="172" t="s">
        <v>96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46111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0</v>
      </c>
    </row>
    <row r="397" spans="1:16" ht="19.5" hidden="1" customHeight="1">
      <c r="A397" s="172" t="s">
        <v>3651</v>
      </c>
      <c r="B397" s="176">
        <v>46116</v>
      </c>
      <c r="C397" s="172" t="s">
        <v>92</v>
      </c>
      <c r="D397" s="172" t="s">
        <v>97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46111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-46.77</v>
      </c>
    </row>
    <row r="398" spans="1:16" ht="19.5" hidden="1" customHeight="1">
      <c r="A398" s="172" t="s">
        <v>3651</v>
      </c>
      <c r="B398" s="176">
        <v>46116</v>
      </c>
      <c r="C398" s="172" t="s">
        <v>2694</v>
      </c>
      <c r="D398" s="172" t="s">
        <v>98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46111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-15</v>
      </c>
    </row>
    <row r="399" spans="1:16" ht="19.5" hidden="1" customHeight="1">
      <c r="A399" s="172" t="s">
        <v>3652</v>
      </c>
      <c r="B399" s="176">
        <v>46116</v>
      </c>
      <c r="C399" s="172" t="s">
        <v>92</v>
      </c>
      <c r="D399" s="172" t="s">
        <v>24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0</v>
      </c>
      <c r="J399" s="176">
        <v>46110</v>
      </c>
      <c r="K399" s="172" t="s">
        <v>93</v>
      </c>
      <c r="L399" s="172" t="s">
        <v>94</v>
      </c>
      <c r="M399" s="179">
        <v>0</v>
      </c>
      <c r="N399" s="177"/>
      <c r="O399" s="177">
        <v>33</v>
      </c>
      <c r="P399" s="180">
        <v>-46.77</v>
      </c>
    </row>
    <row r="400" spans="1:16" ht="19.5" hidden="1" customHeight="1">
      <c r="A400" s="172" t="s">
        <v>3652</v>
      </c>
      <c r="B400" s="176">
        <v>46116</v>
      </c>
      <c r="C400" s="172" t="s">
        <v>2694</v>
      </c>
      <c r="D400" s="172" t="s">
        <v>95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0</v>
      </c>
      <c r="J400" s="176">
        <v>46110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-7.08</v>
      </c>
    </row>
    <row r="401" spans="1:16" ht="19.5" hidden="1" customHeight="1">
      <c r="A401" s="172" t="s">
        <v>3652</v>
      </c>
      <c r="B401" s="176">
        <v>46116</v>
      </c>
      <c r="C401" s="172" t="s">
        <v>92</v>
      </c>
      <c r="D401" s="172" t="s">
        <v>96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0</v>
      </c>
      <c r="J401" s="176">
        <v>46110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3652</v>
      </c>
      <c r="B402" s="176">
        <v>46116</v>
      </c>
      <c r="C402" s="172" t="s">
        <v>92</v>
      </c>
      <c r="D402" s="172" t="s">
        <v>97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0</v>
      </c>
      <c r="J402" s="176">
        <v>46110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3652</v>
      </c>
      <c r="B403" s="176">
        <v>46116</v>
      </c>
      <c r="C403" s="172" t="s">
        <v>2694</v>
      </c>
      <c r="D403" s="172" t="s">
        <v>98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46110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3653</v>
      </c>
      <c r="B404" s="176">
        <v>46116</v>
      </c>
      <c r="C404" s="172" t="s">
        <v>2694</v>
      </c>
      <c r="D404" s="172" t="s">
        <v>82</v>
      </c>
      <c r="E404" s="172" t="s">
        <v>39</v>
      </c>
      <c r="F404" s="172" t="s">
        <v>117</v>
      </c>
      <c r="G404" s="172" t="s">
        <v>84</v>
      </c>
      <c r="H404" s="177">
        <v>1</v>
      </c>
      <c r="I404" s="178">
        <v>0</v>
      </c>
      <c r="J404" s="176">
        <v>46116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-8.18</v>
      </c>
    </row>
    <row r="405" spans="1:16" ht="19.5" hidden="1" customHeight="1">
      <c r="A405" s="172" t="s">
        <v>3654</v>
      </c>
      <c r="B405" s="176">
        <v>46116</v>
      </c>
      <c r="C405" s="172" t="s">
        <v>92</v>
      </c>
      <c r="D405" s="172" t="s">
        <v>24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2550</v>
      </c>
      <c r="J405" s="176">
        <v>46105</v>
      </c>
      <c r="K405" s="172" t="s">
        <v>93</v>
      </c>
      <c r="L405" s="172" t="s">
        <v>94</v>
      </c>
      <c r="M405" s="179">
        <v>0.43</v>
      </c>
      <c r="N405" s="177"/>
      <c r="O405" s="177">
        <v>34</v>
      </c>
      <c r="P405" s="180">
        <v>-108.58</v>
      </c>
    </row>
    <row r="406" spans="1:16" ht="19.5" hidden="1" customHeight="1">
      <c r="A406" s="172" t="s">
        <v>3654</v>
      </c>
      <c r="B406" s="176">
        <v>46116</v>
      </c>
      <c r="C406" s="172" t="s">
        <v>100</v>
      </c>
      <c r="D406" s="172" t="s">
        <v>101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2550</v>
      </c>
      <c r="J406" s="176">
        <v>46105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1275.24</v>
      </c>
    </row>
    <row r="407" spans="1:16" ht="19.5" hidden="1" customHeight="1">
      <c r="A407" s="172" t="s">
        <v>3654</v>
      </c>
      <c r="B407" s="176">
        <v>46116</v>
      </c>
      <c r="C407" s="172" t="s">
        <v>100</v>
      </c>
      <c r="D407" s="172" t="s">
        <v>102</v>
      </c>
      <c r="E407" s="172" t="s">
        <v>60</v>
      </c>
      <c r="F407" s="172" t="s">
        <v>1426</v>
      </c>
      <c r="G407" s="172" t="s">
        <v>84</v>
      </c>
      <c r="H407" s="177">
        <v>1</v>
      </c>
      <c r="I407" s="178">
        <v>2550</v>
      </c>
      <c r="J407" s="176">
        <v>46105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12.75</v>
      </c>
    </row>
    <row r="408" spans="1:16" ht="19.5" hidden="1" customHeight="1">
      <c r="A408" s="172" t="s">
        <v>3654</v>
      </c>
      <c r="B408" s="176">
        <v>46116</v>
      </c>
      <c r="C408" s="172" t="s">
        <v>100</v>
      </c>
      <c r="D408" s="172" t="s">
        <v>103</v>
      </c>
      <c r="E408" s="172" t="s">
        <v>60</v>
      </c>
      <c r="F408" s="172" t="s">
        <v>1426</v>
      </c>
      <c r="G408" s="172" t="s">
        <v>84</v>
      </c>
      <c r="H408" s="177">
        <v>1</v>
      </c>
      <c r="I408" s="178">
        <v>2550</v>
      </c>
      <c r="J408" s="176">
        <v>46105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1262.01</v>
      </c>
    </row>
    <row r="409" spans="1:16" ht="19.5" hidden="1" customHeight="1">
      <c r="A409" s="172" t="s">
        <v>3654</v>
      </c>
      <c r="B409" s="176">
        <v>46116</v>
      </c>
      <c r="C409" s="172" t="s">
        <v>104</v>
      </c>
      <c r="D409" s="172" t="s">
        <v>105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2550</v>
      </c>
      <c r="J409" s="176">
        <v>46105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-1096.5</v>
      </c>
    </row>
    <row r="410" spans="1:16" ht="19.5" hidden="1" customHeight="1">
      <c r="A410" s="172" t="s">
        <v>3654</v>
      </c>
      <c r="B410" s="176">
        <v>46116</v>
      </c>
      <c r="C410" s="172" t="s">
        <v>2694</v>
      </c>
      <c r="D410" s="172" t="s">
        <v>95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2550</v>
      </c>
      <c r="J410" s="176">
        <v>46105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-6.67</v>
      </c>
    </row>
    <row r="411" spans="1:16" ht="19.5" hidden="1" customHeight="1">
      <c r="A411" s="172" t="s">
        <v>3655</v>
      </c>
      <c r="B411" s="176">
        <v>46116</v>
      </c>
      <c r="C411" s="172" t="s">
        <v>92</v>
      </c>
      <c r="D411" s="172" t="s">
        <v>24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2443</v>
      </c>
      <c r="J411" s="176">
        <v>46113</v>
      </c>
      <c r="K411" s="172" t="s">
        <v>93</v>
      </c>
      <c r="L411" s="172" t="s">
        <v>94</v>
      </c>
      <c r="M411" s="179">
        <v>0.43</v>
      </c>
      <c r="N411" s="177"/>
      <c r="O411" s="177">
        <v>32</v>
      </c>
      <c r="P411" s="180">
        <v>-85.59</v>
      </c>
    </row>
    <row r="412" spans="1:16" ht="19.5" hidden="1" customHeight="1">
      <c r="A412" s="172" t="s">
        <v>3655</v>
      </c>
      <c r="B412" s="176">
        <v>46116</v>
      </c>
      <c r="C412" s="172" t="s">
        <v>100</v>
      </c>
      <c r="D412" s="172" t="s">
        <v>101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2443</v>
      </c>
      <c r="J412" s="176">
        <v>46113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930.48</v>
      </c>
    </row>
    <row r="413" spans="1:16" ht="19.5" hidden="1" customHeight="1">
      <c r="A413" s="172" t="s">
        <v>3655</v>
      </c>
      <c r="B413" s="176">
        <v>46116</v>
      </c>
      <c r="C413" s="172" t="s">
        <v>100</v>
      </c>
      <c r="D413" s="172" t="s">
        <v>102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2443</v>
      </c>
      <c r="J413" s="176">
        <v>46113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3655</v>
      </c>
      <c r="B414" s="176">
        <v>46116</v>
      </c>
      <c r="C414" s="172" t="s">
        <v>100</v>
      </c>
      <c r="D414" s="172" t="s">
        <v>103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2443</v>
      </c>
      <c r="J414" s="176">
        <v>46113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1512.52</v>
      </c>
    </row>
    <row r="415" spans="1:16" ht="19.5" hidden="1" customHeight="1">
      <c r="A415" s="172" t="s">
        <v>3655</v>
      </c>
      <c r="B415" s="176">
        <v>46116</v>
      </c>
      <c r="C415" s="172" t="s">
        <v>104</v>
      </c>
      <c r="D415" s="172" t="s">
        <v>105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2443</v>
      </c>
      <c r="J415" s="176">
        <v>46113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-1050.49</v>
      </c>
    </row>
    <row r="416" spans="1:16" ht="19.5" hidden="1" customHeight="1">
      <c r="A416" s="172" t="s">
        <v>3655</v>
      </c>
      <c r="B416" s="176">
        <v>46116</v>
      </c>
      <c r="C416" s="172" t="s">
        <v>2694</v>
      </c>
      <c r="D416" s="172" t="s">
        <v>95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2443</v>
      </c>
      <c r="J416" s="176">
        <v>46113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-3.79</v>
      </c>
    </row>
    <row r="417" spans="1:16" ht="19.5" hidden="1" customHeight="1">
      <c r="A417" s="172" t="s">
        <v>3654</v>
      </c>
      <c r="B417" s="176">
        <v>46116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46105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-24.23</v>
      </c>
    </row>
    <row r="418" spans="1:16" ht="19.5" hidden="1" customHeight="1">
      <c r="A418" s="172" t="s">
        <v>3656</v>
      </c>
      <c r="B418" s="176">
        <v>46116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46110</v>
      </c>
      <c r="K418" s="172" t="s">
        <v>93</v>
      </c>
      <c r="L418" s="172" t="s">
        <v>94</v>
      </c>
      <c r="M418" s="179">
        <v>0</v>
      </c>
      <c r="N418" s="177"/>
      <c r="O418" s="177">
        <v>33</v>
      </c>
      <c r="P418" s="180">
        <v>-46.77</v>
      </c>
    </row>
    <row r="419" spans="1:16" ht="19.5" hidden="1" customHeight="1">
      <c r="A419" s="172" t="s">
        <v>3656</v>
      </c>
      <c r="B419" s="176">
        <v>46116</v>
      </c>
      <c r="C419" s="172" t="s">
        <v>2694</v>
      </c>
      <c r="D419" s="172" t="s">
        <v>95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46110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-7.14</v>
      </c>
    </row>
    <row r="420" spans="1:16" ht="19.5" hidden="1" customHeight="1">
      <c r="A420" s="172" t="s">
        <v>3656</v>
      </c>
      <c r="B420" s="176">
        <v>46116</v>
      </c>
      <c r="C420" s="172" t="s">
        <v>92</v>
      </c>
      <c r="D420" s="172" t="s">
        <v>96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46110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hidden="1" customHeight="1">
      <c r="A421" s="172" t="s">
        <v>3656</v>
      </c>
      <c r="B421" s="176">
        <v>46116</v>
      </c>
      <c r="C421" s="172" t="s">
        <v>92</v>
      </c>
      <c r="D421" s="172" t="s">
        <v>97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46110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-46.77</v>
      </c>
    </row>
    <row r="422" spans="1:16" ht="19.5" hidden="1" customHeight="1">
      <c r="A422" s="172" t="s">
        <v>3656</v>
      </c>
      <c r="B422" s="176">
        <v>46116</v>
      </c>
      <c r="C422" s="172" t="s">
        <v>2694</v>
      </c>
      <c r="D422" s="172" t="s">
        <v>98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46110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3657</v>
      </c>
      <c r="B423" s="176">
        <v>46116</v>
      </c>
      <c r="C423" s="172" t="s">
        <v>92</v>
      </c>
      <c r="D423" s="172" t="s">
        <v>24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2750</v>
      </c>
      <c r="J423" s="176">
        <v>46111</v>
      </c>
      <c r="K423" s="172" t="s">
        <v>93</v>
      </c>
      <c r="L423" s="172" t="s">
        <v>94</v>
      </c>
      <c r="M423" s="179">
        <v>0.43</v>
      </c>
      <c r="N423" s="177"/>
      <c r="O423" s="177">
        <v>33</v>
      </c>
      <c r="P423" s="180">
        <v>-89.16</v>
      </c>
    </row>
    <row r="424" spans="1:16" ht="19.5" hidden="1" customHeight="1">
      <c r="A424" s="172" t="s">
        <v>3657</v>
      </c>
      <c r="B424" s="176">
        <v>46116</v>
      </c>
      <c r="C424" s="172" t="s">
        <v>100</v>
      </c>
      <c r="D424" s="172" t="s">
        <v>101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2750</v>
      </c>
      <c r="J424" s="176">
        <v>46111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1169.52</v>
      </c>
    </row>
    <row r="425" spans="1:16" ht="19.5" hidden="1" customHeight="1">
      <c r="A425" s="172" t="s">
        <v>3657</v>
      </c>
      <c r="B425" s="176">
        <v>46116</v>
      </c>
      <c r="C425" s="172" t="s">
        <v>100</v>
      </c>
      <c r="D425" s="172" t="s">
        <v>102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2750</v>
      </c>
      <c r="J425" s="176">
        <v>46111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11.7</v>
      </c>
    </row>
    <row r="426" spans="1:16" ht="19.5" hidden="1" customHeight="1">
      <c r="A426" s="172" t="s">
        <v>3657</v>
      </c>
      <c r="B426" s="176">
        <v>46116</v>
      </c>
      <c r="C426" s="172" t="s">
        <v>100</v>
      </c>
      <c r="D426" s="172" t="s">
        <v>103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2750</v>
      </c>
      <c r="J426" s="176">
        <v>46111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1568.78</v>
      </c>
    </row>
    <row r="427" spans="1:16" ht="19.5" hidden="1" customHeight="1">
      <c r="A427" s="172" t="s">
        <v>3657</v>
      </c>
      <c r="B427" s="176">
        <v>46116</v>
      </c>
      <c r="C427" s="172" t="s">
        <v>104</v>
      </c>
      <c r="D427" s="172" t="s">
        <v>105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2750</v>
      </c>
      <c r="J427" s="176">
        <v>46111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-1182.5</v>
      </c>
    </row>
    <row r="428" spans="1:16" ht="19.5" hidden="1" customHeight="1">
      <c r="A428" s="172" t="s">
        <v>3658</v>
      </c>
      <c r="B428" s="176">
        <v>46116</v>
      </c>
      <c r="C428" s="172" t="s">
        <v>92</v>
      </c>
      <c r="D428" s="172" t="s">
        <v>24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2750</v>
      </c>
      <c r="J428" s="176">
        <v>46115</v>
      </c>
      <c r="K428" s="172" t="s">
        <v>93</v>
      </c>
      <c r="L428" s="172" t="s">
        <v>94</v>
      </c>
      <c r="M428" s="179">
        <v>0.43</v>
      </c>
      <c r="N428" s="177"/>
      <c r="O428" s="177">
        <v>34</v>
      </c>
      <c r="P428" s="180">
        <v>-98.37</v>
      </c>
    </row>
    <row r="429" spans="1:16" ht="19.5" hidden="1" customHeight="1">
      <c r="A429" s="172" t="s">
        <v>3658</v>
      </c>
      <c r="B429" s="176">
        <v>46116</v>
      </c>
      <c r="C429" s="172" t="s">
        <v>100</v>
      </c>
      <c r="D429" s="172" t="s">
        <v>101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2750</v>
      </c>
      <c r="J429" s="176">
        <v>46115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1072.3800000000001</v>
      </c>
    </row>
    <row r="430" spans="1:16" ht="19.5" hidden="1" customHeight="1">
      <c r="A430" s="172" t="s">
        <v>3658</v>
      </c>
      <c r="B430" s="176">
        <v>46116</v>
      </c>
      <c r="C430" s="172" t="s">
        <v>100</v>
      </c>
      <c r="D430" s="172" t="s">
        <v>102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2750</v>
      </c>
      <c r="J430" s="176">
        <v>46115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10.72</v>
      </c>
    </row>
    <row r="431" spans="1:16" ht="19.5" hidden="1" customHeight="1">
      <c r="A431" s="172" t="s">
        <v>3658</v>
      </c>
      <c r="B431" s="176">
        <v>46116</v>
      </c>
      <c r="C431" s="172" t="s">
        <v>100</v>
      </c>
      <c r="D431" s="172" t="s">
        <v>103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2750</v>
      </c>
      <c r="J431" s="176">
        <v>46115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1666.9</v>
      </c>
    </row>
    <row r="432" spans="1:16" ht="19.5" hidden="1" customHeight="1">
      <c r="A432" s="172" t="s">
        <v>3658</v>
      </c>
      <c r="B432" s="176">
        <v>46116</v>
      </c>
      <c r="C432" s="172" t="s">
        <v>104</v>
      </c>
      <c r="D432" s="172" t="s">
        <v>105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2750</v>
      </c>
      <c r="J432" s="176">
        <v>46115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-1182.5</v>
      </c>
    </row>
    <row r="433" spans="1:16" ht="19.5" hidden="1" customHeight="1">
      <c r="A433" s="172" t="s">
        <v>3658</v>
      </c>
      <c r="B433" s="176">
        <v>46116</v>
      </c>
      <c r="C433" s="172" t="s">
        <v>2694</v>
      </c>
      <c r="D433" s="172" t="s">
        <v>95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2750</v>
      </c>
      <c r="J433" s="176">
        <v>46115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-9.4499999999999993</v>
      </c>
    </row>
    <row r="434" spans="1:16" ht="19.5" hidden="1" customHeight="1">
      <c r="A434" s="172" t="s">
        <v>3658</v>
      </c>
      <c r="B434" s="176">
        <v>46116</v>
      </c>
      <c r="C434" s="172" t="s">
        <v>2694</v>
      </c>
      <c r="D434" s="172" t="s">
        <v>82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46115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-20.38</v>
      </c>
    </row>
    <row r="435" spans="1:16" ht="19.5" hidden="1" customHeight="1">
      <c r="A435" s="172" t="s">
        <v>3659</v>
      </c>
      <c r="B435" s="176">
        <v>46116</v>
      </c>
      <c r="C435" s="172" t="s">
        <v>92</v>
      </c>
      <c r="D435" s="172" t="s">
        <v>24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46114</v>
      </c>
      <c r="K435" s="172" t="s">
        <v>93</v>
      </c>
      <c r="L435" s="172" t="s">
        <v>94</v>
      </c>
      <c r="M435" s="179">
        <v>0.43</v>
      </c>
      <c r="N435" s="177"/>
      <c r="O435" s="177">
        <v>32</v>
      </c>
      <c r="P435" s="180">
        <v>-86.85</v>
      </c>
    </row>
    <row r="436" spans="1:16" ht="19.5" hidden="1" customHeight="1">
      <c r="A436" s="172" t="s">
        <v>3659</v>
      </c>
      <c r="B436" s="176">
        <v>46116</v>
      </c>
      <c r="C436" s="172" t="s">
        <v>100</v>
      </c>
      <c r="D436" s="172" t="s">
        <v>101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46114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856.67</v>
      </c>
    </row>
    <row r="437" spans="1:16" ht="19.5" hidden="1" customHeight="1">
      <c r="A437" s="172" t="s">
        <v>3659</v>
      </c>
      <c r="B437" s="176">
        <v>46116</v>
      </c>
      <c r="C437" s="172" t="s">
        <v>100</v>
      </c>
      <c r="D437" s="172" t="s">
        <v>102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2600</v>
      </c>
      <c r="J437" s="176">
        <v>46114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8.57</v>
      </c>
    </row>
    <row r="438" spans="1:16" ht="19.5" hidden="1" customHeight="1">
      <c r="A438" s="172" t="s">
        <v>3659</v>
      </c>
      <c r="B438" s="176">
        <v>46116</v>
      </c>
      <c r="C438" s="172" t="s">
        <v>100</v>
      </c>
      <c r="D438" s="172" t="s">
        <v>103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2600</v>
      </c>
      <c r="J438" s="176">
        <v>46114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1734.76</v>
      </c>
    </row>
    <row r="439" spans="1:16" ht="19.5" hidden="1" customHeight="1">
      <c r="A439" s="172" t="s">
        <v>3659</v>
      </c>
      <c r="B439" s="176">
        <v>46116</v>
      </c>
      <c r="C439" s="172" t="s">
        <v>104</v>
      </c>
      <c r="D439" s="172" t="s">
        <v>105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2600</v>
      </c>
      <c r="J439" s="176">
        <v>46114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-1118</v>
      </c>
    </row>
    <row r="440" spans="1:16" ht="19.5" hidden="1" customHeight="1">
      <c r="A440" s="172" t="s">
        <v>3659</v>
      </c>
      <c r="B440" s="176">
        <v>46116</v>
      </c>
      <c r="C440" s="172" t="s">
        <v>2694</v>
      </c>
      <c r="D440" s="172" t="s">
        <v>95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2600</v>
      </c>
      <c r="J440" s="176">
        <v>46114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-5.92</v>
      </c>
    </row>
    <row r="441" spans="1:16" ht="19.5" hidden="1" customHeight="1">
      <c r="A441" s="172" t="s">
        <v>3659</v>
      </c>
      <c r="B441" s="176">
        <v>46116</v>
      </c>
      <c r="C441" s="172" t="s">
        <v>2694</v>
      </c>
      <c r="D441" s="172" t="s">
        <v>82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0</v>
      </c>
      <c r="J441" s="176">
        <v>46114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-16.28</v>
      </c>
    </row>
    <row r="442" spans="1:16" ht="19.5" hidden="1" customHeight="1">
      <c r="A442" s="172" t="s">
        <v>3660</v>
      </c>
      <c r="B442" s="176">
        <v>46116</v>
      </c>
      <c r="C442" s="172" t="s">
        <v>92</v>
      </c>
      <c r="D442" s="172" t="s">
        <v>24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46112</v>
      </c>
      <c r="K442" s="172" t="s">
        <v>93</v>
      </c>
      <c r="L442" s="172" t="s">
        <v>94</v>
      </c>
      <c r="M442" s="179">
        <v>0</v>
      </c>
      <c r="N442" s="177"/>
      <c r="O442" s="177">
        <v>32</v>
      </c>
      <c r="P442" s="180">
        <v>-56.94</v>
      </c>
    </row>
    <row r="443" spans="1:16" ht="19.5" hidden="1" customHeight="1">
      <c r="A443" s="172" t="s">
        <v>3660</v>
      </c>
      <c r="B443" s="176">
        <v>46116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46112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-7.15</v>
      </c>
    </row>
    <row r="444" spans="1:16" ht="19.5" hidden="1" customHeight="1">
      <c r="A444" s="172" t="s">
        <v>3660</v>
      </c>
      <c r="B444" s="176">
        <v>46116</v>
      </c>
      <c r="C444" s="172" t="s">
        <v>92</v>
      </c>
      <c r="D444" s="172" t="s">
        <v>96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46112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0</v>
      </c>
    </row>
    <row r="445" spans="1:16" ht="19.5" hidden="1" customHeight="1">
      <c r="A445" s="172" t="s">
        <v>3660</v>
      </c>
      <c r="B445" s="176">
        <v>46116</v>
      </c>
      <c r="C445" s="172" t="s">
        <v>92</v>
      </c>
      <c r="D445" s="172" t="s">
        <v>97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46112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-56.94</v>
      </c>
    </row>
    <row r="446" spans="1:16" ht="19.5" hidden="1" customHeight="1">
      <c r="A446" s="172" t="s">
        <v>3660</v>
      </c>
      <c r="B446" s="176">
        <v>46116</v>
      </c>
      <c r="C446" s="172" t="s">
        <v>2694</v>
      </c>
      <c r="D446" s="172" t="s">
        <v>98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46112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-15</v>
      </c>
    </row>
    <row r="447" spans="1:16" ht="19.5" hidden="1" customHeight="1">
      <c r="A447" s="172" t="s">
        <v>3661</v>
      </c>
      <c r="B447" s="176">
        <v>46116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2750</v>
      </c>
      <c r="J447" s="176">
        <v>46115</v>
      </c>
      <c r="K447" s="172" t="s">
        <v>93</v>
      </c>
      <c r="L447" s="172" t="s">
        <v>94</v>
      </c>
      <c r="M447" s="179">
        <v>0.43</v>
      </c>
      <c r="N447" s="177"/>
      <c r="O447" s="177">
        <v>34</v>
      </c>
      <c r="P447" s="180">
        <v>-111.38</v>
      </c>
    </row>
    <row r="448" spans="1:16" ht="19.5" hidden="1" customHeight="1">
      <c r="A448" s="172" t="s">
        <v>3661</v>
      </c>
      <c r="B448" s="176">
        <v>46116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2750</v>
      </c>
      <c r="J448" s="176">
        <v>46115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1597.14</v>
      </c>
    </row>
    <row r="449" spans="1:16" ht="19.5" hidden="1" customHeight="1">
      <c r="A449" s="172" t="s">
        <v>3661</v>
      </c>
      <c r="B449" s="176">
        <v>46116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2750</v>
      </c>
      <c r="J449" s="176">
        <v>46115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15.97</v>
      </c>
    </row>
    <row r="450" spans="1:16" ht="19.5" hidden="1" customHeight="1">
      <c r="A450" s="172" t="s">
        <v>3661</v>
      </c>
      <c r="B450" s="176">
        <v>46116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2750</v>
      </c>
      <c r="J450" s="176">
        <v>46115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1136.8900000000001</v>
      </c>
    </row>
    <row r="451" spans="1:16" ht="19.5" hidden="1" customHeight="1">
      <c r="A451" s="172" t="s">
        <v>3661</v>
      </c>
      <c r="B451" s="176">
        <v>46116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2750</v>
      </c>
      <c r="J451" s="176">
        <v>46115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-1182.5</v>
      </c>
    </row>
    <row r="452" spans="1:16" ht="19.5" hidden="1" customHeight="1">
      <c r="A452" s="172" t="s">
        <v>3661</v>
      </c>
      <c r="B452" s="176">
        <v>46116</v>
      </c>
      <c r="C452" s="172" t="s">
        <v>2694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2750</v>
      </c>
      <c r="J452" s="176">
        <v>46115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-5.45</v>
      </c>
    </row>
    <row r="453" spans="1:16" ht="19.5" hidden="1" customHeight="1">
      <c r="A453" s="172" t="s">
        <v>3662</v>
      </c>
      <c r="B453" s="176">
        <v>46116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2443</v>
      </c>
      <c r="J453" s="176">
        <v>46115</v>
      </c>
      <c r="K453" s="172" t="s">
        <v>93</v>
      </c>
      <c r="L453" s="172" t="s">
        <v>94</v>
      </c>
      <c r="M453" s="179">
        <v>0.43</v>
      </c>
      <c r="N453" s="177"/>
      <c r="O453" s="177">
        <v>34</v>
      </c>
      <c r="P453" s="180">
        <v>-107.08</v>
      </c>
    </row>
    <row r="454" spans="1:16" ht="19.5" hidden="1" customHeight="1">
      <c r="A454" s="172" t="s">
        <v>3662</v>
      </c>
      <c r="B454" s="176">
        <v>46116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2443</v>
      </c>
      <c r="J454" s="176">
        <v>46115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921.33</v>
      </c>
    </row>
    <row r="455" spans="1:16" ht="19.5" hidden="1" customHeight="1">
      <c r="A455" s="172" t="s">
        <v>3662</v>
      </c>
      <c r="B455" s="176">
        <v>46116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2443</v>
      </c>
      <c r="J455" s="176">
        <v>46115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9.2100000000000009</v>
      </c>
    </row>
    <row r="456" spans="1:16" ht="19.5" hidden="1" customHeight="1">
      <c r="A456" s="172" t="s">
        <v>3662</v>
      </c>
      <c r="B456" s="176">
        <v>46116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2443</v>
      </c>
      <c r="J456" s="176">
        <v>46115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1512.46</v>
      </c>
    </row>
    <row r="457" spans="1:16" ht="19.5" hidden="1" customHeight="1">
      <c r="A457" s="172" t="s">
        <v>3662</v>
      </c>
      <c r="B457" s="176">
        <v>46116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2443</v>
      </c>
      <c r="J457" s="176">
        <v>46115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-1050.49</v>
      </c>
    </row>
    <row r="458" spans="1:16" ht="19.5" hidden="1" customHeight="1">
      <c r="A458" s="172" t="s">
        <v>3662</v>
      </c>
      <c r="B458" s="176">
        <v>46116</v>
      </c>
      <c r="C458" s="172" t="s">
        <v>2694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2443</v>
      </c>
      <c r="J458" s="176">
        <v>46115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-7.07</v>
      </c>
    </row>
    <row r="459" spans="1:16" ht="19.5" hidden="1" customHeight="1">
      <c r="A459" s="172" t="s">
        <v>3662</v>
      </c>
      <c r="B459" s="176">
        <v>46116</v>
      </c>
      <c r="C459" s="172" t="s">
        <v>2694</v>
      </c>
      <c r="D459" s="172" t="s">
        <v>82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46115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-17.510000000000002</v>
      </c>
    </row>
    <row r="460" spans="1:16" ht="19.5" hidden="1" customHeight="1">
      <c r="A460" s="172" t="s">
        <v>3387</v>
      </c>
      <c r="B460" s="176">
        <v>46116</v>
      </c>
      <c r="C460" s="172" t="s">
        <v>92</v>
      </c>
      <c r="D460" s="172" t="s">
        <v>24</v>
      </c>
      <c r="E460" s="172" t="s">
        <v>43</v>
      </c>
      <c r="F460" s="172" t="s">
        <v>125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>
        <v>35</v>
      </c>
      <c r="P460" s="180">
        <v>-46.77</v>
      </c>
    </row>
    <row r="461" spans="1:16" ht="19.5" hidden="1" customHeight="1">
      <c r="A461" s="172" t="s">
        <v>3387</v>
      </c>
      <c r="B461" s="176">
        <v>46116</v>
      </c>
      <c r="C461" s="172" t="s">
        <v>2694</v>
      </c>
      <c r="D461" s="172" t="s">
        <v>95</v>
      </c>
      <c r="E461" s="172" t="s">
        <v>43</v>
      </c>
      <c r="F461" s="172" t="s">
        <v>125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-0.56000000000000005</v>
      </c>
    </row>
    <row r="462" spans="1:16" ht="19.5" hidden="1" customHeight="1">
      <c r="A462" s="172" t="s">
        <v>3387</v>
      </c>
      <c r="B462" s="176">
        <v>46116</v>
      </c>
      <c r="C462" s="172" t="s">
        <v>92</v>
      </c>
      <c r="D462" s="172" t="s">
        <v>96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3387</v>
      </c>
      <c r="B463" s="176">
        <v>46116</v>
      </c>
      <c r="C463" s="172" t="s">
        <v>92</v>
      </c>
      <c r="D463" s="172" t="s">
        <v>97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0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-81.34</v>
      </c>
    </row>
    <row r="464" spans="1:16" ht="19.5" hidden="1" customHeight="1">
      <c r="A464" s="172" t="s">
        <v>3387</v>
      </c>
      <c r="B464" s="176">
        <v>46116</v>
      </c>
      <c r="C464" s="172" t="s">
        <v>2694</v>
      </c>
      <c r="D464" s="172" t="s">
        <v>98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3663</v>
      </c>
      <c r="B465" s="176">
        <v>46116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2750</v>
      </c>
      <c r="J465" s="176">
        <v>46115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-98.37</v>
      </c>
    </row>
    <row r="466" spans="1:16" ht="19.5" hidden="1" customHeight="1">
      <c r="A466" s="172" t="s">
        <v>3663</v>
      </c>
      <c r="B466" s="176">
        <v>46116</v>
      </c>
      <c r="C466" s="172" t="s">
        <v>100</v>
      </c>
      <c r="D466" s="172" t="s">
        <v>101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2750</v>
      </c>
      <c r="J466" s="176">
        <v>46115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952.65</v>
      </c>
    </row>
    <row r="467" spans="1:16" ht="19.5" hidden="1" customHeight="1">
      <c r="A467" s="172" t="s">
        <v>3663</v>
      </c>
      <c r="B467" s="176">
        <v>46116</v>
      </c>
      <c r="C467" s="172" t="s">
        <v>100</v>
      </c>
      <c r="D467" s="172" t="s">
        <v>102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2750</v>
      </c>
      <c r="J467" s="176">
        <v>46115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9.5299999999999994</v>
      </c>
    </row>
    <row r="468" spans="1:16" ht="19.5" hidden="1" customHeight="1">
      <c r="A468" s="172" t="s">
        <v>3663</v>
      </c>
      <c r="B468" s="176">
        <v>46116</v>
      </c>
      <c r="C468" s="172" t="s">
        <v>100</v>
      </c>
      <c r="D468" s="172" t="s">
        <v>103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2750</v>
      </c>
      <c r="J468" s="176">
        <v>46115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1787.82</v>
      </c>
    </row>
    <row r="469" spans="1:16" ht="19.5" hidden="1" customHeight="1">
      <c r="A469" s="172" t="s">
        <v>3663</v>
      </c>
      <c r="B469" s="176">
        <v>46116</v>
      </c>
      <c r="C469" s="172" t="s">
        <v>104</v>
      </c>
      <c r="D469" s="172" t="s">
        <v>105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2750</v>
      </c>
      <c r="J469" s="176">
        <v>46115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-1182.5</v>
      </c>
    </row>
    <row r="470" spans="1:16" ht="19.5" hidden="1" customHeight="1">
      <c r="A470" s="172" t="s">
        <v>3663</v>
      </c>
      <c r="B470" s="176">
        <v>46116</v>
      </c>
      <c r="C470" s="172" t="s">
        <v>2694</v>
      </c>
      <c r="D470" s="172" t="s">
        <v>95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2750</v>
      </c>
      <c r="J470" s="176">
        <v>46115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-5.54</v>
      </c>
    </row>
    <row r="471" spans="1:16" ht="19.5" hidden="1" customHeight="1">
      <c r="A471" s="172" t="s">
        <v>3664</v>
      </c>
      <c r="B471" s="176">
        <v>46116</v>
      </c>
      <c r="C471" s="172" t="s">
        <v>92</v>
      </c>
      <c r="D471" s="172" t="s">
        <v>24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2750</v>
      </c>
      <c r="J471" s="176">
        <v>46114</v>
      </c>
      <c r="K471" s="172" t="s">
        <v>93</v>
      </c>
      <c r="L471" s="172" t="s">
        <v>94</v>
      </c>
      <c r="M471" s="179">
        <v>0.43</v>
      </c>
      <c r="N471" s="177"/>
      <c r="O471" s="177">
        <v>32</v>
      </c>
      <c r="P471" s="180">
        <v>-76.25</v>
      </c>
    </row>
    <row r="472" spans="1:16" ht="19.5" hidden="1" customHeight="1">
      <c r="A472" s="172" t="s">
        <v>3664</v>
      </c>
      <c r="B472" s="176">
        <v>46116</v>
      </c>
      <c r="C472" s="172" t="s">
        <v>100</v>
      </c>
      <c r="D472" s="172" t="s">
        <v>101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2750</v>
      </c>
      <c r="J472" s="176">
        <v>46114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980.95</v>
      </c>
    </row>
    <row r="473" spans="1:16" ht="19.5" hidden="1" customHeight="1">
      <c r="A473" s="172" t="s">
        <v>3664</v>
      </c>
      <c r="B473" s="176">
        <v>46116</v>
      </c>
      <c r="C473" s="172" t="s">
        <v>100</v>
      </c>
      <c r="D473" s="172" t="s">
        <v>102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2750</v>
      </c>
      <c r="J473" s="176">
        <v>46114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9.81</v>
      </c>
    </row>
    <row r="474" spans="1:16" ht="19.5" hidden="1" customHeight="1">
      <c r="A474" s="172" t="s">
        <v>3664</v>
      </c>
      <c r="B474" s="176">
        <v>46116</v>
      </c>
      <c r="C474" s="172" t="s">
        <v>100</v>
      </c>
      <c r="D474" s="172" t="s">
        <v>103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2750</v>
      </c>
      <c r="J474" s="176">
        <v>46114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1759.24</v>
      </c>
    </row>
    <row r="475" spans="1:16" ht="19.5" hidden="1" customHeight="1">
      <c r="A475" s="172" t="s">
        <v>3664</v>
      </c>
      <c r="B475" s="176">
        <v>46116</v>
      </c>
      <c r="C475" s="172" t="s">
        <v>104</v>
      </c>
      <c r="D475" s="172" t="s">
        <v>105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2750</v>
      </c>
      <c r="J475" s="176">
        <v>46114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-1182.5</v>
      </c>
    </row>
    <row r="476" spans="1:16" ht="19.5" hidden="1" customHeight="1">
      <c r="A476" s="172" t="s">
        <v>3664</v>
      </c>
      <c r="B476" s="176">
        <v>46116</v>
      </c>
      <c r="C476" s="172" t="s">
        <v>2694</v>
      </c>
      <c r="D476" s="172" t="s">
        <v>95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2750</v>
      </c>
      <c r="J476" s="176">
        <v>46114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-5.13</v>
      </c>
    </row>
    <row r="477" spans="1:16" ht="19.5" hidden="1" customHeight="1">
      <c r="A477" s="172" t="s">
        <v>3663</v>
      </c>
      <c r="B477" s="176">
        <v>46116</v>
      </c>
      <c r="C477" s="172" t="s">
        <v>2694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46115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-18.100000000000001</v>
      </c>
    </row>
    <row r="478" spans="1:16" ht="19.5" hidden="1" customHeight="1">
      <c r="A478" s="172" t="s">
        <v>3664</v>
      </c>
      <c r="B478" s="176">
        <v>46116</v>
      </c>
      <c r="C478" s="172" t="s">
        <v>2694</v>
      </c>
      <c r="D478" s="172" t="s">
        <v>82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0</v>
      </c>
      <c r="J478" s="176">
        <v>46114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-18.64</v>
      </c>
    </row>
    <row r="479" spans="1:16" ht="19.5" hidden="1" customHeight="1">
      <c r="A479" s="172" t="s">
        <v>3665</v>
      </c>
      <c r="B479" s="176">
        <v>46116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46107</v>
      </c>
      <c r="K479" s="172" t="s">
        <v>93</v>
      </c>
      <c r="L479" s="172" t="s">
        <v>94</v>
      </c>
      <c r="M479" s="179">
        <v>0</v>
      </c>
      <c r="N479" s="177"/>
      <c r="O479" s="177">
        <v>35</v>
      </c>
      <c r="P479" s="180">
        <v>-46.77</v>
      </c>
    </row>
    <row r="480" spans="1:16" ht="19.5" hidden="1" customHeight="1">
      <c r="A480" s="172" t="s">
        <v>3665</v>
      </c>
      <c r="B480" s="176">
        <v>46116</v>
      </c>
      <c r="C480" s="172" t="s">
        <v>2694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46107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-8.1999999999999993</v>
      </c>
    </row>
    <row r="481" spans="1:16" ht="19.5" hidden="1" customHeight="1">
      <c r="A481" s="172" t="s">
        <v>3665</v>
      </c>
      <c r="B481" s="176">
        <v>46116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46107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hidden="1" customHeight="1">
      <c r="A482" s="172" t="s">
        <v>3665</v>
      </c>
      <c r="B482" s="176">
        <v>46116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46107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hidden="1" customHeight="1">
      <c r="A483" s="172" t="s">
        <v>3665</v>
      </c>
      <c r="B483" s="176">
        <v>46116</v>
      </c>
      <c r="C483" s="172" t="s">
        <v>2694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46107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3666</v>
      </c>
      <c r="B484" s="176">
        <v>46116</v>
      </c>
      <c r="C484" s="172" t="s">
        <v>92</v>
      </c>
      <c r="D484" s="172" t="s">
        <v>24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2180</v>
      </c>
      <c r="J484" s="176">
        <v>46109</v>
      </c>
      <c r="K484" s="172" t="s">
        <v>93</v>
      </c>
      <c r="L484" s="172" t="s">
        <v>94</v>
      </c>
      <c r="M484" s="179">
        <v>0.43</v>
      </c>
      <c r="N484" s="177"/>
      <c r="O484" s="177">
        <v>34</v>
      </c>
      <c r="P484" s="180">
        <v>-90.39</v>
      </c>
    </row>
    <row r="485" spans="1:16" ht="19.5" hidden="1" customHeight="1">
      <c r="A485" s="172" t="s">
        <v>3666</v>
      </c>
      <c r="B485" s="176">
        <v>46116</v>
      </c>
      <c r="C485" s="172" t="s">
        <v>100</v>
      </c>
      <c r="D485" s="172" t="s">
        <v>101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2180</v>
      </c>
      <c r="J485" s="176">
        <v>46109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960</v>
      </c>
    </row>
    <row r="486" spans="1:16" ht="19.5" hidden="1" customHeight="1">
      <c r="A486" s="172" t="s">
        <v>3666</v>
      </c>
      <c r="B486" s="176">
        <v>46116</v>
      </c>
      <c r="C486" s="172" t="s">
        <v>100</v>
      </c>
      <c r="D486" s="172" t="s">
        <v>102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2180</v>
      </c>
      <c r="J486" s="176">
        <v>46109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3666</v>
      </c>
      <c r="B487" s="176">
        <v>46116</v>
      </c>
      <c r="C487" s="172" t="s">
        <v>100</v>
      </c>
      <c r="D487" s="172" t="s">
        <v>103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2180</v>
      </c>
      <c r="J487" s="176">
        <v>46109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1220</v>
      </c>
    </row>
    <row r="488" spans="1:16" ht="19.5" hidden="1" customHeight="1">
      <c r="A488" s="172" t="s">
        <v>3666</v>
      </c>
      <c r="B488" s="176">
        <v>46116</v>
      </c>
      <c r="C488" s="172" t="s">
        <v>104</v>
      </c>
      <c r="D488" s="172" t="s">
        <v>105</v>
      </c>
      <c r="E488" s="172" t="s">
        <v>41</v>
      </c>
      <c r="F488" s="172" t="s">
        <v>83</v>
      </c>
      <c r="G488" s="172" t="s">
        <v>84</v>
      </c>
      <c r="H488" s="177">
        <v>1</v>
      </c>
      <c r="I488" s="178">
        <v>2180</v>
      </c>
      <c r="J488" s="176">
        <v>46109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-937.4</v>
      </c>
    </row>
    <row r="489" spans="1:16" ht="19.5" hidden="1" customHeight="1">
      <c r="A489" s="172" t="s">
        <v>3666</v>
      </c>
      <c r="B489" s="176">
        <v>46116</v>
      </c>
      <c r="C489" s="172" t="s">
        <v>2694</v>
      </c>
      <c r="D489" s="172" t="s">
        <v>95</v>
      </c>
      <c r="E489" s="172" t="s">
        <v>41</v>
      </c>
      <c r="F489" s="172" t="s">
        <v>83</v>
      </c>
      <c r="G489" s="172" t="s">
        <v>84</v>
      </c>
      <c r="H489" s="177">
        <v>1</v>
      </c>
      <c r="I489" s="178">
        <v>2180</v>
      </c>
      <c r="J489" s="176">
        <v>46109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-7.79</v>
      </c>
    </row>
    <row r="490" spans="1:16" ht="19.5" hidden="1" customHeight="1">
      <c r="A490" s="172" t="s">
        <v>3666</v>
      </c>
      <c r="B490" s="176">
        <v>46116</v>
      </c>
      <c r="C490" s="172" t="s">
        <v>2694</v>
      </c>
      <c r="D490" s="172" t="s">
        <v>82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46109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-9.6999999999999993</v>
      </c>
    </row>
    <row r="491" spans="1:16" ht="19.5" hidden="1" customHeight="1">
      <c r="A491" s="172" t="s">
        <v>3667</v>
      </c>
      <c r="B491" s="176">
        <v>46116</v>
      </c>
      <c r="C491" s="172" t="s">
        <v>92</v>
      </c>
      <c r="D491" s="172" t="s">
        <v>96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46112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3667</v>
      </c>
      <c r="B492" s="176">
        <v>46116</v>
      </c>
      <c r="C492" s="172" t="s">
        <v>92</v>
      </c>
      <c r="D492" s="172" t="s">
        <v>97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46112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3667</v>
      </c>
      <c r="B493" s="176">
        <v>46116</v>
      </c>
      <c r="C493" s="172" t="s">
        <v>2694</v>
      </c>
      <c r="D493" s="172" t="s">
        <v>98</v>
      </c>
      <c r="E493" s="172" t="s">
        <v>39</v>
      </c>
      <c r="F493" s="172" t="s">
        <v>117</v>
      </c>
      <c r="G493" s="172" t="s">
        <v>84</v>
      </c>
      <c r="H493" s="177">
        <v>1</v>
      </c>
      <c r="I493" s="178">
        <v>0</v>
      </c>
      <c r="J493" s="176">
        <v>46112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3667</v>
      </c>
      <c r="B494" s="176">
        <v>46116</v>
      </c>
      <c r="C494" s="172" t="s">
        <v>92</v>
      </c>
      <c r="D494" s="172" t="s">
        <v>24</v>
      </c>
      <c r="E494" s="172" t="s">
        <v>39</v>
      </c>
      <c r="F494" s="172" t="s">
        <v>117</v>
      </c>
      <c r="G494" s="172" t="s">
        <v>84</v>
      </c>
      <c r="H494" s="177">
        <v>1</v>
      </c>
      <c r="I494" s="178">
        <v>0</v>
      </c>
      <c r="J494" s="176">
        <v>46112</v>
      </c>
      <c r="K494" s="172" t="s">
        <v>93</v>
      </c>
      <c r="L494" s="172" t="s">
        <v>94</v>
      </c>
      <c r="M494" s="179">
        <v>0</v>
      </c>
      <c r="N494" s="177"/>
      <c r="O494" s="177">
        <v>32</v>
      </c>
      <c r="P494" s="180">
        <v>-46.77</v>
      </c>
    </row>
    <row r="495" spans="1:16" ht="19.5" hidden="1" customHeight="1">
      <c r="A495" s="172" t="s">
        <v>3667</v>
      </c>
      <c r="B495" s="176">
        <v>46116</v>
      </c>
      <c r="C495" s="172" t="s">
        <v>2694</v>
      </c>
      <c r="D495" s="172" t="s">
        <v>95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0</v>
      </c>
      <c r="J495" s="176">
        <v>46112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-7.31</v>
      </c>
    </row>
    <row r="496" spans="1:16" ht="19.5" hidden="1" customHeight="1">
      <c r="A496" s="172" t="s">
        <v>3433</v>
      </c>
      <c r="B496" s="176">
        <v>46116</v>
      </c>
      <c r="C496" s="172" t="s">
        <v>109</v>
      </c>
      <c r="D496" s="172" t="s">
        <v>139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46116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-290.5</v>
      </c>
    </row>
    <row r="497" spans="1:16" ht="19.5" hidden="1" customHeight="1">
      <c r="A497" s="172" t="s">
        <v>3432</v>
      </c>
      <c r="B497" s="176">
        <v>46116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46116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-443.87</v>
      </c>
    </row>
    <row r="498" spans="1:16" ht="19.5" hidden="1" customHeight="1">
      <c r="A498" s="172" t="s">
        <v>3434</v>
      </c>
      <c r="B498" s="176">
        <v>46116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46116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-298.61</v>
      </c>
    </row>
    <row r="499" spans="1:16" ht="19.5" hidden="1" customHeight="1">
      <c r="A499" s="172" t="s">
        <v>3407</v>
      </c>
      <c r="B499" s="176">
        <v>46116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46116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-294.33999999999997</v>
      </c>
    </row>
    <row r="500" spans="1:16" ht="19.5" hidden="1" customHeight="1">
      <c r="A500" s="172" t="s">
        <v>3406</v>
      </c>
      <c r="B500" s="176">
        <v>46116</v>
      </c>
      <c r="C500" s="172" t="s">
        <v>109</v>
      </c>
      <c r="D500" s="172" t="s">
        <v>139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46116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-356.38</v>
      </c>
    </row>
    <row r="501" spans="1:16" ht="19.5" hidden="1" customHeight="1">
      <c r="A501" s="172" t="s">
        <v>3408</v>
      </c>
      <c r="B501" s="176">
        <v>46116</v>
      </c>
      <c r="C501" s="172" t="s">
        <v>109</v>
      </c>
      <c r="D501" s="172" t="s">
        <v>139</v>
      </c>
      <c r="E501" s="172" t="s">
        <v>85</v>
      </c>
      <c r="F501" s="172" t="s">
        <v>85</v>
      </c>
      <c r="G501" s="172" t="s">
        <v>85</v>
      </c>
      <c r="H501" s="177">
        <v>0</v>
      </c>
      <c r="I501" s="178">
        <v>0</v>
      </c>
      <c r="J501" s="176">
        <v>46116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-436.81</v>
      </c>
    </row>
    <row r="502" spans="1:16" ht="19.5" hidden="1" customHeight="1">
      <c r="A502" s="172" t="s">
        <v>3246</v>
      </c>
      <c r="B502" s="176">
        <v>46116</v>
      </c>
      <c r="C502" s="172" t="s">
        <v>109</v>
      </c>
      <c r="D502" s="172" t="s">
        <v>139</v>
      </c>
      <c r="E502" s="172" t="s">
        <v>85</v>
      </c>
      <c r="F502" s="172" t="s">
        <v>85</v>
      </c>
      <c r="G502" s="172" t="s">
        <v>85</v>
      </c>
      <c r="H502" s="177">
        <v>0</v>
      </c>
      <c r="I502" s="178">
        <v>0</v>
      </c>
      <c r="J502" s="176">
        <v>46116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-288.70999999999998</v>
      </c>
    </row>
    <row r="503" spans="1:16" ht="19.5" hidden="1" customHeight="1">
      <c r="A503" s="172" t="s">
        <v>3251</v>
      </c>
      <c r="B503" s="176">
        <v>46116</v>
      </c>
      <c r="C503" s="172" t="s">
        <v>109</v>
      </c>
      <c r="D503" s="172" t="s">
        <v>139</v>
      </c>
      <c r="E503" s="172" t="s">
        <v>85</v>
      </c>
      <c r="F503" s="172" t="s">
        <v>85</v>
      </c>
      <c r="G503" s="172" t="s">
        <v>85</v>
      </c>
      <c r="H503" s="177">
        <v>0</v>
      </c>
      <c r="I503" s="178">
        <v>0</v>
      </c>
      <c r="J503" s="176">
        <v>46116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-431.4</v>
      </c>
    </row>
    <row r="504" spans="1:16" ht="19.5" hidden="1" customHeight="1">
      <c r="A504" s="172" t="s">
        <v>3013</v>
      </c>
      <c r="B504" s="176">
        <v>46116</v>
      </c>
      <c r="C504" s="172" t="s">
        <v>109</v>
      </c>
      <c r="D504" s="172" t="s">
        <v>143</v>
      </c>
      <c r="E504" s="172" t="s">
        <v>85</v>
      </c>
      <c r="F504" s="172" t="s">
        <v>85</v>
      </c>
      <c r="G504" s="172" t="s">
        <v>85</v>
      </c>
      <c r="H504" s="177">
        <v>0</v>
      </c>
      <c r="I504" s="178">
        <v>0</v>
      </c>
      <c r="J504" s="176">
        <v>46116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-369</v>
      </c>
    </row>
    <row r="505" spans="1:16" ht="19.5" hidden="1" customHeight="1">
      <c r="A505" s="172" t="s">
        <v>142</v>
      </c>
      <c r="B505" s="176">
        <v>46116</v>
      </c>
      <c r="C505" s="172" t="s">
        <v>109</v>
      </c>
      <c r="D505" s="172" t="s">
        <v>143</v>
      </c>
      <c r="E505" s="172" t="s">
        <v>85</v>
      </c>
      <c r="F505" s="172" t="s">
        <v>85</v>
      </c>
      <c r="G505" s="172" t="s">
        <v>85</v>
      </c>
      <c r="H505" s="177">
        <v>0</v>
      </c>
      <c r="I505" s="178">
        <v>0</v>
      </c>
      <c r="J505" s="176">
        <v>46116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-1284.8</v>
      </c>
    </row>
    <row r="506" spans="1:16" ht="19.5" hidden="1" customHeight="1">
      <c r="A506" s="172" t="s">
        <v>3668</v>
      </c>
      <c r="B506" s="176">
        <v>46117</v>
      </c>
      <c r="C506" s="172" t="s">
        <v>92</v>
      </c>
      <c r="D506" s="172" t="s">
        <v>24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46110</v>
      </c>
      <c r="K506" s="172" t="s">
        <v>93</v>
      </c>
      <c r="L506" s="172" t="s">
        <v>94</v>
      </c>
      <c r="M506" s="179">
        <v>0</v>
      </c>
      <c r="N506" s="177"/>
      <c r="O506" s="177">
        <v>33</v>
      </c>
      <c r="P506" s="180">
        <v>-56.94</v>
      </c>
    </row>
    <row r="507" spans="1:16" ht="19.5" hidden="1" customHeight="1">
      <c r="A507" s="172" t="s">
        <v>3668</v>
      </c>
      <c r="B507" s="176">
        <v>46117</v>
      </c>
      <c r="C507" s="172" t="s">
        <v>2694</v>
      </c>
      <c r="D507" s="172" t="s">
        <v>95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46110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-6.43</v>
      </c>
    </row>
    <row r="508" spans="1:16" ht="19.5" hidden="1" customHeight="1">
      <c r="A508" s="172" t="s">
        <v>3668</v>
      </c>
      <c r="B508" s="176">
        <v>46117</v>
      </c>
      <c r="C508" s="172" t="s">
        <v>92</v>
      </c>
      <c r="D508" s="172" t="s">
        <v>96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0</v>
      </c>
      <c r="J508" s="176">
        <v>46110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hidden="1" customHeight="1">
      <c r="A509" s="172" t="s">
        <v>3668</v>
      </c>
      <c r="B509" s="176">
        <v>46117</v>
      </c>
      <c r="C509" s="172" t="s">
        <v>92</v>
      </c>
      <c r="D509" s="172" t="s">
        <v>97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0</v>
      </c>
      <c r="J509" s="176">
        <v>46110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-56.94</v>
      </c>
    </row>
    <row r="510" spans="1:16" ht="19.5" hidden="1" customHeight="1">
      <c r="A510" s="172" t="s">
        <v>3668</v>
      </c>
      <c r="B510" s="176">
        <v>46117</v>
      </c>
      <c r="C510" s="172" t="s">
        <v>2694</v>
      </c>
      <c r="D510" s="172" t="s">
        <v>98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0</v>
      </c>
      <c r="J510" s="176">
        <v>46110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-15</v>
      </c>
    </row>
    <row r="511" spans="1:16" ht="19.5" hidden="1" customHeight="1">
      <c r="A511" s="172" t="s">
        <v>3669</v>
      </c>
      <c r="B511" s="176">
        <v>46117</v>
      </c>
      <c r="C511" s="172" t="s">
        <v>92</v>
      </c>
      <c r="D511" s="172" t="s">
        <v>24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46110</v>
      </c>
      <c r="K511" s="172" t="s">
        <v>93</v>
      </c>
      <c r="L511" s="172" t="s">
        <v>94</v>
      </c>
      <c r="M511" s="179">
        <v>0</v>
      </c>
      <c r="N511" s="177"/>
      <c r="O511" s="177">
        <v>33</v>
      </c>
      <c r="P511" s="180">
        <v>-46.77</v>
      </c>
    </row>
    <row r="512" spans="1:16" ht="19.5" hidden="1" customHeight="1">
      <c r="A512" s="172" t="s">
        <v>3669</v>
      </c>
      <c r="B512" s="176">
        <v>46117</v>
      </c>
      <c r="C512" s="172" t="s">
        <v>2694</v>
      </c>
      <c r="D512" s="172" t="s">
        <v>95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46110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-6.31</v>
      </c>
    </row>
    <row r="513" spans="1:16" ht="19.5" hidden="1" customHeight="1">
      <c r="A513" s="172" t="s">
        <v>3669</v>
      </c>
      <c r="B513" s="176">
        <v>46117</v>
      </c>
      <c r="C513" s="172" t="s">
        <v>92</v>
      </c>
      <c r="D513" s="172" t="s">
        <v>96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46110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0</v>
      </c>
    </row>
    <row r="514" spans="1:16" ht="19.5" hidden="1" customHeight="1">
      <c r="A514" s="172" t="s">
        <v>3669</v>
      </c>
      <c r="B514" s="176">
        <v>46117</v>
      </c>
      <c r="C514" s="172" t="s">
        <v>92</v>
      </c>
      <c r="D514" s="172" t="s">
        <v>97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46110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-46.77</v>
      </c>
    </row>
    <row r="515" spans="1:16" ht="19.5" hidden="1" customHeight="1">
      <c r="A515" s="172" t="s">
        <v>3669</v>
      </c>
      <c r="B515" s="176">
        <v>46117</v>
      </c>
      <c r="C515" s="172" t="s">
        <v>2694</v>
      </c>
      <c r="D515" s="172" t="s">
        <v>98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46110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-15</v>
      </c>
    </row>
    <row r="516" spans="1:16" ht="19.5" hidden="1" customHeight="1">
      <c r="A516" s="172" t="s">
        <v>3670</v>
      </c>
      <c r="B516" s="176">
        <v>46117</v>
      </c>
      <c r="C516" s="172" t="s">
        <v>2694</v>
      </c>
      <c r="D516" s="172" t="s">
        <v>82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0</v>
      </c>
      <c r="J516" s="176">
        <v>46117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-20.25</v>
      </c>
    </row>
    <row r="517" spans="1:16" ht="19.5" hidden="1" customHeight="1">
      <c r="A517" s="172" t="s">
        <v>3671</v>
      </c>
      <c r="B517" s="176">
        <v>46117</v>
      </c>
      <c r="C517" s="172" t="s">
        <v>2694</v>
      </c>
      <c r="D517" s="172" t="s">
        <v>82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46117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-22.47</v>
      </c>
    </row>
    <row r="518" spans="1:16" ht="19.5" hidden="1" customHeight="1">
      <c r="A518" s="172" t="s">
        <v>3672</v>
      </c>
      <c r="B518" s="176">
        <v>46117</v>
      </c>
      <c r="C518" s="172" t="s">
        <v>2694</v>
      </c>
      <c r="D518" s="172" t="s">
        <v>82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46117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-18.3</v>
      </c>
    </row>
    <row r="519" spans="1:16" ht="19.5" hidden="1" customHeight="1">
      <c r="A519" s="172" t="s">
        <v>3673</v>
      </c>
      <c r="B519" s="176">
        <v>46117</v>
      </c>
      <c r="C519" s="172" t="s">
        <v>2694</v>
      </c>
      <c r="D519" s="172" t="s">
        <v>82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46117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-18.350000000000001</v>
      </c>
    </row>
    <row r="520" spans="1:16" ht="19.5" hidden="1" customHeight="1">
      <c r="A520" s="172" t="s">
        <v>3674</v>
      </c>
      <c r="B520" s="176">
        <v>46117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2393</v>
      </c>
      <c r="J520" s="176">
        <v>46109</v>
      </c>
      <c r="K520" s="172" t="s">
        <v>93</v>
      </c>
      <c r="L520" s="172" t="s">
        <v>94</v>
      </c>
      <c r="M520" s="179">
        <v>0.43</v>
      </c>
      <c r="N520" s="177"/>
      <c r="O520" s="177">
        <v>34</v>
      </c>
      <c r="P520" s="180">
        <v>-106.38</v>
      </c>
    </row>
    <row r="521" spans="1:16" ht="19.5" hidden="1" customHeight="1">
      <c r="A521" s="172" t="s">
        <v>3674</v>
      </c>
      <c r="B521" s="176">
        <v>46117</v>
      </c>
      <c r="C521" s="172" t="s">
        <v>100</v>
      </c>
      <c r="D521" s="172" t="s">
        <v>101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2393</v>
      </c>
      <c r="J521" s="176">
        <v>46109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910.56</v>
      </c>
    </row>
    <row r="522" spans="1:16" ht="19.5" hidden="1" customHeight="1">
      <c r="A522" s="172" t="s">
        <v>3674</v>
      </c>
      <c r="B522" s="176">
        <v>46117</v>
      </c>
      <c r="C522" s="172" t="s">
        <v>100</v>
      </c>
      <c r="D522" s="172" t="s">
        <v>102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2393</v>
      </c>
      <c r="J522" s="176">
        <v>46109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9.11</v>
      </c>
    </row>
    <row r="523" spans="1:16" ht="19.5" hidden="1" customHeight="1">
      <c r="A523" s="172" t="s">
        <v>3674</v>
      </c>
      <c r="B523" s="176">
        <v>46117</v>
      </c>
      <c r="C523" s="172" t="s">
        <v>100</v>
      </c>
      <c r="D523" s="172" t="s">
        <v>103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2393</v>
      </c>
      <c r="J523" s="176">
        <v>46109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1473.33</v>
      </c>
    </row>
    <row r="524" spans="1:16" ht="19.5" hidden="1" customHeight="1">
      <c r="A524" s="172" t="s">
        <v>3674</v>
      </c>
      <c r="B524" s="176">
        <v>46117</v>
      </c>
      <c r="C524" s="172" t="s">
        <v>104</v>
      </c>
      <c r="D524" s="172" t="s">
        <v>105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2393</v>
      </c>
      <c r="J524" s="176">
        <v>46109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-1028.99</v>
      </c>
    </row>
    <row r="525" spans="1:16" ht="19.5" hidden="1" customHeight="1">
      <c r="A525" s="172" t="s">
        <v>3674</v>
      </c>
      <c r="B525" s="176">
        <v>46117</v>
      </c>
      <c r="C525" s="172" t="s">
        <v>2694</v>
      </c>
      <c r="D525" s="172" t="s">
        <v>95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2393</v>
      </c>
      <c r="J525" s="176">
        <v>46109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-9.91</v>
      </c>
    </row>
    <row r="526" spans="1:16" ht="19.5" hidden="1" customHeight="1">
      <c r="A526" s="172" t="s">
        <v>3674</v>
      </c>
      <c r="B526" s="176">
        <v>46117</v>
      </c>
      <c r="C526" s="172" t="s">
        <v>2694</v>
      </c>
      <c r="D526" s="172" t="s">
        <v>82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46109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-17.3</v>
      </c>
    </row>
    <row r="527" spans="1:16" ht="19.5" hidden="1" customHeight="1">
      <c r="A527" s="172" t="s">
        <v>3675</v>
      </c>
      <c r="B527" s="176">
        <v>46117</v>
      </c>
      <c r="C527" s="172" t="s">
        <v>92</v>
      </c>
      <c r="D527" s="172" t="s">
        <v>24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46113</v>
      </c>
      <c r="K527" s="172" t="s">
        <v>93</v>
      </c>
      <c r="L527" s="172" t="s">
        <v>94</v>
      </c>
      <c r="M527" s="179">
        <v>0</v>
      </c>
      <c r="N527" s="177"/>
      <c r="O527" s="177">
        <v>32</v>
      </c>
      <c r="P527" s="180">
        <v>-56.94</v>
      </c>
    </row>
    <row r="528" spans="1:16" ht="19.5" hidden="1" customHeight="1">
      <c r="A528" s="172" t="s">
        <v>3675</v>
      </c>
      <c r="B528" s="176">
        <v>46117</v>
      </c>
      <c r="C528" s="172" t="s">
        <v>2694</v>
      </c>
      <c r="D528" s="172" t="s">
        <v>95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0</v>
      </c>
      <c r="J528" s="176">
        <v>46113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-6.16</v>
      </c>
    </row>
    <row r="529" spans="1:16" ht="19.5" hidden="1" customHeight="1">
      <c r="A529" s="172" t="s">
        <v>3676</v>
      </c>
      <c r="B529" s="176">
        <v>46117</v>
      </c>
      <c r="C529" s="172" t="s">
        <v>2694</v>
      </c>
      <c r="D529" s="172" t="s">
        <v>82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46117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-7.83</v>
      </c>
    </row>
    <row r="530" spans="1:16" ht="19.5" hidden="1" customHeight="1">
      <c r="A530" s="172" t="s">
        <v>3675</v>
      </c>
      <c r="B530" s="176">
        <v>46117</v>
      </c>
      <c r="C530" s="172" t="s">
        <v>92</v>
      </c>
      <c r="D530" s="172" t="s">
        <v>96</v>
      </c>
      <c r="E530" s="172" t="s">
        <v>58</v>
      </c>
      <c r="F530" s="172" t="s">
        <v>1300</v>
      </c>
      <c r="G530" s="172" t="s">
        <v>84</v>
      </c>
      <c r="H530" s="177">
        <v>1</v>
      </c>
      <c r="I530" s="178">
        <v>0</v>
      </c>
      <c r="J530" s="176">
        <v>46113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0</v>
      </c>
    </row>
    <row r="531" spans="1:16" ht="19.5" hidden="1" customHeight="1">
      <c r="A531" s="172" t="s">
        <v>3675</v>
      </c>
      <c r="B531" s="176">
        <v>46117</v>
      </c>
      <c r="C531" s="172" t="s">
        <v>92</v>
      </c>
      <c r="D531" s="172" t="s">
        <v>97</v>
      </c>
      <c r="E531" s="172" t="s">
        <v>58</v>
      </c>
      <c r="F531" s="172" t="s">
        <v>1300</v>
      </c>
      <c r="G531" s="172" t="s">
        <v>84</v>
      </c>
      <c r="H531" s="177">
        <v>1</v>
      </c>
      <c r="I531" s="178">
        <v>0</v>
      </c>
      <c r="J531" s="176">
        <v>46113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-56.94</v>
      </c>
    </row>
    <row r="532" spans="1:16" ht="19.5" hidden="1" customHeight="1">
      <c r="A532" s="172" t="s">
        <v>3675</v>
      </c>
      <c r="B532" s="176">
        <v>46117</v>
      </c>
      <c r="C532" s="172" t="s">
        <v>2694</v>
      </c>
      <c r="D532" s="172" t="s">
        <v>98</v>
      </c>
      <c r="E532" s="172" t="s">
        <v>58</v>
      </c>
      <c r="F532" s="172" t="s">
        <v>1300</v>
      </c>
      <c r="G532" s="172" t="s">
        <v>84</v>
      </c>
      <c r="H532" s="177">
        <v>1</v>
      </c>
      <c r="I532" s="178">
        <v>0</v>
      </c>
      <c r="J532" s="176">
        <v>46113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</v>
      </c>
    </row>
    <row r="533" spans="1:16" ht="19.5" hidden="1" customHeight="1">
      <c r="A533" s="172" t="s">
        <v>3677</v>
      </c>
      <c r="B533" s="176">
        <v>46117</v>
      </c>
      <c r="C533" s="172" t="s">
        <v>2694</v>
      </c>
      <c r="D533" s="172" t="s">
        <v>82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0</v>
      </c>
      <c r="J533" s="176">
        <v>46117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-22</v>
      </c>
    </row>
    <row r="534" spans="1:16" ht="19.5" hidden="1" customHeight="1">
      <c r="A534" s="172" t="s">
        <v>3678</v>
      </c>
      <c r="B534" s="176">
        <v>46117</v>
      </c>
      <c r="C534" s="172" t="s">
        <v>92</v>
      </c>
      <c r="D534" s="172" t="s">
        <v>24</v>
      </c>
      <c r="E534" s="172" t="s">
        <v>38</v>
      </c>
      <c r="F534" s="172" t="s">
        <v>87</v>
      </c>
      <c r="G534" s="172" t="s">
        <v>84</v>
      </c>
      <c r="H534" s="177">
        <v>1</v>
      </c>
      <c r="I534" s="178">
        <v>2650</v>
      </c>
      <c r="J534" s="176">
        <v>46113</v>
      </c>
      <c r="K534" s="172" t="s">
        <v>93</v>
      </c>
      <c r="L534" s="172" t="s">
        <v>94</v>
      </c>
      <c r="M534" s="179">
        <v>0.43</v>
      </c>
      <c r="N534" s="177"/>
      <c r="O534" s="177">
        <v>32</v>
      </c>
      <c r="P534" s="180">
        <v>-75.45</v>
      </c>
    </row>
    <row r="535" spans="1:16" ht="19.5" hidden="1" customHeight="1">
      <c r="A535" s="172" t="s">
        <v>3678</v>
      </c>
      <c r="B535" s="176">
        <v>46117</v>
      </c>
      <c r="C535" s="172" t="s">
        <v>100</v>
      </c>
      <c r="D535" s="172" t="s">
        <v>101</v>
      </c>
      <c r="E535" s="172" t="s">
        <v>38</v>
      </c>
      <c r="F535" s="172" t="s">
        <v>87</v>
      </c>
      <c r="G535" s="172" t="s">
        <v>84</v>
      </c>
      <c r="H535" s="177">
        <v>1</v>
      </c>
      <c r="I535" s="178">
        <v>2650</v>
      </c>
      <c r="J535" s="176">
        <v>46113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921.62</v>
      </c>
    </row>
    <row r="536" spans="1:16" ht="19.5" hidden="1" customHeight="1">
      <c r="A536" s="172" t="s">
        <v>3678</v>
      </c>
      <c r="B536" s="176">
        <v>46117</v>
      </c>
      <c r="C536" s="172" t="s">
        <v>100</v>
      </c>
      <c r="D536" s="172" t="s">
        <v>102</v>
      </c>
      <c r="E536" s="172" t="s">
        <v>38</v>
      </c>
      <c r="F536" s="172" t="s">
        <v>87</v>
      </c>
      <c r="G536" s="172" t="s">
        <v>84</v>
      </c>
      <c r="H536" s="177">
        <v>1</v>
      </c>
      <c r="I536" s="178">
        <v>2650</v>
      </c>
      <c r="J536" s="176">
        <v>46113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9.2200000000000006</v>
      </c>
    </row>
    <row r="537" spans="1:16" ht="19.5" hidden="1" customHeight="1">
      <c r="A537" s="172" t="s">
        <v>3678</v>
      </c>
      <c r="B537" s="176">
        <v>46117</v>
      </c>
      <c r="C537" s="172" t="s">
        <v>100</v>
      </c>
      <c r="D537" s="172" t="s">
        <v>103</v>
      </c>
      <c r="E537" s="172" t="s">
        <v>38</v>
      </c>
      <c r="F537" s="172" t="s">
        <v>87</v>
      </c>
      <c r="G537" s="172" t="s">
        <v>84</v>
      </c>
      <c r="H537" s="177">
        <v>1</v>
      </c>
      <c r="I537" s="178">
        <v>2650</v>
      </c>
      <c r="J537" s="176">
        <v>46113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1719.16</v>
      </c>
    </row>
    <row r="538" spans="1:16" ht="19.5" hidden="1" customHeight="1">
      <c r="A538" s="172" t="s">
        <v>3678</v>
      </c>
      <c r="B538" s="176">
        <v>46117</v>
      </c>
      <c r="C538" s="172" t="s">
        <v>104</v>
      </c>
      <c r="D538" s="172" t="s">
        <v>105</v>
      </c>
      <c r="E538" s="172" t="s">
        <v>38</v>
      </c>
      <c r="F538" s="172" t="s">
        <v>87</v>
      </c>
      <c r="G538" s="172" t="s">
        <v>84</v>
      </c>
      <c r="H538" s="177">
        <v>1</v>
      </c>
      <c r="I538" s="178">
        <v>2650</v>
      </c>
      <c r="J538" s="176">
        <v>46113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-1139.5</v>
      </c>
    </row>
    <row r="539" spans="1:16" ht="19.5" hidden="1" customHeight="1">
      <c r="A539" s="172" t="s">
        <v>3678</v>
      </c>
      <c r="B539" s="176">
        <v>46117</v>
      </c>
      <c r="C539" s="172" t="s">
        <v>2694</v>
      </c>
      <c r="D539" s="172" t="s">
        <v>95</v>
      </c>
      <c r="E539" s="172" t="s">
        <v>38</v>
      </c>
      <c r="F539" s="172" t="s">
        <v>87</v>
      </c>
      <c r="G539" s="172" t="s">
        <v>84</v>
      </c>
      <c r="H539" s="177">
        <v>1</v>
      </c>
      <c r="I539" s="178">
        <v>2650</v>
      </c>
      <c r="J539" s="176">
        <v>46113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-9.34</v>
      </c>
    </row>
    <row r="540" spans="1:16" ht="19.5" hidden="1" customHeight="1">
      <c r="A540" s="172" t="s">
        <v>3679</v>
      </c>
      <c r="B540" s="176">
        <v>46117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46113</v>
      </c>
      <c r="K540" s="172" t="s">
        <v>93</v>
      </c>
      <c r="L540" s="172" t="s">
        <v>94</v>
      </c>
      <c r="M540" s="179">
        <v>0.43</v>
      </c>
      <c r="N540" s="177"/>
      <c r="O540" s="177">
        <v>32</v>
      </c>
      <c r="P540" s="180">
        <v>-76.25</v>
      </c>
    </row>
    <row r="541" spans="1:16" ht="19.5" hidden="1" customHeight="1">
      <c r="A541" s="172" t="s">
        <v>3679</v>
      </c>
      <c r="B541" s="176">
        <v>46117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46113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978.62</v>
      </c>
    </row>
    <row r="542" spans="1:16" ht="19.5" hidden="1" customHeight="1">
      <c r="A542" s="172" t="s">
        <v>3679</v>
      </c>
      <c r="B542" s="176">
        <v>46117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46113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9.7899999999999991</v>
      </c>
    </row>
    <row r="543" spans="1:16" ht="19.5" hidden="1" customHeight="1">
      <c r="A543" s="172" t="s">
        <v>3679</v>
      </c>
      <c r="B543" s="176">
        <v>46117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46113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1761.59</v>
      </c>
    </row>
    <row r="544" spans="1:16" ht="19.5" hidden="1" customHeight="1">
      <c r="A544" s="172" t="s">
        <v>3679</v>
      </c>
      <c r="B544" s="176">
        <v>46117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46113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-1182.5</v>
      </c>
    </row>
    <row r="545" spans="1:16" ht="19.5" hidden="1" customHeight="1">
      <c r="A545" s="172" t="s">
        <v>3679</v>
      </c>
      <c r="B545" s="176">
        <v>46117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46113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-5.99</v>
      </c>
    </row>
    <row r="546" spans="1:16" ht="19.5" hidden="1" customHeight="1">
      <c r="A546" s="172" t="s">
        <v>3679</v>
      </c>
      <c r="B546" s="176">
        <v>46117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46113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-18.59</v>
      </c>
    </row>
    <row r="547" spans="1:16" ht="19.5" hidden="1" customHeight="1">
      <c r="A547" s="172" t="s">
        <v>3678</v>
      </c>
      <c r="B547" s="176">
        <v>46117</v>
      </c>
      <c r="C547" s="172" t="s">
        <v>2694</v>
      </c>
      <c r="D547" s="172" t="s">
        <v>82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0</v>
      </c>
      <c r="J547" s="176">
        <v>46113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-17.510000000000002</v>
      </c>
    </row>
    <row r="548" spans="1:16" ht="19.5" hidden="1" customHeight="1">
      <c r="A548" s="172" t="s">
        <v>3680</v>
      </c>
      <c r="B548" s="176">
        <v>46117</v>
      </c>
      <c r="C548" s="172" t="s">
        <v>92</v>
      </c>
      <c r="D548" s="172" t="s">
        <v>24</v>
      </c>
      <c r="E548" s="172" t="s">
        <v>39</v>
      </c>
      <c r="F548" s="172" t="s">
        <v>117</v>
      </c>
      <c r="G548" s="172" t="s">
        <v>84</v>
      </c>
      <c r="H548" s="177">
        <v>1</v>
      </c>
      <c r="I548" s="178">
        <v>2650</v>
      </c>
      <c r="J548" s="176">
        <v>46111</v>
      </c>
      <c r="K548" s="172" t="s">
        <v>93</v>
      </c>
      <c r="L548" s="172" t="s">
        <v>94</v>
      </c>
      <c r="M548" s="179">
        <v>0.43</v>
      </c>
      <c r="N548" s="177"/>
      <c r="O548" s="177">
        <v>33</v>
      </c>
      <c r="P548" s="180">
        <v>-88.01</v>
      </c>
    </row>
    <row r="549" spans="1:16" ht="19.5" hidden="1" customHeight="1">
      <c r="A549" s="172" t="s">
        <v>3680</v>
      </c>
      <c r="B549" s="176">
        <v>46117</v>
      </c>
      <c r="C549" s="172" t="s">
        <v>100</v>
      </c>
      <c r="D549" s="172" t="s">
        <v>101</v>
      </c>
      <c r="E549" s="172" t="s">
        <v>39</v>
      </c>
      <c r="F549" s="172" t="s">
        <v>117</v>
      </c>
      <c r="G549" s="172" t="s">
        <v>84</v>
      </c>
      <c r="H549" s="177">
        <v>1</v>
      </c>
      <c r="I549" s="178">
        <v>2650</v>
      </c>
      <c r="J549" s="176">
        <v>46111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969.55</v>
      </c>
    </row>
    <row r="550" spans="1:16" ht="19.5" hidden="1" customHeight="1">
      <c r="A550" s="172" t="s">
        <v>3680</v>
      </c>
      <c r="B550" s="176">
        <v>46117</v>
      </c>
      <c r="C550" s="172" t="s">
        <v>100</v>
      </c>
      <c r="D550" s="172" t="s">
        <v>102</v>
      </c>
      <c r="E550" s="172" t="s">
        <v>39</v>
      </c>
      <c r="F550" s="172" t="s">
        <v>117</v>
      </c>
      <c r="G550" s="172" t="s">
        <v>84</v>
      </c>
      <c r="H550" s="177">
        <v>1</v>
      </c>
      <c r="I550" s="178">
        <v>2650</v>
      </c>
      <c r="J550" s="176">
        <v>46111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9.6999999999999993</v>
      </c>
    </row>
    <row r="551" spans="1:16" ht="19.5" hidden="1" customHeight="1">
      <c r="A551" s="172" t="s">
        <v>3680</v>
      </c>
      <c r="B551" s="176">
        <v>46117</v>
      </c>
      <c r="C551" s="172" t="s">
        <v>100</v>
      </c>
      <c r="D551" s="172" t="s">
        <v>103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2650</v>
      </c>
      <c r="J551" s="176">
        <v>46111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1670.75</v>
      </c>
    </row>
    <row r="552" spans="1:16" ht="19.5" hidden="1" customHeight="1">
      <c r="A552" s="172" t="s">
        <v>3680</v>
      </c>
      <c r="B552" s="176">
        <v>46117</v>
      </c>
      <c r="C552" s="172" t="s">
        <v>104</v>
      </c>
      <c r="D552" s="172" t="s">
        <v>105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2650</v>
      </c>
      <c r="J552" s="176">
        <v>46111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-1139.5</v>
      </c>
    </row>
    <row r="553" spans="1:16" ht="19.5" hidden="1" customHeight="1">
      <c r="A553" s="172" t="s">
        <v>3680</v>
      </c>
      <c r="B553" s="176">
        <v>46117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2650</v>
      </c>
      <c r="J553" s="176">
        <v>46111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-6.93</v>
      </c>
    </row>
    <row r="554" spans="1:16" ht="19.5" hidden="1" customHeight="1">
      <c r="A554" s="172" t="s">
        <v>3680</v>
      </c>
      <c r="B554" s="176">
        <v>46117</v>
      </c>
      <c r="C554" s="172" t="s">
        <v>2694</v>
      </c>
      <c r="D554" s="172" t="s">
        <v>82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46111</v>
      </c>
      <c r="K554" s="172" t="s">
        <v>85</v>
      </c>
      <c r="L554" s="172" t="s">
        <v>85</v>
      </c>
      <c r="M554" s="179">
        <v>0</v>
      </c>
      <c r="N554" s="177"/>
      <c r="O554" s="177"/>
      <c r="P554" s="180">
        <v>-18.420000000000002</v>
      </c>
    </row>
    <row r="555" spans="1:16" ht="19.5" hidden="1" customHeight="1">
      <c r="A555" s="172" t="s">
        <v>3681</v>
      </c>
      <c r="B555" s="176">
        <v>46117</v>
      </c>
      <c r="C555" s="172" t="s">
        <v>92</v>
      </c>
      <c r="D555" s="172" t="s">
        <v>24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46113</v>
      </c>
      <c r="K555" s="172" t="s">
        <v>93</v>
      </c>
      <c r="L555" s="172" t="s">
        <v>94</v>
      </c>
      <c r="M555" s="179">
        <v>0</v>
      </c>
      <c r="N555" s="177"/>
      <c r="O555" s="177">
        <v>32</v>
      </c>
      <c r="P555" s="180">
        <v>-46.77</v>
      </c>
    </row>
    <row r="556" spans="1:16" ht="19.5" hidden="1" customHeight="1">
      <c r="A556" s="172" t="s">
        <v>3681</v>
      </c>
      <c r="B556" s="176">
        <v>46117</v>
      </c>
      <c r="C556" s="172" t="s">
        <v>2694</v>
      </c>
      <c r="D556" s="172" t="s">
        <v>95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46113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-7.59</v>
      </c>
    </row>
    <row r="557" spans="1:16" ht="19.5" hidden="1" customHeight="1">
      <c r="A557" s="172" t="s">
        <v>3681</v>
      </c>
      <c r="B557" s="176">
        <v>46117</v>
      </c>
      <c r="C557" s="172" t="s">
        <v>92</v>
      </c>
      <c r="D557" s="172" t="s">
        <v>96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3681</v>
      </c>
      <c r="B558" s="176">
        <v>46117</v>
      </c>
      <c r="C558" s="172" t="s">
        <v>92</v>
      </c>
      <c r="D558" s="172" t="s">
        <v>97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-46.77</v>
      </c>
    </row>
    <row r="559" spans="1:16" ht="19.5" hidden="1" customHeight="1">
      <c r="A559" s="172" t="s">
        <v>3681</v>
      </c>
      <c r="B559" s="176">
        <v>46117</v>
      </c>
      <c r="C559" s="172" t="s">
        <v>2694</v>
      </c>
      <c r="D559" s="172" t="s">
        <v>98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3682</v>
      </c>
      <c r="B560" s="176">
        <v>46117</v>
      </c>
      <c r="C560" s="172" t="s">
        <v>92</v>
      </c>
      <c r="D560" s="172" t="s">
        <v>24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2443</v>
      </c>
      <c r="J560" s="176">
        <v>46115</v>
      </c>
      <c r="K560" s="172" t="s">
        <v>93</v>
      </c>
      <c r="L560" s="172" t="s">
        <v>94</v>
      </c>
      <c r="M560" s="179">
        <v>0.43</v>
      </c>
      <c r="N560" s="177"/>
      <c r="O560" s="177">
        <v>34</v>
      </c>
      <c r="P560" s="180">
        <v>-107.08</v>
      </c>
    </row>
    <row r="561" spans="1:16" ht="19.5" hidden="1" customHeight="1">
      <c r="A561" s="172" t="s">
        <v>3682</v>
      </c>
      <c r="B561" s="176">
        <v>46117</v>
      </c>
      <c r="C561" s="172" t="s">
        <v>100</v>
      </c>
      <c r="D561" s="172" t="s">
        <v>101</v>
      </c>
      <c r="E561" s="172" t="s">
        <v>58</v>
      </c>
      <c r="F561" s="172" t="s">
        <v>1300</v>
      </c>
      <c r="G561" s="172" t="s">
        <v>84</v>
      </c>
      <c r="H561" s="177">
        <v>1</v>
      </c>
      <c r="I561" s="178">
        <v>2443</v>
      </c>
      <c r="J561" s="176">
        <v>46115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852.38</v>
      </c>
    </row>
    <row r="562" spans="1:16" ht="19.5" hidden="1" customHeight="1">
      <c r="A562" s="172" t="s">
        <v>3682</v>
      </c>
      <c r="B562" s="176">
        <v>46117</v>
      </c>
      <c r="C562" s="172" t="s">
        <v>100</v>
      </c>
      <c r="D562" s="172" t="s">
        <v>102</v>
      </c>
      <c r="E562" s="172" t="s">
        <v>58</v>
      </c>
      <c r="F562" s="172" t="s">
        <v>1300</v>
      </c>
      <c r="G562" s="172" t="s">
        <v>84</v>
      </c>
      <c r="H562" s="177">
        <v>1</v>
      </c>
      <c r="I562" s="178">
        <v>2443</v>
      </c>
      <c r="J562" s="176">
        <v>46115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8.52</v>
      </c>
    </row>
    <row r="563" spans="1:16" ht="19.5" hidden="1" customHeight="1">
      <c r="A563" s="172" t="s">
        <v>3682</v>
      </c>
      <c r="B563" s="176">
        <v>46117</v>
      </c>
      <c r="C563" s="172" t="s">
        <v>100</v>
      </c>
      <c r="D563" s="172" t="s">
        <v>103</v>
      </c>
      <c r="E563" s="172" t="s">
        <v>58</v>
      </c>
      <c r="F563" s="172" t="s">
        <v>1300</v>
      </c>
      <c r="G563" s="172" t="s">
        <v>84</v>
      </c>
      <c r="H563" s="177">
        <v>1</v>
      </c>
      <c r="I563" s="178">
        <v>2443</v>
      </c>
      <c r="J563" s="176">
        <v>46115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1582.1</v>
      </c>
    </row>
    <row r="564" spans="1:16" ht="19.5" hidden="1" customHeight="1">
      <c r="A564" s="172" t="s">
        <v>3682</v>
      </c>
      <c r="B564" s="176">
        <v>46117</v>
      </c>
      <c r="C564" s="172" t="s">
        <v>104</v>
      </c>
      <c r="D564" s="172" t="s">
        <v>105</v>
      </c>
      <c r="E564" s="172" t="s">
        <v>58</v>
      </c>
      <c r="F564" s="172" t="s">
        <v>1300</v>
      </c>
      <c r="G564" s="172" t="s">
        <v>84</v>
      </c>
      <c r="H564" s="177">
        <v>1</v>
      </c>
      <c r="I564" s="178">
        <v>2443</v>
      </c>
      <c r="J564" s="176">
        <v>46115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-1050.49</v>
      </c>
    </row>
    <row r="565" spans="1:16" ht="19.5" hidden="1" customHeight="1">
      <c r="A565" s="172" t="s">
        <v>3682</v>
      </c>
      <c r="B565" s="176">
        <v>46117</v>
      </c>
      <c r="C565" s="172" t="s">
        <v>2694</v>
      </c>
      <c r="D565" s="172" t="s">
        <v>95</v>
      </c>
      <c r="E565" s="172" t="s">
        <v>58</v>
      </c>
      <c r="F565" s="172" t="s">
        <v>1300</v>
      </c>
      <c r="G565" s="172" t="s">
        <v>84</v>
      </c>
      <c r="H565" s="177">
        <v>1</v>
      </c>
      <c r="I565" s="178">
        <v>2443</v>
      </c>
      <c r="J565" s="176">
        <v>46115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-5.41</v>
      </c>
    </row>
    <row r="566" spans="1:16" ht="19.5" hidden="1" customHeight="1">
      <c r="A566" s="172" t="s">
        <v>3682</v>
      </c>
      <c r="B566" s="176">
        <v>46117</v>
      </c>
      <c r="C566" s="172" t="s">
        <v>2694</v>
      </c>
      <c r="D566" s="172" t="s">
        <v>82</v>
      </c>
      <c r="E566" s="172" t="s">
        <v>58</v>
      </c>
      <c r="F566" s="172" t="s">
        <v>1300</v>
      </c>
      <c r="G566" s="172" t="s">
        <v>84</v>
      </c>
      <c r="H566" s="177">
        <v>1</v>
      </c>
      <c r="I566" s="178">
        <v>0</v>
      </c>
      <c r="J566" s="176">
        <v>46115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-16.2</v>
      </c>
    </row>
    <row r="567" spans="1:16" ht="19.5" hidden="1" customHeight="1">
      <c r="A567" s="172" t="s">
        <v>3683</v>
      </c>
      <c r="B567" s="176">
        <v>46117</v>
      </c>
      <c r="C567" s="172" t="s">
        <v>92</v>
      </c>
      <c r="D567" s="172" t="s">
        <v>24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2600</v>
      </c>
      <c r="J567" s="176">
        <v>46116</v>
      </c>
      <c r="K567" s="172" t="s">
        <v>93</v>
      </c>
      <c r="L567" s="172" t="s">
        <v>94</v>
      </c>
      <c r="M567" s="179">
        <v>0.43</v>
      </c>
      <c r="N567" s="177"/>
      <c r="O567" s="177">
        <v>36</v>
      </c>
      <c r="P567" s="180">
        <v>-124.24</v>
      </c>
    </row>
    <row r="568" spans="1:16" ht="19.5" hidden="1" customHeight="1">
      <c r="A568" s="172" t="s">
        <v>3683</v>
      </c>
      <c r="B568" s="176">
        <v>46117</v>
      </c>
      <c r="C568" s="172" t="s">
        <v>100</v>
      </c>
      <c r="D568" s="172" t="s">
        <v>101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2600</v>
      </c>
      <c r="J568" s="176">
        <v>46116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1036.02</v>
      </c>
    </row>
    <row r="569" spans="1:16" ht="19.5" hidden="1" customHeight="1">
      <c r="A569" s="172" t="s">
        <v>3683</v>
      </c>
      <c r="B569" s="176">
        <v>46117</v>
      </c>
      <c r="C569" s="172" t="s">
        <v>100</v>
      </c>
      <c r="D569" s="172" t="s">
        <v>102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2600</v>
      </c>
      <c r="J569" s="176">
        <v>46116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10.36</v>
      </c>
    </row>
    <row r="570" spans="1:16" ht="19.5" hidden="1" customHeight="1">
      <c r="A570" s="172" t="s">
        <v>3683</v>
      </c>
      <c r="B570" s="176">
        <v>46117</v>
      </c>
      <c r="C570" s="172" t="s">
        <v>100</v>
      </c>
      <c r="D570" s="172" t="s">
        <v>103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2600</v>
      </c>
      <c r="J570" s="176">
        <v>46116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1553.62</v>
      </c>
    </row>
    <row r="571" spans="1:16" ht="19.5" hidden="1" customHeight="1">
      <c r="A571" s="172" t="s">
        <v>3683</v>
      </c>
      <c r="B571" s="176">
        <v>46117</v>
      </c>
      <c r="C571" s="172" t="s">
        <v>104</v>
      </c>
      <c r="D571" s="172" t="s">
        <v>105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2600</v>
      </c>
      <c r="J571" s="176">
        <v>46116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-1118</v>
      </c>
    </row>
    <row r="572" spans="1:16" ht="19.5" hidden="1" customHeight="1">
      <c r="A572" s="172" t="s">
        <v>3683</v>
      </c>
      <c r="B572" s="176">
        <v>46117</v>
      </c>
      <c r="C572" s="172" t="s">
        <v>2694</v>
      </c>
      <c r="D572" s="172" t="s">
        <v>95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2600</v>
      </c>
      <c r="J572" s="176">
        <v>46116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-5.66</v>
      </c>
    </row>
    <row r="573" spans="1:16" ht="19.5" hidden="1" customHeight="1">
      <c r="A573" s="172" t="s">
        <v>3683</v>
      </c>
      <c r="B573" s="176">
        <v>46117</v>
      </c>
      <c r="C573" s="172" t="s">
        <v>2694</v>
      </c>
      <c r="D573" s="172" t="s">
        <v>82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46116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-19.68</v>
      </c>
    </row>
    <row r="574" spans="1:16" ht="19.5" hidden="1" customHeight="1">
      <c r="A574" s="172" t="s">
        <v>3684</v>
      </c>
      <c r="B574" s="176">
        <v>46117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2750</v>
      </c>
      <c r="J574" s="176">
        <v>46113</v>
      </c>
      <c r="K574" s="172" t="s">
        <v>93</v>
      </c>
      <c r="L574" s="172" t="s">
        <v>94</v>
      </c>
      <c r="M574" s="179">
        <v>0.43</v>
      </c>
      <c r="N574" s="177"/>
      <c r="O574" s="177">
        <v>32</v>
      </c>
      <c r="P574" s="180">
        <v>-76.25</v>
      </c>
    </row>
    <row r="575" spans="1:16" ht="19.5" hidden="1" customHeight="1">
      <c r="A575" s="172" t="s">
        <v>3684</v>
      </c>
      <c r="B575" s="176">
        <v>46117</v>
      </c>
      <c r="C575" s="172" t="s">
        <v>100</v>
      </c>
      <c r="D575" s="172" t="s">
        <v>101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2750</v>
      </c>
      <c r="J575" s="176">
        <v>46113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1100.95</v>
      </c>
    </row>
    <row r="576" spans="1:16" ht="19.5" hidden="1" customHeight="1">
      <c r="A576" s="172" t="s">
        <v>3684</v>
      </c>
      <c r="B576" s="176">
        <v>46117</v>
      </c>
      <c r="C576" s="172" t="s">
        <v>100</v>
      </c>
      <c r="D576" s="172" t="s">
        <v>102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2750</v>
      </c>
      <c r="J576" s="176">
        <v>46113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11.01</v>
      </c>
    </row>
    <row r="577" spans="1:16" ht="19.5" hidden="1" customHeight="1">
      <c r="A577" s="172" t="s">
        <v>3684</v>
      </c>
      <c r="B577" s="176">
        <v>46117</v>
      </c>
      <c r="C577" s="172" t="s">
        <v>100</v>
      </c>
      <c r="D577" s="172" t="s">
        <v>103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2750</v>
      </c>
      <c r="J577" s="176">
        <v>46113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1638.04</v>
      </c>
    </row>
    <row r="578" spans="1:16" ht="19.5" hidden="1" customHeight="1">
      <c r="A578" s="172" t="s">
        <v>3684</v>
      </c>
      <c r="B578" s="176">
        <v>46117</v>
      </c>
      <c r="C578" s="172" t="s">
        <v>104</v>
      </c>
      <c r="D578" s="172" t="s">
        <v>105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2750</v>
      </c>
      <c r="J578" s="176">
        <v>46113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-1182.5</v>
      </c>
    </row>
    <row r="579" spans="1:16" ht="19.5" hidden="1" customHeight="1">
      <c r="A579" s="172" t="s">
        <v>3684</v>
      </c>
      <c r="B579" s="176">
        <v>46117</v>
      </c>
      <c r="C579" s="172" t="s">
        <v>2694</v>
      </c>
      <c r="D579" s="172" t="s">
        <v>95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2750</v>
      </c>
      <c r="J579" s="176">
        <v>46113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-5.81</v>
      </c>
    </row>
    <row r="580" spans="1:16" ht="19.5" hidden="1" customHeight="1">
      <c r="A580" s="172" t="s">
        <v>3685</v>
      </c>
      <c r="B580" s="176">
        <v>46117</v>
      </c>
      <c r="C580" s="172" t="s">
        <v>92</v>
      </c>
      <c r="D580" s="172" t="s">
        <v>24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2750</v>
      </c>
      <c r="J580" s="176">
        <v>46112</v>
      </c>
      <c r="K580" s="172" t="s">
        <v>93</v>
      </c>
      <c r="L580" s="172" t="s">
        <v>94</v>
      </c>
      <c r="M580" s="179">
        <v>0.43</v>
      </c>
      <c r="N580" s="177"/>
      <c r="O580" s="177">
        <v>32</v>
      </c>
      <c r="P580" s="180">
        <v>-76.25</v>
      </c>
    </row>
    <row r="581" spans="1:16" ht="19.5" hidden="1" customHeight="1">
      <c r="A581" s="172" t="s">
        <v>3685</v>
      </c>
      <c r="B581" s="176">
        <v>46117</v>
      </c>
      <c r="C581" s="172" t="s">
        <v>100</v>
      </c>
      <c r="D581" s="172" t="s">
        <v>101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2750</v>
      </c>
      <c r="J581" s="176">
        <v>46112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1278.69</v>
      </c>
    </row>
    <row r="582" spans="1:16" ht="19.5" hidden="1" customHeight="1">
      <c r="A582" s="172" t="s">
        <v>3685</v>
      </c>
      <c r="B582" s="176">
        <v>46117</v>
      </c>
      <c r="C582" s="172" t="s">
        <v>100</v>
      </c>
      <c r="D582" s="172" t="s">
        <v>102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2750</v>
      </c>
      <c r="J582" s="176">
        <v>46112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3685</v>
      </c>
      <c r="B583" s="176">
        <v>46117</v>
      </c>
      <c r="C583" s="172" t="s">
        <v>100</v>
      </c>
      <c r="D583" s="172" t="s">
        <v>103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2750</v>
      </c>
      <c r="J583" s="176">
        <v>46112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1471.31</v>
      </c>
    </row>
    <row r="584" spans="1:16" ht="19.5" hidden="1" customHeight="1">
      <c r="A584" s="172" t="s">
        <v>3685</v>
      </c>
      <c r="B584" s="176">
        <v>46117</v>
      </c>
      <c r="C584" s="172" t="s">
        <v>104</v>
      </c>
      <c r="D584" s="172" t="s">
        <v>105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2750</v>
      </c>
      <c r="J584" s="176">
        <v>46112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-1182.5</v>
      </c>
    </row>
    <row r="585" spans="1:16" ht="19.5" hidden="1" customHeight="1">
      <c r="A585" s="172" t="s">
        <v>3686</v>
      </c>
      <c r="B585" s="176">
        <v>46117</v>
      </c>
      <c r="C585" s="172" t="s">
        <v>1748</v>
      </c>
      <c r="D585" s="172" t="s">
        <v>2749</v>
      </c>
      <c r="E585" s="172" t="s">
        <v>38</v>
      </c>
      <c r="F585" s="172" t="s">
        <v>87</v>
      </c>
      <c r="G585" s="172" t="s">
        <v>84</v>
      </c>
      <c r="H585" s="177">
        <v>1</v>
      </c>
      <c r="I585" s="178">
        <v>0</v>
      </c>
      <c r="J585" s="176">
        <v>46113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-5</v>
      </c>
    </row>
    <row r="586" spans="1:16" ht="19.5" hidden="1" customHeight="1">
      <c r="A586" s="172" t="s">
        <v>3686</v>
      </c>
      <c r="B586" s="176">
        <v>46117</v>
      </c>
      <c r="C586" s="172" t="s">
        <v>2694</v>
      </c>
      <c r="D586" s="172" t="s">
        <v>2750</v>
      </c>
      <c r="E586" s="172" t="s">
        <v>38</v>
      </c>
      <c r="F586" s="172" t="s">
        <v>87</v>
      </c>
      <c r="G586" s="172" t="s">
        <v>84</v>
      </c>
      <c r="H586" s="177">
        <v>1</v>
      </c>
      <c r="I586" s="178">
        <v>0</v>
      </c>
      <c r="J586" s="176">
        <v>46113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-10</v>
      </c>
    </row>
    <row r="587" spans="1:16" ht="19.5" hidden="1" customHeight="1">
      <c r="A587" s="172" t="s">
        <v>3684</v>
      </c>
      <c r="B587" s="176">
        <v>46117</v>
      </c>
      <c r="C587" s="172" t="s">
        <v>2694</v>
      </c>
      <c r="D587" s="172" t="s">
        <v>82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0</v>
      </c>
      <c r="J587" s="176">
        <v>46113</v>
      </c>
      <c r="K587" s="172" t="s">
        <v>85</v>
      </c>
      <c r="L587" s="172" t="s">
        <v>85</v>
      </c>
      <c r="M587" s="179">
        <v>0</v>
      </c>
      <c r="N587" s="177"/>
      <c r="O587" s="177"/>
      <c r="P587" s="180">
        <v>-20.92</v>
      </c>
    </row>
    <row r="588" spans="1:16" ht="19.5" hidden="1" customHeight="1">
      <c r="A588" s="172" t="s">
        <v>3687</v>
      </c>
      <c r="B588" s="176">
        <v>46117</v>
      </c>
      <c r="C588" s="172" t="s">
        <v>92</v>
      </c>
      <c r="D588" s="172" t="s">
        <v>24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0</v>
      </c>
      <c r="J588" s="176">
        <v>46106</v>
      </c>
      <c r="K588" s="172" t="s">
        <v>93</v>
      </c>
      <c r="L588" s="172" t="s">
        <v>94</v>
      </c>
      <c r="M588" s="179">
        <v>0</v>
      </c>
      <c r="N588" s="177"/>
      <c r="O588" s="177">
        <v>34</v>
      </c>
      <c r="P588" s="180">
        <v>-46.77</v>
      </c>
    </row>
    <row r="589" spans="1:16" ht="19.5" hidden="1" customHeight="1">
      <c r="A589" s="172" t="s">
        <v>3687</v>
      </c>
      <c r="B589" s="176">
        <v>46117</v>
      </c>
      <c r="C589" s="172" t="s">
        <v>2694</v>
      </c>
      <c r="D589" s="172" t="s">
        <v>95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0</v>
      </c>
      <c r="J589" s="176">
        <v>46106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-5.67</v>
      </c>
    </row>
    <row r="590" spans="1:16" ht="19.5" hidden="1" customHeight="1">
      <c r="A590" s="172" t="s">
        <v>3687</v>
      </c>
      <c r="B590" s="176">
        <v>46117</v>
      </c>
      <c r="C590" s="172" t="s">
        <v>92</v>
      </c>
      <c r="D590" s="172" t="s">
        <v>96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0</v>
      </c>
      <c r="J590" s="176">
        <v>46106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3687</v>
      </c>
      <c r="B591" s="176">
        <v>46117</v>
      </c>
      <c r="C591" s="172" t="s">
        <v>92</v>
      </c>
      <c r="D591" s="172" t="s">
        <v>97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0</v>
      </c>
      <c r="J591" s="176">
        <v>46106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-46.77</v>
      </c>
    </row>
    <row r="592" spans="1:16" ht="19.5" hidden="1" customHeight="1">
      <c r="A592" s="172" t="s">
        <v>3687</v>
      </c>
      <c r="B592" s="176">
        <v>46117</v>
      </c>
      <c r="C592" s="172" t="s">
        <v>2694</v>
      </c>
      <c r="D592" s="172" t="s">
        <v>98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0</v>
      </c>
      <c r="J592" s="176">
        <v>46106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3688</v>
      </c>
      <c r="B593" s="176">
        <v>46117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46116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-120.51</v>
      </c>
    </row>
    <row r="594" spans="1:16" ht="19.5" hidden="1" customHeight="1">
      <c r="A594" s="172" t="s">
        <v>3614</v>
      </c>
      <c r="B594" s="176">
        <v>46117</v>
      </c>
      <c r="C594" s="172" t="s">
        <v>92</v>
      </c>
      <c r="D594" s="172" t="s">
        <v>24</v>
      </c>
      <c r="E594" s="172" t="s">
        <v>38</v>
      </c>
      <c r="F594" s="172" t="s">
        <v>87</v>
      </c>
      <c r="G594" s="172" t="s">
        <v>84</v>
      </c>
      <c r="H594" s="177">
        <v>1</v>
      </c>
      <c r="I594" s="178">
        <v>0</v>
      </c>
      <c r="J594" s="176">
        <v>46112</v>
      </c>
      <c r="K594" s="172" t="s">
        <v>93</v>
      </c>
      <c r="L594" s="172" t="s">
        <v>94</v>
      </c>
      <c r="M594" s="179">
        <v>0</v>
      </c>
      <c r="N594" s="177"/>
      <c r="O594" s="177">
        <v>32</v>
      </c>
      <c r="P594" s="180">
        <v>-46.77</v>
      </c>
    </row>
    <row r="595" spans="1:16" ht="19.5" hidden="1" customHeight="1">
      <c r="A595" s="172" t="s">
        <v>3614</v>
      </c>
      <c r="B595" s="176">
        <v>46117</v>
      </c>
      <c r="C595" s="172" t="s">
        <v>2694</v>
      </c>
      <c r="D595" s="172" t="s">
        <v>95</v>
      </c>
      <c r="E595" s="172" t="s">
        <v>38</v>
      </c>
      <c r="F595" s="172" t="s">
        <v>87</v>
      </c>
      <c r="G595" s="172" t="s">
        <v>84</v>
      </c>
      <c r="H595" s="177">
        <v>1</v>
      </c>
      <c r="I595" s="178">
        <v>0</v>
      </c>
      <c r="J595" s="176">
        <v>46112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-6.79</v>
      </c>
    </row>
    <row r="596" spans="1:16" ht="19.5" hidden="1" customHeight="1">
      <c r="A596" s="172" t="s">
        <v>3614</v>
      </c>
      <c r="B596" s="176">
        <v>46117</v>
      </c>
      <c r="C596" s="172" t="s">
        <v>92</v>
      </c>
      <c r="D596" s="172" t="s">
        <v>96</v>
      </c>
      <c r="E596" s="172" t="s">
        <v>38</v>
      </c>
      <c r="F596" s="172" t="s">
        <v>87</v>
      </c>
      <c r="G596" s="172" t="s">
        <v>84</v>
      </c>
      <c r="H596" s="177">
        <v>1</v>
      </c>
      <c r="I596" s="178">
        <v>0</v>
      </c>
      <c r="J596" s="176">
        <v>46112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3614</v>
      </c>
      <c r="B597" s="176">
        <v>46117</v>
      </c>
      <c r="C597" s="172" t="s">
        <v>92</v>
      </c>
      <c r="D597" s="172" t="s">
        <v>97</v>
      </c>
      <c r="E597" s="172" t="s">
        <v>38</v>
      </c>
      <c r="F597" s="172" t="s">
        <v>87</v>
      </c>
      <c r="G597" s="172" t="s">
        <v>84</v>
      </c>
      <c r="H597" s="177">
        <v>1</v>
      </c>
      <c r="I597" s="178">
        <v>0</v>
      </c>
      <c r="J597" s="176">
        <v>46112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-46.77</v>
      </c>
    </row>
    <row r="598" spans="1:16" ht="19.5" hidden="1" customHeight="1">
      <c r="A598" s="172" t="s">
        <v>3614</v>
      </c>
      <c r="B598" s="176">
        <v>46117</v>
      </c>
      <c r="C598" s="172" t="s">
        <v>2694</v>
      </c>
      <c r="D598" s="172" t="s">
        <v>98</v>
      </c>
      <c r="E598" s="172" t="s">
        <v>38</v>
      </c>
      <c r="F598" s="172" t="s">
        <v>87</v>
      </c>
      <c r="G598" s="172" t="s">
        <v>84</v>
      </c>
      <c r="H598" s="177">
        <v>1</v>
      </c>
      <c r="I598" s="178">
        <v>0</v>
      </c>
      <c r="J598" s="176">
        <v>46112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-15</v>
      </c>
    </row>
    <row r="599" spans="1:16" ht="19.5" hidden="1" customHeight="1">
      <c r="A599" s="172" t="s">
        <v>3689</v>
      </c>
      <c r="B599" s="176">
        <v>46117</v>
      </c>
      <c r="C599" s="172" t="s">
        <v>92</v>
      </c>
      <c r="D599" s="172" t="s">
        <v>24</v>
      </c>
      <c r="E599" s="172" t="s">
        <v>57</v>
      </c>
      <c r="F599" s="172" t="s">
        <v>1263</v>
      </c>
      <c r="G599" s="172" t="s">
        <v>84</v>
      </c>
      <c r="H599" s="177">
        <v>1</v>
      </c>
      <c r="I599" s="178">
        <v>2393</v>
      </c>
      <c r="J599" s="176">
        <v>46116</v>
      </c>
      <c r="K599" s="172" t="s">
        <v>93</v>
      </c>
      <c r="L599" s="172" t="s">
        <v>94</v>
      </c>
      <c r="M599" s="179">
        <v>0.43</v>
      </c>
      <c r="N599" s="177"/>
      <c r="O599" s="177">
        <v>36</v>
      </c>
      <c r="P599" s="180">
        <v>-120.51</v>
      </c>
    </row>
    <row r="600" spans="1:16" ht="19.5" hidden="1" customHeight="1">
      <c r="A600" s="172" t="s">
        <v>3689</v>
      </c>
      <c r="B600" s="176">
        <v>46117</v>
      </c>
      <c r="C600" s="172" t="s">
        <v>100</v>
      </c>
      <c r="D600" s="172" t="s">
        <v>101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2393</v>
      </c>
      <c r="J600" s="176">
        <v>46116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961.14</v>
      </c>
    </row>
    <row r="601" spans="1:16" ht="19.5" hidden="1" customHeight="1">
      <c r="A601" s="172" t="s">
        <v>3689</v>
      </c>
      <c r="B601" s="176">
        <v>46117</v>
      </c>
      <c r="C601" s="172" t="s">
        <v>100</v>
      </c>
      <c r="D601" s="172" t="s">
        <v>102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2393</v>
      </c>
      <c r="J601" s="176">
        <v>46116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9.61</v>
      </c>
    </row>
    <row r="602" spans="1:16" ht="19.5" hidden="1" customHeight="1">
      <c r="A602" s="172" t="s">
        <v>3689</v>
      </c>
      <c r="B602" s="176">
        <v>46117</v>
      </c>
      <c r="C602" s="172" t="s">
        <v>100</v>
      </c>
      <c r="D602" s="172" t="s">
        <v>103</v>
      </c>
      <c r="E602" s="172" t="s">
        <v>57</v>
      </c>
      <c r="F602" s="172" t="s">
        <v>1263</v>
      </c>
      <c r="G602" s="172" t="s">
        <v>84</v>
      </c>
      <c r="H602" s="177">
        <v>1</v>
      </c>
      <c r="I602" s="178">
        <v>2393</v>
      </c>
      <c r="J602" s="176">
        <v>46116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1422.25</v>
      </c>
    </row>
    <row r="603" spans="1:16" ht="19.5" hidden="1" customHeight="1">
      <c r="A603" s="172" t="s">
        <v>3689</v>
      </c>
      <c r="B603" s="176">
        <v>46117</v>
      </c>
      <c r="C603" s="172" t="s">
        <v>104</v>
      </c>
      <c r="D603" s="172" t="s">
        <v>105</v>
      </c>
      <c r="E603" s="172" t="s">
        <v>57</v>
      </c>
      <c r="F603" s="172" t="s">
        <v>1263</v>
      </c>
      <c r="G603" s="172" t="s">
        <v>84</v>
      </c>
      <c r="H603" s="177">
        <v>1</v>
      </c>
      <c r="I603" s="178">
        <v>2393</v>
      </c>
      <c r="J603" s="176">
        <v>46116</v>
      </c>
      <c r="K603" s="172" t="s">
        <v>93</v>
      </c>
      <c r="L603" s="172" t="s">
        <v>94</v>
      </c>
      <c r="M603" s="179">
        <v>0.43</v>
      </c>
      <c r="N603" s="177"/>
      <c r="O603" s="177"/>
      <c r="P603" s="180">
        <v>-1028.99</v>
      </c>
    </row>
    <row r="604" spans="1:16" ht="19.5" hidden="1" customHeight="1">
      <c r="A604" s="172" t="s">
        <v>3689</v>
      </c>
      <c r="B604" s="176">
        <v>46117</v>
      </c>
      <c r="C604" s="172" t="s">
        <v>2694</v>
      </c>
      <c r="D604" s="172" t="s">
        <v>95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2393</v>
      </c>
      <c r="J604" s="176">
        <v>46116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-6.23</v>
      </c>
    </row>
    <row r="605" spans="1:16" ht="19.5" hidden="1" customHeight="1">
      <c r="A605" s="172" t="s">
        <v>3689</v>
      </c>
      <c r="B605" s="176">
        <v>46117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46116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-18.260000000000002</v>
      </c>
    </row>
    <row r="606" spans="1:16" ht="19.5" hidden="1" customHeight="1">
      <c r="A606" s="172" t="s">
        <v>3690</v>
      </c>
      <c r="B606" s="176">
        <v>46117</v>
      </c>
      <c r="C606" s="172" t="s">
        <v>92</v>
      </c>
      <c r="D606" s="172" t="s">
        <v>24</v>
      </c>
      <c r="E606" s="172" t="s">
        <v>38</v>
      </c>
      <c r="F606" s="172" t="s">
        <v>87</v>
      </c>
      <c r="G606" s="172" t="s">
        <v>84</v>
      </c>
      <c r="H606" s="177">
        <v>1</v>
      </c>
      <c r="I606" s="178">
        <v>0</v>
      </c>
      <c r="J606" s="176">
        <v>46111</v>
      </c>
      <c r="K606" s="172" t="s">
        <v>93</v>
      </c>
      <c r="L606" s="172" t="s">
        <v>94</v>
      </c>
      <c r="M606" s="179">
        <v>0</v>
      </c>
      <c r="N606" s="177"/>
      <c r="O606" s="177">
        <v>33</v>
      </c>
      <c r="P606" s="180">
        <v>-46.77</v>
      </c>
    </row>
    <row r="607" spans="1:16" ht="19.5" hidden="1" customHeight="1">
      <c r="A607" s="172" t="s">
        <v>3690</v>
      </c>
      <c r="B607" s="176">
        <v>46117</v>
      </c>
      <c r="C607" s="172" t="s">
        <v>2694</v>
      </c>
      <c r="D607" s="172" t="s">
        <v>95</v>
      </c>
      <c r="E607" s="172" t="s">
        <v>38</v>
      </c>
      <c r="F607" s="172" t="s">
        <v>87</v>
      </c>
      <c r="G607" s="172" t="s">
        <v>84</v>
      </c>
      <c r="H607" s="177">
        <v>1</v>
      </c>
      <c r="I607" s="178">
        <v>0</v>
      </c>
      <c r="J607" s="176">
        <v>46111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-7.13</v>
      </c>
    </row>
    <row r="608" spans="1:16" ht="19.5" hidden="1" customHeight="1">
      <c r="A608" s="172" t="s">
        <v>3690</v>
      </c>
      <c r="B608" s="176">
        <v>46117</v>
      </c>
      <c r="C608" s="172" t="s">
        <v>92</v>
      </c>
      <c r="D608" s="172" t="s">
        <v>96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0</v>
      </c>
      <c r="J608" s="176">
        <v>46111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hidden="1" customHeight="1">
      <c r="A609" s="172" t="s">
        <v>3690</v>
      </c>
      <c r="B609" s="176">
        <v>46117</v>
      </c>
      <c r="C609" s="172" t="s">
        <v>92</v>
      </c>
      <c r="D609" s="172" t="s">
        <v>97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0</v>
      </c>
      <c r="J609" s="176">
        <v>46111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hidden="1" customHeight="1">
      <c r="A610" s="172" t="s">
        <v>3690</v>
      </c>
      <c r="B610" s="176">
        <v>46117</v>
      </c>
      <c r="C610" s="172" t="s">
        <v>2694</v>
      </c>
      <c r="D610" s="172" t="s">
        <v>98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0</v>
      </c>
      <c r="J610" s="176">
        <v>46111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hidden="1" customHeight="1">
      <c r="A611" s="172" t="s">
        <v>3691</v>
      </c>
      <c r="B611" s="176">
        <v>46117</v>
      </c>
      <c r="C611" s="172" t="s">
        <v>92</v>
      </c>
      <c r="D611" s="172" t="s">
        <v>96</v>
      </c>
      <c r="E611" s="172" t="s">
        <v>55</v>
      </c>
      <c r="F611" s="172" t="s">
        <v>1272</v>
      </c>
      <c r="G611" s="172" t="s">
        <v>84</v>
      </c>
      <c r="H611" s="177">
        <v>1</v>
      </c>
      <c r="I611" s="178">
        <v>0</v>
      </c>
      <c r="J611" s="176">
        <v>46111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0</v>
      </c>
    </row>
    <row r="612" spans="1:16" ht="19.5" hidden="1" customHeight="1">
      <c r="A612" s="172" t="s">
        <v>3691</v>
      </c>
      <c r="B612" s="176">
        <v>46117</v>
      </c>
      <c r="C612" s="172" t="s">
        <v>92</v>
      </c>
      <c r="D612" s="172" t="s">
        <v>97</v>
      </c>
      <c r="E612" s="172" t="s">
        <v>55</v>
      </c>
      <c r="F612" s="172" t="s">
        <v>1272</v>
      </c>
      <c r="G612" s="172" t="s">
        <v>84</v>
      </c>
      <c r="H612" s="177">
        <v>1</v>
      </c>
      <c r="I612" s="178">
        <v>0</v>
      </c>
      <c r="J612" s="176">
        <v>46111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-56.94</v>
      </c>
    </row>
    <row r="613" spans="1:16" ht="19.5" hidden="1" customHeight="1">
      <c r="A613" s="172" t="s">
        <v>3691</v>
      </c>
      <c r="B613" s="176">
        <v>46117</v>
      </c>
      <c r="C613" s="172" t="s">
        <v>2694</v>
      </c>
      <c r="D613" s="172" t="s">
        <v>98</v>
      </c>
      <c r="E613" s="172" t="s">
        <v>55</v>
      </c>
      <c r="F613" s="172" t="s">
        <v>1272</v>
      </c>
      <c r="G613" s="172" t="s">
        <v>84</v>
      </c>
      <c r="H613" s="177">
        <v>1</v>
      </c>
      <c r="I613" s="178">
        <v>0</v>
      </c>
      <c r="J613" s="176">
        <v>46111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3691</v>
      </c>
      <c r="B614" s="176">
        <v>46117</v>
      </c>
      <c r="C614" s="172" t="s">
        <v>92</v>
      </c>
      <c r="D614" s="172" t="s">
        <v>24</v>
      </c>
      <c r="E614" s="172" t="s">
        <v>55</v>
      </c>
      <c r="F614" s="172" t="s">
        <v>1272</v>
      </c>
      <c r="G614" s="172" t="s">
        <v>84</v>
      </c>
      <c r="H614" s="177">
        <v>1</v>
      </c>
      <c r="I614" s="178">
        <v>0</v>
      </c>
      <c r="J614" s="176">
        <v>46111</v>
      </c>
      <c r="K614" s="172" t="s">
        <v>93</v>
      </c>
      <c r="L614" s="172" t="s">
        <v>94</v>
      </c>
      <c r="M614" s="179">
        <v>0</v>
      </c>
      <c r="N614" s="177"/>
      <c r="O614" s="177">
        <v>33</v>
      </c>
      <c r="P614" s="180">
        <v>-56.94</v>
      </c>
    </row>
    <row r="615" spans="1:16" ht="19.5" hidden="1" customHeight="1">
      <c r="A615" s="172" t="s">
        <v>3691</v>
      </c>
      <c r="B615" s="176">
        <v>46117</v>
      </c>
      <c r="C615" s="172" t="s">
        <v>2694</v>
      </c>
      <c r="D615" s="172" t="s">
        <v>95</v>
      </c>
      <c r="E615" s="172" t="s">
        <v>55</v>
      </c>
      <c r="F615" s="172" t="s">
        <v>1272</v>
      </c>
      <c r="G615" s="172" t="s">
        <v>84</v>
      </c>
      <c r="H615" s="177">
        <v>1</v>
      </c>
      <c r="I615" s="178">
        <v>0</v>
      </c>
      <c r="J615" s="176">
        <v>46111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-6.62</v>
      </c>
    </row>
    <row r="616" spans="1:16" ht="19.5" hidden="1" customHeight="1">
      <c r="A616" s="172" t="s">
        <v>3433</v>
      </c>
      <c r="B616" s="176">
        <v>46117</v>
      </c>
      <c r="C616" s="172" t="s">
        <v>109</v>
      </c>
      <c r="D616" s="172" t="s">
        <v>139</v>
      </c>
      <c r="E616" s="172" t="s">
        <v>85</v>
      </c>
      <c r="F616" s="172" t="s">
        <v>85</v>
      </c>
      <c r="G616" s="172" t="s">
        <v>85</v>
      </c>
      <c r="H616" s="177">
        <v>0</v>
      </c>
      <c r="I616" s="178">
        <v>0</v>
      </c>
      <c r="J616" s="176">
        <v>46117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-579.48</v>
      </c>
    </row>
    <row r="617" spans="1:16" ht="19.5" hidden="1" customHeight="1">
      <c r="A617" s="172" t="s">
        <v>3434</v>
      </c>
      <c r="B617" s="176">
        <v>46117</v>
      </c>
      <c r="C617" s="172" t="s">
        <v>109</v>
      </c>
      <c r="D617" s="172" t="s">
        <v>139</v>
      </c>
      <c r="E617" s="172" t="s">
        <v>85</v>
      </c>
      <c r="F617" s="172" t="s">
        <v>85</v>
      </c>
      <c r="G617" s="172" t="s">
        <v>85</v>
      </c>
      <c r="H617" s="177">
        <v>0</v>
      </c>
      <c r="I617" s="178">
        <v>0</v>
      </c>
      <c r="J617" s="176">
        <v>46117</v>
      </c>
      <c r="K617" s="172" t="s">
        <v>85</v>
      </c>
      <c r="L617" s="172" t="s">
        <v>85</v>
      </c>
      <c r="M617" s="179">
        <v>0</v>
      </c>
      <c r="N617" s="177"/>
      <c r="O617" s="177"/>
      <c r="P617" s="180">
        <v>-606.13</v>
      </c>
    </row>
    <row r="618" spans="1:16" ht="19.5" hidden="1" customHeight="1">
      <c r="A618" s="172" t="s">
        <v>3432</v>
      </c>
      <c r="B618" s="176">
        <v>46117</v>
      </c>
      <c r="C618" s="172" t="s">
        <v>109</v>
      </c>
      <c r="D618" s="172" t="s">
        <v>139</v>
      </c>
      <c r="E618" s="172" t="s">
        <v>85</v>
      </c>
      <c r="F618" s="172" t="s">
        <v>85</v>
      </c>
      <c r="G618" s="172" t="s">
        <v>85</v>
      </c>
      <c r="H618" s="177">
        <v>0</v>
      </c>
      <c r="I618" s="178">
        <v>0</v>
      </c>
      <c r="J618" s="176">
        <v>46117</v>
      </c>
      <c r="K618" s="172" t="s">
        <v>85</v>
      </c>
      <c r="L618" s="172" t="s">
        <v>85</v>
      </c>
      <c r="M618" s="179">
        <v>0</v>
      </c>
      <c r="N618" s="177"/>
      <c r="O618" s="177"/>
      <c r="P618" s="180">
        <v>-1073.24</v>
      </c>
    </row>
    <row r="619" spans="1:16" ht="19.5" hidden="1" customHeight="1">
      <c r="A619" s="172" t="s">
        <v>3407</v>
      </c>
      <c r="B619" s="176">
        <v>46117</v>
      </c>
      <c r="C619" s="172" t="s">
        <v>109</v>
      </c>
      <c r="D619" s="172" t="s">
        <v>139</v>
      </c>
      <c r="E619" s="172" t="s">
        <v>85</v>
      </c>
      <c r="F619" s="172" t="s">
        <v>85</v>
      </c>
      <c r="G619" s="172" t="s">
        <v>85</v>
      </c>
      <c r="H619" s="177">
        <v>0</v>
      </c>
      <c r="I619" s="178">
        <v>0</v>
      </c>
      <c r="J619" s="176">
        <v>46117</v>
      </c>
      <c r="K619" s="172" t="s">
        <v>85</v>
      </c>
      <c r="L619" s="172" t="s">
        <v>85</v>
      </c>
      <c r="M619" s="179">
        <v>0</v>
      </c>
      <c r="N619" s="177"/>
      <c r="O619" s="177"/>
      <c r="P619" s="180">
        <v>-462.33</v>
      </c>
    </row>
    <row r="620" spans="1:16" ht="19.5" hidden="1" customHeight="1">
      <c r="A620" s="172" t="s">
        <v>3406</v>
      </c>
      <c r="B620" s="176">
        <v>46117</v>
      </c>
      <c r="C620" s="172" t="s">
        <v>109</v>
      </c>
      <c r="D620" s="172" t="s">
        <v>139</v>
      </c>
      <c r="E620" s="172" t="s">
        <v>85</v>
      </c>
      <c r="F620" s="172" t="s">
        <v>85</v>
      </c>
      <c r="G620" s="172" t="s">
        <v>85</v>
      </c>
      <c r="H620" s="177">
        <v>0</v>
      </c>
      <c r="I620" s="178">
        <v>0</v>
      </c>
      <c r="J620" s="176">
        <v>46117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-616.5</v>
      </c>
    </row>
    <row r="621" spans="1:16" ht="19.5" hidden="1" customHeight="1">
      <c r="A621" s="172" t="s">
        <v>3408</v>
      </c>
      <c r="B621" s="176">
        <v>46117</v>
      </c>
      <c r="C621" s="172" t="s">
        <v>109</v>
      </c>
      <c r="D621" s="172" t="s">
        <v>139</v>
      </c>
      <c r="E621" s="172" t="s">
        <v>85</v>
      </c>
      <c r="F621" s="172" t="s">
        <v>85</v>
      </c>
      <c r="G621" s="172" t="s">
        <v>85</v>
      </c>
      <c r="H621" s="177">
        <v>0</v>
      </c>
      <c r="I621" s="178">
        <v>0</v>
      </c>
      <c r="J621" s="176">
        <v>46117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-895.87</v>
      </c>
    </row>
    <row r="622" spans="1:16" ht="19.5" hidden="1" customHeight="1">
      <c r="A622" s="172" t="s">
        <v>3251</v>
      </c>
      <c r="B622" s="176">
        <v>46117</v>
      </c>
      <c r="C622" s="172" t="s">
        <v>109</v>
      </c>
      <c r="D622" s="172" t="s">
        <v>139</v>
      </c>
      <c r="E622" s="172" t="s">
        <v>85</v>
      </c>
      <c r="F622" s="172" t="s">
        <v>85</v>
      </c>
      <c r="G622" s="172" t="s">
        <v>85</v>
      </c>
      <c r="H622" s="177">
        <v>0</v>
      </c>
      <c r="I622" s="178">
        <v>0</v>
      </c>
      <c r="J622" s="176">
        <v>46117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-1236.3800000000001</v>
      </c>
    </row>
    <row r="623" spans="1:16" ht="19.5" hidden="1" customHeight="1">
      <c r="A623" s="172" t="s">
        <v>3246</v>
      </c>
      <c r="B623" s="176">
        <v>46117</v>
      </c>
      <c r="C623" s="172" t="s">
        <v>109</v>
      </c>
      <c r="D623" s="172" t="s">
        <v>139</v>
      </c>
      <c r="E623" s="172" t="s">
        <v>85</v>
      </c>
      <c r="F623" s="172" t="s">
        <v>85</v>
      </c>
      <c r="G623" s="172" t="s">
        <v>85</v>
      </c>
      <c r="H623" s="177">
        <v>0</v>
      </c>
      <c r="I623" s="178">
        <v>0</v>
      </c>
      <c r="J623" s="176">
        <v>46117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-290.67</v>
      </c>
    </row>
    <row r="624" spans="1:16" ht="19.5" hidden="1" customHeight="1">
      <c r="A624" s="172" t="s">
        <v>3013</v>
      </c>
      <c r="B624" s="176">
        <v>46117</v>
      </c>
      <c r="C624" s="172" t="s">
        <v>109</v>
      </c>
      <c r="D624" s="172" t="s">
        <v>143</v>
      </c>
      <c r="E624" s="172" t="s">
        <v>85</v>
      </c>
      <c r="F624" s="172" t="s">
        <v>85</v>
      </c>
      <c r="G624" s="172" t="s">
        <v>85</v>
      </c>
      <c r="H624" s="177">
        <v>0</v>
      </c>
      <c r="I624" s="178">
        <v>0</v>
      </c>
      <c r="J624" s="176">
        <v>46117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-275</v>
      </c>
    </row>
    <row r="625" spans="1:16" ht="19.5" hidden="1" customHeight="1">
      <c r="A625" s="172" t="s">
        <v>142</v>
      </c>
      <c r="B625" s="176">
        <v>46117</v>
      </c>
      <c r="C625" s="172" t="s">
        <v>109</v>
      </c>
      <c r="D625" s="172" t="s">
        <v>143</v>
      </c>
      <c r="E625" s="172" t="s">
        <v>85</v>
      </c>
      <c r="F625" s="172" t="s">
        <v>85</v>
      </c>
      <c r="G625" s="172" t="s">
        <v>85</v>
      </c>
      <c r="H625" s="177">
        <v>0</v>
      </c>
      <c r="I625" s="178">
        <v>0</v>
      </c>
      <c r="J625" s="176">
        <v>46117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-2781.5</v>
      </c>
    </row>
  </sheetData>
  <autoFilter ref="A1:P625" xr:uid="{111DBDDC-12C7-4C7B-B49E-B14EB102A3BD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sheetPr filterMode="1"/>
  <dimension ref="A1:P309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3426</v>
      </c>
      <c r="B2" s="176">
        <v>46111</v>
      </c>
      <c r="C2" s="172" t="s">
        <v>92</v>
      </c>
      <c r="D2" s="172" t="s">
        <v>272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46104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3426</v>
      </c>
      <c r="B3" s="176">
        <v>46111</v>
      </c>
      <c r="C3" s="172" t="s">
        <v>92</v>
      </c>
      <c r="D3" s="172" t="s">
        <v>97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3426</v>
      </c>
      <c r="B4" s="176">
        <v>46111</v>
      </c>
      <c r="C4" s="172" t="s">
        <v>2694</v>
      </c>
      <c r="D4" s="172" t="s">
        <v>98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46104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customHeight="1">
      <c r="A5" s="172" t="s">
        <v>85</v>
      </c>
      <c r="B5" s="176">
        <v>46111</v>
      </c>
      <c r="C5" s="172" t="s">
        <v>109</v>
      </c>
      <c r="D5" s="172" t="s">
        <v>110</v>
      </c>
      <c r="E5" s="172" t="s">
        <v>85</v>
      </c>
      <c r="F5" s="172" t="s">
        <v>85</v>
      </c>
      <c r="G5" s="172" t="s">
        <v>3520</v>
      </c>
      <c r="H5" s="177">
        <v>0</v>
      </c>
      <c r="I5" s="178">
        <v>0</v>
      </c>
      <c r="J5" s="176">
        <v>46111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-150</v>
      </c>
    </row>
    <row r="6" spans="1:16" ht="19.5" hidden="1" customHeight="1">
      <c r="A6" s="172" t="s">
        <v>3521</v>
      </c>
      <c r="B6" s="176">
        <v>46111</v>
      </c>
      <c r="C6" s="172" t="s">
        <v>1748</v>
      </c>
      <c r="D6" s="172" t="s">
        <v>2749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46104</v>
      </c>
      <c r="K6" s="172" t="s">
        <v>93</v>
      </c>
      <c r="L6" s="172" t="s">
        <v>94</v>
      </c>
      <c r="M6" s="179">
        <v>0</v>
      </c>
      <c r="N6" s="177"/>
      <c r="O6" s="177"/>
      <c r="P6" s="180">
        <v>-5</v>
      </c>
    </row>
    <row r="7" spans="1:16" ht="19.5" hidden="1" customHeight="1">
      <c r="A7" s="172" t="s">
        <v>3521</v>
      </c>
      <c r="B7" s="176">
        <v>46111</v>
      </c>
      <c r="C7" s="172" t="s">
        <v>2694</v>
      </c>
      <c r="D7" s="172" t="s">
        <v>2750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46104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-10</v>
      </c>
    </row>
    <row r="8" spans="1:16" ht="19.5" hidden="1" customHeight="1">
      <c r="A8" s="172" t="s">
        <v>3522</v>
      </c>
      <c r="B8" s="176">
        <v>46111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2750</v>
      </c>
      <c r="J8" s="176">
        <v>46106</v>
      </c>
      <c r="K8" s="172" t="s">
        <v>93</v>
      </c>
      <c r="L8" s="172" t="s">
        <v>94</v>
      </c>
      <c r="M8" s="179">
        <v>0.43</v>
      </c>
      <c r="N8" s="177"/>
      <c r="O8" s="177">
        <v>34</v>
      </c>
      <c r="P8" s="180">
        <v>-98.37</v>
      </c>
    </row>
    <row r="9" spans="1:16" ht="19.5" hidden="1" customHeight="1">
      <c r="A9" s="172" t="s">
        <v>3522</v>
      </c>
      <c r="B9" s="176">
        <v>46111</v>
      </c>
      <c r="C9" s="172" t="s">
        <v>100</v>
      </c>
      <c r="D9" s="172" t="s">
        <v>101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2750</v>
      </c>
      <c r="J9" s="176">
        <v>46106</v>
      </c>
      <c r="K9" s="172" t="s">
        <v>93</v>
      </c>
      <c r="L9" s="172" t="s">
        <v>94</v>
      </c>
      <c r="M9" s="179">
        <v>0</v>
      </c>
      <c r="N9" s="177"/>
      <c r="O9" s="177"/>
      <c r="P9" s="180">
        <v>1219.05</v>
      </c>
    </row>
    <row r="10" spans="1:16" ht="19.5" hidden="1" customHeight="1">
      <c r="A10" s="172" t="s">
        <v>3522</v>
      </c>
      <c r="B10" s="176">
        <v>46111</v>
      </c>
      <c r="C10" s="172" t="s">
        <v>100</v>
      </c>
      <c r="D10" s="172" t="s">
        <v>102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2750</v>
      </c>
      <c r="J10" s="176">
        <v>46106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12.19</v>
      </c>
    </row>
    <row r="11" spans="1:16" ht="19.5" hidden="1" customHeight="1">
      <c r="A11" s="172" t="s">
        <v>3522</v>
      </c>
      <c r="B11" s="176">
        <v>46111</v>
      </c>
      <c r="C11" s="172" t="s">
        <v>100</v>
      </c>
      <c r="D11" s="172" t="s">
        <v>103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2750</v>
      </c>
      <c r="J11" s="176">
        <v>46106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1518.76</v>
      </c>
    </row>
    <row r="12" spans="1:16" ht="19.5" hidden="1" customHeight="1">
      <c r="A12" s="172" t="s">
        <v>3522</v>
      </c>
      <c r="B12" s="176">
        <v>46111</v>
      </c>
      <c r="C12" s="172" t="s">
        <v>104</v>
      </c>
      <c r="D12" s="172" t="s">
        <v>105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2750</v>
      </c>
      <c r="J12" s="176">
        <v>46106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-1182.5</v>
      </c>
    </row>
    <row r="13" spans="1:16" ht="19.5" hidden="1" customHeight="1">
      <c r="A13" s="172" t="s">
        <v>3523</v>
      </c>
      <c r="B13" s="176">
        <v>46111</v>
      </c>
      <c r="C13" s="172" t="s">
        <v>92</v>
      </c>
      <c r="D13" s="172" t="s">
        <v>24</v>
      </c>
      <c r="E13" s="172" t="s">
        <v>58</v>
      </c>
      <c r="F13" s="172" t="s">
        <v>1300</v>
      </c>
      <c r="G13" s="172" t="s">
        <v>84</v>
      </c>
      <c r="H13" s="177">
        <v>1</v>
      </c>
      <c r="I13" s="178">
        <v>2443</v>
      </c>
      <c r="J13" s="176">
        <v>46107</v>
      </c>
      <c r="K13" s="172" t="s">
        <v>93</v>
      </c>
      <c r="L13" s="172" t="s">
        <v>94</v>
      </c>
      <c r="M13" s="179">
        <v>0.43</v>
      </c>
      <c r="N13" s="177"/>
      <c r="O13" s="177">
        <v>35</v>
      </c>
      <c r="P13" s="180">
        <v>-114.25</v>
      </c>
    </row>
    <row r="14" spans="1:16" ht="19.5" hidden="1" customHeight="1">
      <c r="A14" s="172" t="s">
        <v>3523</v>
      </c>
      <c r="B14" s="176">
        <v>46111</v>
      </c>
      <c r="C14" s="172" t="s">
        <v>100</v>
      </c>
      <c r="D14" s="172" t="s">
        <v>101</v>
      </c>
      <c r="E14" s="172" t="s">
        <v>58</v>
      </c>
      <c r="F14" s="172" t="s">
        <v>1300</v>
      </c>
      <c r="G14" s="172" t="s">
        <v>84</v>
      </c>
      <c r="H14" s="177">
        <v>1</v>
      </c>
      <c r="I14" s="178">
        <v>2443</v>
      </c>
      <c r="J14" s="176">
        <v>46107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1383.81</v>
      </c>
    </row>
    <row r="15" spans="1:16" ht="19.5" hidden="1" customHeight="1">
      <c r="A15" s="172" t="s">
        <v>3523</v>
      </c>
      <c r="B15" s="176">
        <v>46111</v>
      </c>
      <c r="C15" s="172" t="s">
        <v>100</v>
      </c>
      <c r="D15" s="172" t="s">
        <v>102</v>
      </c>
      <c r="E15" s="172" t="s">
        <v>58</v>
      </c>
      <c r="F15" s="172" t="s">
        <v>1300</v>
      </c>
      <c r="G15" s="172" t="s">
        <v>84</v>
      </c>
      <c r="H15" s="177">
        <v>1</v>
      </c>
      <c r="I15" s="178">
        <v>2443</v>
      </c>
      <c r="J15" s="176">
        <v>46107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13.84</v>
      </c>
    </row>
    <row r="16" spans="1:16" ht="19.5" hidden="1" customHeight="1">
      <c r="A16" s="172" t="s">
        <v>3523</v>
      </c>
      <c r="B16" s="176">
        <v>46111</v>
      </c>
      <c r="C16" s="172" t="s">
        <v>100</v>
      </c>
      <c r="D16" s="172" t="s">
        <v>103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46107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1045.3499999999999</v>
      </c>
    </row>
    <row r="17" spans="1:16" ht="19.5" hidden="1" customHeight="1">
      <c r="A17" s="172" t="s">
        <v>3523</v>
      </c>
      <c r="B17" s="176">
        <v>46111</v>
      </c>
      <c r="C17" s="172" t="s">
        <v>104</v>
      </c>
      <c r="D17" s="172" t="s">
        <v>105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46107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-1050.49</v>
      </c>
    </row>
    <row r="18" spans="1:16" ht="19.5" hidden="1" customHeight="1">
      <c r="A18" s="172" t="s">
        <v>3523</v>
      </c>
      <c r="B18" s="176">
        <v>46111</v>
      </c>
      <c r="C18" s="172" t="s">
        <v>2694</v>
      </c>
      <c r="D18" s="172" t="s">
        <v>95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46107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-6.25</v>
      </c>
    </row>
    <row r="19" spans="1:16" ht="19.5" hidden="1" customHeight="1">
      <c r="A19" s="172" t="s">
        <v>3524</v>
      </c>
      <c r="B19" s="176">
        <v>46111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46111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-19.649999999999999</v>
      </c>
    </row>
    <row r="20" spans="1:16" ht="19.5" hidden="1" customHeight="1">
      <c r="A20" s="172" t="s">
        <v>3523</v>
      </c>
      <c r="B20" s="176">
        <v>46111</v>
      </c>
      <c r="C20" s="172" t="s">
        <v>2694</v>
      </c>
      <c r="D20" s="172" t="s">
        <v>82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46107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-26.29</v>
      </c>
    </row>
    <row r="21" spans="1:16" ht="19.5" hidden="1" customHeight="1">
      <c r="A21" s="172" t="s">
        <v>3525</v>
      </c>
      <c r="B21" s="176">
        <v>46111</v>
      </c>
      <c r="C21" s="172" t="s">
        <v>92</v>
      </c>
      <c r="D21" s="172" t="s">
        <v>24</v>
      </c>
      <c r="E21" s="172" t="s">
        <v>55</v>
      </c>
      <c r="F21" s="172" t="s">
        <v>1272</v>
      </c>
      <c r="G21" s="172" t="s">
        <v>84</v>
      </c>
      <c r="H21" s="177">
        <v>1</v>
      </c>
      <c r="I21" s="178">
        <v>2420</v>
      </c>
      <c r="J21" s="176">
        <v>46107</v>
      </c>
      <c r="K21" s="172" t="s">
        <v>93</v>
      </c>
      <c r="L21" s="172" t="s">
        <v>94</v>
      </c>
      <c r="M21" s="179">
        <v>0.43</v>
      </c>
      <c r="N21" s="177"/>
      <c r="O21" s="177">
        <v>35</v>
      </c>
      <c r="P21" s="180">
        <v>-113.88</v>
      </c>
    </row>
    <row r="22" spans="1:16" ht="19.5" hidden="1" customHeight="1">
      <c r="A22" s="172" t="s">
        <v>3525</v>
      </c>
      <c r="B22" s="176">
        <v>46111</v>
      </c>
      <c r="C22" s="172" t="s">
        <v>100</v>
      </c>
      <c r="D22" s="172" t="s">
        <v>101</v>
      </c>
      <c r="E22" s="172" t="s">
        <v>55</v>
      </c>
      <c r="F22" s="172" t="s">
        <v>1272</v>
      </c>
      <c r="G22" s="172" t="s">
        <v>84</v>
      </c>
      <c r="H22" s="177">
        <v>1</v>
      </c>
      <c r="I22" s="178">
        <v>2420</v>
      </c>
      <c r="J22" s="176">
        <v>46107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1292.8900000000001</v>
      </c>
    </row>
    <row r="23" spans="1:16" ht="19.5" hidden="1" customHeight="1">
      <c r="A23" s="172" t="s">
        <v>3525</v>
      </c>
      <c r="B23" s="176">
        <v>46111</v>
      </c>
      <c r="C23" s="172" t="s">
        <v>100</v>
      </c>
      <c r="D23" s="172" t="s">
        <v>102</v>
      </c>
      <c r="E23" s="172" t="s">
        <v>55</v>
      </c>
      <c r="F23" s="172" t="s">
        <v>1272</v>
      </c>
      <c r="G23" s="172" t="s">
        <v>84</v>
      </c>
      <c r="H23" s="177">
        <v>1</v>
      </c>
      <c r="I23" s="178">
        <v>2420</v>
      </c>
      <c r="J23" s="176">
        <v>46107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12.93</v>
      </c>
    </row>
    <row r="24" spans="1:16" ht="19.5" hidden="1" customHeight="1">
      <c r="A24" s="172" t="s">
        <v>3525</v>
      </c>
      <c r="B24" s="176">
        <v>46111</v>
      </c>
      <c r="C24" s="172" t="s">
        <v>100</v>
      </c>
      <c r="D24" s="172" t="s">
        <v>103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2420</v>
      </c>
      <c r="J24" s="176">
        <v>46107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1114.18</v>
      </c>
    </row>
    <row r="25" spans="1:16" ht="19.5" hidden="1" customHeight="1">
      <c r="A25" s="172" t="s">
        <v>3525</v>
      </c>
      <c r="B25" s="176">
        <v>46111</v>
      </c>
      <c r="C25" s="172" t="s">
        <v>104</v>
      </c>
      <c r="D25" s="172" t="s">
        <v>105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2420</v>
      </c>
      <c r="J25" s="176">
        <v>46107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-1040.5999999999999</v>
      </c>
    </row>
    <row r="26" spans="1:16" ht="19.5" hidden="1" customHeight="1">
      <c r="A26" s="172" t="s">
        <v>3525</v>
      </c>
      <c r="B26" s="176">
        <v>46111</v>
      </c>
      <c r="C26" s="172" t="s">
        <v>2694</v>
      </c>
      <c r="D26" s="172" t="s">
        <v>95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2420</v>
      </c>
      <c r="J26" s="176">
        <v>46107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-7.54</v>
      </c>
    </row>
    <row r="27" spans="1:16" ht="19.5" hidden="1" customHeight="1">
      <c r="A27" s="172" t="s">
        <v>3526</v>
      </c>
      <c r="B27" s="176">
        <v>46111</v>
      </c>
      <c r="C27" s="172" t="s">
        <v>92</v>
      </c>
      <c r="D27" s="172" t="s">
        <v>24</v>
      </c>
      <c r="E27" s="172" t="s">
        <v>60</v>
      </c>
      <c r="F27" s="172" t="s">
        <v>1426</v>
      </c>
      <c r="G27" s="172" t="s">
        <v>84</v>
      </c>
      <c r="H27" s="177">
        <v>1</v>
      </c>
      <c r="I27" s="178">
        <v>2550</v>
      </c>
      <c r="J27" s="176">
        <v>46104</v>
      </c>
      <c r="K27" s="172" t="s">
        <v>93</v>
      </c>
      <c r="L27" s="172" t="s">
        <v>94</v>
      </c>
      <c r="M27" s="179">
        <v>0.43</v>
      </c>
      <c r="N27" s="177"/>
      <c r="O27" s="177">
        <v>33</v>
      </c>
      <c r="P27" s="180">
        <v>-99.37</v>
      </c>
    </row>
    <row r="28" spans="1:16" ht="19.5" hidden="1" customHeight="1">
      <c r="A28" s="172" t="s">
        <v>3526</v>
      </c>
      <c r="B28" s="176">
        <v>46111</v>
      </c>
      <c r="C28" s="172" t="s">
        <v>100</v>
      </c>
      <c r="D28" s="172" t="s">
        <v>101</v>
      </c>
      <c r="E28" s="172" t="s">
        <v>60</v>
      </c>
      <c r="F28" s="172" t="s">
        <v>1426</v>
      </c>
      <c r="G28" s="172" t="s">
        <v>84</v>
      </c>
      <c r="H28" s="177">
        <v>1</v>
      </c>
      <c r="I28" s="178">
        <v>2550</v>
      </c>
      <c r="J28" s="176">
        <v>46104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1275.24</v>
      </c>
    </row>
    <row r="29" spans="1:16" ht="19.5" hidden="1" customHeight="1">
      <c r="A29" s="172" t="s">
        <v>3526</v>
      </c>
      <c r="B29" s="176">
        <v>46111</v>
      </c>
      <c r="C29" s="172" t="s">
        <v>100</v>
      </c>
      <c r="D29" s="172" t="s">
        <v>102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2550</v>
      </c>
      <c r="J29" s="176">
        <v>46104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12.75</v>
      </c>
    </row>
    <row r="30" spans="1:16" ht="19.5" hidden="1" customHeight="1">
      <c r="A30" s="172" t="s">
        <v>3526</v>
      </c>
      <c r="B30" s="176">
        <v>46111</v>
      </c>
      <c r="C30" s="172" t="s">
        <v>100</v>
      </c>
      <c r="D30" s="172" t="s">
        <v>103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2550</v>
      </c>
      <c r="J30" s="176">
        <v>46104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1262.01</v>
      </c>
    </row>
    <row r="31" spans="1:16" ht="19.5" hidden="1" customHeight="1">
      <c r="A31" s="172" t="s">
        <v>3526</v>
      </c>
      <c r="B31" s="176">
        <v>46111</v>
      </c>
      <c r="C31" s="172" t="s">
        <v>104</v>
      </c>
      <c r="D31" s="172" t="s">
        <v>105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2550</v>
      </c>
      <c r="J31" s="176">
        <v>46104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-1096.5</v>
      </c>
    </row>
    <row r="32" spans="1:16" ht="19.5" hidden="1" customHeight="1">
      <c r="A32" s="172" t="s">
        <v>3526</v>
      </c>
      <c r="B32" s="176">
        <v>46111</v>
      </c>
      <c r="C32" s="172" t="s">
        <v>2694</v>
      </c>
      <c r="D32" s="172" t="s">
        <v>95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2550</v>
      </c>
      <c r="J32" s="176">
        <v>46104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-7.38</v>
      </c>
    </row>
    <row r="33" spans="1:16" ht="19.5" hidden="1" customHeight="1">
      <c r="A33" s="172" t="s">
        <v>3525</v>
      </c>
      <c r="B33" s="176">
        <v>46111</v>
      </c>
      <c r="C33" s="172" t="s">
        <v>2694</v>
      </c>
      <c r="D33" s="172" t="s">
        <v>82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46107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-24.56</v>
      </c>
    </row>
    <row r="34" spans="1:16" ht="19.5" hidden="1" customHeight="1">
      <c r="A34" s="172" t="s">
        <v>3527</v>
      </c>
      <c r="B34" s="176">
        <v>46111</v>
      </c>
      <c r="C34" s="172" t="s">
        <v>92</v>
      </c>
      <c r="D34" s="172" t="s">
        <v>24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2103</v>
      </c>
      <c r="J34" s="176">
        <v>46109</v>
      </c>
      <c r="K34" s="172" t="s">
        <v>93</v>
      </c>
      <c r="L34" s="172" t="s">
        <v>94</v>
      </c>
      <c r="M34" s="179">
        <v>0.43</v>
      </c>
      <c r="N34" s="177"/>
      <c r="O34" s="177">
        <v>34</v>
      </c>
      <c r="P34" s="180">
        <v>-89.31</v>
      </c>
    </row>
    <row r="35" spans="1:16" ht="19.5" hidden="1" customHeight="1">
      <c r="A35" s="172" t="s">
        <v>3527</v>
      </c>
      <c r="B35" s="176">
        <v>46111</v>
      </c>
      <c r="C35" s="172" t="s">
        <v>100</v>
      </c>
      <c r="D35" s="172" t="s">
        <v>101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2103</v>
      </c>
      <c r="J35" s="176">
        <v>46109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756.65</v>
      </c>
    </row>
    <row r="36" spans="1:16" ht="19.5" hidden="1" customHeight="1">
      <c r="A36" s="172" t="s">
        <v>3527</v>
      </c>
      <c r="B36" s="176">
        <v>46111</v>
      </c>
      <c r="C36" s="172" t="s">
        <v>100</v>
      </c>
      <c r="D36" s="172" t="s">
        <v>102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2103</v>
      </c>
      <c r="J36" s="176">
        <v>46109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7.57</v>
      </c>
    </row>
    <row r="37" spans="1:16" ht="19.5" hidden="1" customHeight="1">
      <c r="A37" s="172" t="s">
        <v>3527</v>
      </c>
      <c r="B37" s="176">
        <v>46111</v>
      </c>
      <c r="C37" s="172" t="s">
        <v>100</v>
      </c>
      <c r="D37" s="172" t="s">
        <v>103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2103</v>
      </c>
      <c r="J37" s="176">
        <v>46109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1338.78</v>
      </c>
    </row>
    <row r="38" spans="1:16" ht="19.5" hidden="1" customHeight="1">
      <c r="A38" s="172" t="s">
        <v>3527</v>
      </c>
      <c r="B38" s="176">
        <v>46111</v>
      </c>
      <c r="C38" s="172" t="s">
        <v>104</v>
      </c>
      <c r="D38" s="172" t="s">
        <v>105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2103</v>
      </c>
      <c r="J38" s="176">
        <v>46109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-904.29</v>
      </c>
    </row>
    <row r="39" spans="1:16" ht="19.5" hidden="1" customHeight="1">
      <c r="A39" s="172" t="s">
        <v>3527</v>
      </c>
      <c r="B39" s="176">
        <v>46111</v>
      </c>
      <c r="C39" s="172" t="s">
        <v>2694</v>
      </c>
      <c r="D39" s="172" t="s">
        <v>95</v>
      </c>
      <c r="E39" s="172" t="s">
        <v>39</v>
      </c>
      <c r="F39" s="172" t="s">
        <v>117</v>
      </c>
      <c r="G39" s="172" t="s">
        <v>84</v>
      </c>
      <c r="H39" s="177">
        <v>1</v>
      </c>
      <c r="I39" s="178">
        <v>2103</v>
      </c>
      <c r="J39" s="176">
        <v>46109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-6.58</v>
      </c>
    </row>
    <row r="40" spans="1:16" ht="19.5" hidden="1" customHeight="1">
      <c r="A40" s="172" t="s">
        <v>3528</v>
      </c>
      <c r="B40" s="176">
        <v>46111</v>
      </c>
      <c r="C40" s="172" t="s">
        <v>92</v>
      </c>
      <c r="D40" s="172" t="s">
        <v>24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46092</v>
      </c>
      <c r="K40" s="172" t="s">
        <v>93</v>
      </c>
      <c r="L40" s="172" t="s">
        <v>94</v>
      </c>
      <c r="M40" s="179">
        <v>0</v>
      </c>
      <c r="N40" s="177"/>
      <c r="O40" s="177">
        <v>34</v>
      </c>
      <c r="P40" s="180">
        <v>-46.77</v>
      </c>
    </row>
    <row r="41" spans="1:16" ht="19.5" hidden="1" customHeight="1">
      <c r="A41" s="172" t="s">
        <v>3528</v>
      </c>
      <c r="B41" s="176">
        <v>46111</v>
      </c>
      <c r="C41" s="172" t="s">
        <v>2694</v>
      </c>
      <c r="D41" s="172" t="s">
        <v>95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46092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-12.93</v>
      </c>
    </row>
    <row r="42" spans="1:16" ht="19.5" hidden="1" customHeight="1">
      <c r="A42" s="172" t="s">
        <v>3528</v>
      </c>
      <c r="B42" s="176">
        <v>46111</v>
      </c>
      <c r="C42" s="172" t="s">
        <v>92</v>
      </c>
      <c r="D42" s="172" t="s">
        <v>96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46092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0</v>
      </c>
    </row>
    <row r="43" spans="1:16" ht="19.5" hidden="1" customHeight="1">
      <c r="A43" s="172" t="s">
        <v>3528</v>
      </c>
      <c r="B43" s="176">
        <v>46111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46092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-46.77</v>
      </c>
    </row>
    <row r="44" spans="1:16" ht="19.5" hidden="1" customHeight="1">
      <c r="A44" s="172" t="s">
        <v>3526</v>
      </c>
      <c r="B44" s="176">
        <v>46111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46104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-24.23</v>
      </c>
    </row>
    <row r="45" spans="1:16" ht="19.5" hidden="1" customHeight="1">
      <c r="A45" s="172" t="s">
        <v>3529</v>
      </c>
      <c r="B45" s="176">
        <v>46111</v>
      </c>
      <c r="C45" s="172" t="s">
        <v>92</v>
      </c>
      <c r="D45" s="172" t="s">
        <v>24</v>
      </c>
      <c r="E45" s="172" t="s">
        <v>58</v>
      </c>
      <c r="F45" s="172" t="s">
        <v>1300</v>
      </c>
      <c r="G45" s="172" t="s">
        <v>84</v>
      </c>
      <c r="H45" s="177">
        <v>1</v>
      </c>
      <c r="I45" s="178">
        <v>2443</v>
      </c>
      <c r="J45" s="176">
        <v>46108</v>
      </c>
      <c r="K45" s="172" t="s">
        <v>93</v>
      </c>
      <c r="L45" s="172" t="s">
        <v>94</v>
      </c>
      <c r="M45" s="179">
        <v>0.43</v>
      </c>
      <c r="N45" s="177"/>
      <c r="O45" s="177">
        <v>35</v>
      </c>
      <c r="P45" s="180">
        <v>-114.25</v>
      </c>
    </row>
    <row r="46" spans="1:16" ht="19.5" hidden="1" customHeight="1">
      <c r="A46" s="172" t="s">
        <v>3529</v>
      </c>
      <c r="B46" s="176">
        <v>46111</v>
      </c>
      <c r="C46" s="172" t="s">
        <v>100</v>
      </c>
      <c r="D46" s="172" t="s">
        <v>101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2443</v>
      </c>
      <c r="J46" s="176">
        <v>46108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858.1</v>
      </c>
    </row>
    <row r="47" spans="1:16" ht="19.5" hidden="1" customHeight="1">
      <c r="A47" s="172" t="s">
        <v>3529</v>
      </c>
      <c r="B47" s="176">
        <v>46111</v>
      </c>
      <c r="C47" s="172" t="s">
        <v>100</v>
      </c>
      <c r="D47" s="172" t="s">
        <v>102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2443</v>
      </c>
      <c r="J47" s="176">
        <v>46108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8.58</v>
      </c>
    </row>
    <row r="48" spans="1:16" ht="19.5" hidden="1" customHeight="1">
      <c r="A48" s="172" t="s">
        <v>3529</v>
      </c>
      <c r="B48" s="176">
        <v>46111</v>
      </c>
      <c r="C48" s="172" t="s">
        <v>100</v>
      </c>
      <c r="D48" s="172" t="s">
        <v>103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2443</v>
      </c>
      <c r="J48" s="176">
        <v>46108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1576.32</v>
      </c>
    </row>
    <row r="49" spans="1:16" ht="19.5" hidden="1" customHeight="1">
      <c r="A49" s="172" t="s">
        <v>3529</v>
      </c>
      <c r="B49" s="176">
        <v>46111</v>
      </c>
      <c r="C49" s="172" t="s">
        <v>104</v>
      </c>
      <c r="D49" s="172" t="s">
        <v>105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2443</v>
      </c>
      <c r="J49" s="176">
        <v>46108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-1050.49</v>
      </c>
    </row>
    <row r="50" spans="1:16" ht="19.5" hidden="1" customHeight="1">
      <c r="A50" s="172" t="s">
        <v>3529</v>
      </c>
      <c r="B50" s="176">
        <v>46111</v>
      </c>
      <c r="C50" s="172" t="s">
        <v>2694</v>
      </c>
      <c r="D50" s="172" t="s">
        <v>95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2443</v>
      </c>
      <c r="J50" s="176">
        <v>46108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-5.89</v>
      </c>
    </row>
    <row r="51" spans="1:16" ht="19.5" hidden="1" customHeight="1">
      <c r="A51" s="172" t="s">
        <v>3529</v>
      </c>
      <c r="B51" s="176">
        <v>46111</v>
      </c>
      <c r="C51" s="172" t="s">
        <v>2694</v>
      </c>
      <c r="D51" s="172" t="s">
        <v>82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0</v>
      </c>
      <c r="J51" s="176">
        <v>46108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-16.3</v>
      </c>
    </row>
    <row r="52" spans="1:16" ht="19.5" hidden="1" customHeight="1">
      <c r="A52" s="172" t="s">
        <v>3530</v>
      </c>
      <c r="B52" s="176">
        <v>46111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0</v>
      </c>
      <c r="J52" s="176">
        <v>46078</v>
      </c>
      <c r="K52" s="172" t="s">
        <v>93</v>
      </c>
      <c r="L52" s="172" t="s">
        <v>94</v>
      </c>
      <c r="M52" s="179">
        <v>0</v>
      </c>
      <c r="N52" s="177"/>
      <c r="O52" s="177">
        <v>37</v>
      </c>
      <c r="P52" s="180">
        <v>-56.94</v>
      </c>
    </row>
    <row r="53" spans="1:16" ht="19.5" hidden="1" customHeight="1">
      <c r="A53" s="172" t="s">
        <v>3530</v>
      </c>
      <c r="B53" s="176">
        <v>46111</v>
      </c>
      <c r="C53" s="172" t="s">
        <v>92</v>
      </c>
      <c r="D53" s="172" t="s">
        <v>96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0</v>
      </c>
      <c r="J53" s="176">
        <v>46078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0</v>
      </c>
    </row>
    <row r="54" spans="1:16" ht="19.5" hidden="1" customHeight="1">
      <c r="A54" s="172" t="s">
        <v>3530</v>
      </c>
      <c r="B54" s="176">
        <v>46111</v>
      </c>
      <c r="C54" s="172" t="s">
        <v>92</v>
      </c>
      <c r="D54" s="172" t="s">
        <v>97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-56.94</v>
      </c>
    </row>
    <row r="55" spans="1:16" ht="19.5" hidden="1" customHeight="1">
      <c r="A55" s="172" t="s">
        <v>3404</v>
      </c>
      <c r="B55" s="176">
        <v>46111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0</v>
      </c>
      <c r="J55" s="176">
        <v>46105</v>
      </c>
      <c r="K55" s="172" t="s">
        <v>93</v>
      </c>
      <c r="L55" s="172" t="s">
        <v>94</v>
      </c>
      <c r="M55" s="179">
        <v>0</v>
      </c>
      <c r="N55" s="177"/>
      <c r="O55" s="177">
        <v>34</v>
      </c>
      <c r="P55" s="180">
        <v>-46.77</v>
      </c>
    </row>
    <row r="56" spans="1:16" ht="19.5" hidden="1" customHeight="1">
      <c r="A56" s="172" t="s">
        <v>3404</v>
      </c>
      <c r="B56" s="176">
        <v>46111</v>
      </c>
      <c r="C56" s="172" t="s">
        <v>2694</v>
      </c>
      <c r="D56" s="172" t="s">
        <v>95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0</v>
      </c>
      <c r="J56" s="176">
        <v>46105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-6.37</v>
      </c>
    </row>
    <row r="57" spans="1:16" ht="19.5" hidden="1" customHeight="1">
      <c r="A57" s="172" t="s">
        <v>3531</v>
      </c>
      <c r="B57" s="176">
        <v>46111</v>
      </c>
      <c r="C57" s="172" t="s">
        <v>1748</v>
      </c>
      <c r="D57" s="172" t="s">
        <v>2749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46109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</v>
      </c>
    </row>
    <row r="58" spans="1:16" ht="19.5" hidden="1" customHeight="1">
      <c r="A58" s="172" t="s">
        <v>3531</v>
      </c>
      <c r="B58" s="176">
        <v>46111</v>
      </c>
      <c r="C58" s="172" t="s">
        <v>2694</v>
      </c>
      <c r="D58" s="172" t="s">
        <v>2750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46109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-10</v>
      </c>
    </row>
    <row r="59" spans="1:16" ht="19.5" hidden="1" customHeight="1">
      <c r="A59" s="172" t="s">
        <v>3404</v>
      </c>
      <c r="B59" s="176">
        <v>46111</v>
      </c>
      <c r="C59" s="172" t="s">
        <v>92</v>
      </c>
      <c r="D59" s="172" t="s">
        <v>96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46105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hidden="1" customHeight="1">
      <c r="A60" s="172" t="s">
        <v>3404</v>
      </c>
      <c r="B60" s="176">
        <v>46111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46105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hidden="1" customHeight="1">
      <c r="A61" s="172" t="s">
        <v>3404</v>
      </c>
      <c r="B61" s="176">
        <v>46111</v>
      </c>
      <c r="C61" s="172" t="s">
        <v>2694</v>
      </c>
      <c r="D61" s="172" t="s">
        <v>98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46105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hidden="1" customHeight="1">
      <c r="A62" s="172" t="s">
        <v>3532</v>
      </c>
      <c r="B62" s="176">
        <v>46111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2039</v>
      </c>
      <c r="J62" s="176">
        <v>46102</v>
      </c>
      <c r="K62" s="172" t="s">
        <v>93</v>
      </c>
      <c r="L62" s="172" t="s">
        <v>94</v>
      </c>
      <c r="M62" s="179">
        <v>0.43</v>
      </c>
      <c r="N62" s="177"/>
      <c r="O62" s="177">
        <v>31</v>
      </c>
      <c r="P62" s="180">
        <v>-63.12</v>
      </c>
    </row>
    <row r="63" spans="1:16" ht="19.5" hidden="1" customHeight="1">
      <c r="A63" s="172" t="s">
        <v>3532</v>
      </c>
      <c r="B63" s="176">
        <v>46111</v>
      </c>
      <c r="C63" s="172" t="s">
        <v>100</v>
      </c>
      <c r="D63" s="172" t="s">
        <v>101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2039</v>
      </c>
      <c r="J63" s="176">
        <v>46102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956.27</v>
      </c>
    </row>
    <row r="64" spans="1:16" ht="19.5" hidden="1" customHeight="1">
      <c r="A64" s="172" t="s">
        <v>3532</v>
      </c>
      <c r="B64" s="176">
        <v>46111</v>
      </c>
      <c r="C64" s="172" t="s">
        <v>100</v>
      </c>
      <c r="D64" s="172" t="s">
        <v>102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2039</v>
      </c>
      <c r="J64" s="176">
        <v>46102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9.56</v>
      </c>
    </row>
    <row r="65" spans="1:16" ht="19.5" hidden="1" customHeight="1">
      <c r="A65" s="172" t="s">
        <v>3532</v>
      </c>
      <c r="B65" s="176">
        <v>46111</v>
      </c>
      <c r="C65" s="172" t="s">
        <v>100</v>
      </c>
      <c r="D65" s="172" t="s">
        <v>103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2039</v>
      </c>
      <c r="J65" s="176">
        <v>46102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1073.17</v>
      </c>
    </row>
    <row r="66" spans="1:16" ht="19.5" hidden="1" customHeight="1">
      <c r="A66" s="172" t="s">
        <v>3532</v>
      </c>
      <c r="B66" s="176">
        <v>46111</v>
      </c>
      <c r="C66" s="172" t="s">
        <v>104</v>
      </c>
      <c r="D66" s="172" t="s">
        <v>105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2039</v>
      </c>
      <c r="J66" s="176">
        <v>46102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-876.77</v>
      </c>
    </row>
    <row r="67" spans="1:16" ht="19.5" hidden="1" customHeight="1">
      <c r="A67" s="172" t="s">
        <v>3532</v>
      </c>
      <c r="B67" s="176">
        <v>46111</v>
      </c>
      <c r="C67" s="172" t="s">
        <v>2694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2039</v>
      </c>
      <c r="J67" s="176">
        <v>46102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-17.399999999999999</v>
      </c>
    </row>
    <row r="68" spans="1:16" ht="19.5" hidden="1" customHeight="1">
      <c r="A68" s="172" t="s">
        <v>3532</v>
      </c>
      <c r="B68" s="176">
        <v>46111</v>
      </c>
      <c r="C68" s="172" t="s">
        <v>2694</v>
      </c>
      <c r="D68" s="172" t="s">
        <v>82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46102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-18.170000000000002</v>
      </c>
    </row>
    <row r="69" spans="1:16" ht="19.5" hidden="1" customHeight="1">
      <c r="A69" s="172" t="s">
        <v>3497</v>
      </c>
      <c r="B69" s="176">
        <v>46111</v>
      </c>
      <c r="C69" s="172" t="s">
        <v>92</v>
      </c>
      <c r="D69" s="172" t="s">
        <v>24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0</v>
      </c>
      <c r="J69" s="176">
        <v>46108</v>
      </c>
      <c r="K69" s="172" t="s">
        <v>93</v>
      </c>
      <c r="L69" s="172" t="s">
        <v>94</v>
      </c>
      <c r="M69" s="179">
        <v>0</v>
      </c>
      <c r="N69" s="177"/>
      <c r="O69" s="177">
        <v>35</v>
      </c>
      <c r="P69" s="180">
        <v>-56.94</v>
      </c>
    </row>
    <row r="70" spans="1:16" ht="19.5" hidden="1" customHeight="1">
      <c r="A70" s="172" t="s">
        <v>3497</v>
      </c>
      <c r="B70" s="176">
        <v>46111</v>
      </c>
      <c r="C70" s="172" t="s">
        <v>2694</v>
      </c>
      <c r="D70" s="172" t="s">
        <v>95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0</v>
      </c>
      <c r="J70" s="176">
        <v>46108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-6.18</v>
      </c>
    </row>
    <row r="71" spans="1:16" ht="19.5" hidden="1" customHeight="1">
      <c r="A71" s="172" t="s">
        <v>3497</v>
      </c>
      <c r="B71" s="176">
        <v>46111</v>
      </c>
      <c r="C71" s="172" t="s">
        <v>92</v>
      </c>
      <c r="D71" s="172" t="s">
        <v>96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46108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0</v>
      </c>
    </row>
    <row r="72" spans="1:16" ht="19.5" hidden="1" customHeight="1">
      <c r="A72" s="172" t="s">
        <v>3497</v>
      </c>
      <c r="B72" s="176">
        <v>46111</v>
      </c>
      <c r="C72" s="172" t="s">
        <v>92</v>
      </c>
      <c r="D72" s="172" t="s">
        <v>97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46108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-56.94</v>
      </c>
    </row>
    <row r="73" spans="1:16" ht="19.5" hidden="1" customHeight="1">
      <c r="A73" s="172" t="s">
        <v>3497</v>
      </c>
      <c r="B73" s="176">
        <v>46111</v>
      </c>
      <c r="C73" s="172" t="s">
        <v>2694</v>
      </c>
      <c r="D73" s="172" t="s">
        <v>98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46108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-15</v>
      </c>
    </row>
    <row r="74" spans="1:16" ht="19.5" hidden="1" customHeight="1">
      <c r="A74" s="172" t="s">
        <v>3533</v>
      </c>
      <c r="B74" s="176">
        <v>46111</v>
      </c>
      <c r="C74" s="172" t="s">
        <v>92</v>
      </c>
      <c r="D74" s="172" t="s">
        <v>24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46107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-56.94</v>
      </c>
    </row>
    <row r="75" spans="1:16" ht="19.5" hidden="1" customHeight="1">
      <c r="A75" s="172" t="s">
        <v>3533</v>
      </c>
      <c r="B75" s="176">
        <v>46111</v>
      </c>
      <c r="C75" s="172" t="s">
        <v>2694</v>
      </c>
      <c r="D75" s="172" t="s">
        <v>95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-5.71</v>
      </c>
    </row>
    <row r="76" spans="1:16" ht="19.5" hidden="1" customHeight="1">
      <c r="A76" s="172" t="s">
        <v>3533</v>
      </c>
      <c r="B76" s="176">
        <v>46111</v>
      </c>
      <c r="C76" s="172" t="s">
        <v>92</v>
      </c>
      <c r="D76" s="172" t="s">
        <v>96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46107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3533</v>
      </c>
      <c r="B77" s="176">
        <v>46111</v>
      </c>
      <c r="C77" s="172" t="s">
        <v>92</v>
      </c>
      <c r="D77" s="172" t="s">
        <v>97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46107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-56.94</v>
      </c>
    </row>
    <row r="78" spans="1:16" ht="19.5" hidden="1" customHeight="1">
      <c r="A78" s="172" t="s">
        <v>3533</v>
      </c>
      <c r="B78" s="176">
        <v>46111</v>
      </c>
      <c r="C78" s="172" t="s">
        <v>2694</v>
      </c>
      <c r="D78" s="172" t="s">
        <v>98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46107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3534</v>
      </c>
      <c r="B79" s="176">
        <v>46111</v>
      </c>
      <c r="C79" s="172" t="s">
        <v>92</v>
      </c>
      <c r="D79" s="172" t="s">
        <v>24</v>
      </c>
      <c r="E79" s="172" t="s">
        <v>56</v>
      </c>
      <c r="F79" s="172" t="s">
        <v>1213</v>
      </c>
      <c r="G79" s="172" t="s">
        <v>84</v>
      </c>
      <c r="H79" s="177">
        <v>1</v>
      </c>
      <c r="I79" s="178">
        <v>2420</v>
      </c>
      <c r="J79" s="176">
        <v>46110</v>
      </c>
      <c r="K79" s="172" t="s">
        <v>93</v>
      </c>
      <c r="L79" s="172" t="s">
        <v>94</v>
      </c>
      <c r="M79" s="179">
        <v>0.43</v>
      </c>
      <c r="N79" s="177"/>
      <c r="O79" s="177">
        <v>33</v>
      </c>
      <c r="P79" s="180">
        <v>-97.87</v>
      </c>
    </row>
    <row r="80" spans="1:16" ht="19.5" hidden="1" customHeight="1">
      <c r="A80" s="172" t="s">
        <v>3534</v>
      </c>
      <c r="B80" s="176">
        <v>46111</v>
      </c>
      <c r="C80" s="172" t="s">
        <v>100</v>
      </c>
      <c r="D80" s="172" t="s">
        <v>101</v>
      </c>
      <c r="E80" s="172" t="s">
        <v>56</v>
      </c>
      <c r="F80" s="172" t="s">
        <v>1213</v>
      </c>
      <c r="G80" s="172" t="s">
        <v>84</v>
      </c>
      <c r="H80" s="177">
        <v>1</v>
      </c>
      <c r="I80" s="178">
        <v>2420</v>
      </c>
      <c r="J80" s="176">
        <v>46110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949.52</v>
      </c>
    </row>
    <row r="81" spans="1:16" ht="19.5" hidden="1" customHeight="1">
      <c r="A81" s="172" t="s">
        <v>3534</v>
      </c>
      <c r="B81" s="176">
        <v>46111</v>
      </c>
      <c r="C81" s="172" t="s">
        <v>100</v>
      </c>
      <c r="D81" s="172" t="s">
        <v>102</v>
      </c>
      <c r="E81" s="172" t="s">
        <v>56</v>
      </c>
      <c r="F81" s="172" t="s">
        <v>1213</v>
      </c>
      <c r="G81" s="172" t="s">
        <v>84</v>
      </c>
      <c r="H81" s="177">
        <v>1</v>
      </c>
      <c r="I81" s="178">
        <v>2420</v>
      </c>
      <c r="J81" s="176">
        <v>46110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hidden="1" customHeight="1">
      <c r="A82" s="172" t="s">
        <v>3534</v>
      </c>
      <c r="B82" s="176">
        <v>46111</v>
      </c>
      <c r="C82" s="172" t="s">
        <v>100</v>
      </c>
      <c r="D82" s="172" t="s">
        <v>103</v>
      </c>
      <c r="E82" s="172" t="s">
        <v>56</v>
      </c>
      <c r="F82" s="172" t="s">
        <v>1213</v>
      </c>
      <c r="G82" s="172" t="s">
        <v>84</v>
      </c>
      <c r="H82" s="177">
        <v>1</v>
      </c>
      <c r="I82" s="178">
        <v>2420</v>
      </c>
      <c r="J82" s="176">
        <v>46110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1470.48</v>
      </c>
    </row>
    <row r="83" spans="1:16" ht="19.5" hidden="1" customHeight="1">
      <c r="A83" s="172" t="s">
        <v>3534</v>
      </c>
      <c r="B83" s="176">
        <v>46111</v>
      </c>
      <c r="C83" s="172" t="s">
        <v>104</v>
      </c>
      <c r="D83" s="172" t="s">
        <v>105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2420</v>
      </c>
      <c r="J83" s="176">
        <v>46110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-1040.5999999999999</v>
      </c>
    </row>
    <row r="84" spans="1:16" ht="19.5" hidden="1" customHeight="1">
      <c r="A84" s="172" t="s">
        <v>3534</v>
      </c>
      <c r="B84" s="176">
        <v>46111</v>
      </c>
      <c r="C84" s="172" t="s">
        <v>2694</v>
      </c>
      <c r="D84" s="172" t="s">
        <v>95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2420</v>
      </c>
      <c r="J84" s="176">
        <v>46110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-5.7</v>
      </c>
    </row>
    <row r="85" spans="1:16" ht="19.5" hidden="1" customHeight="1">
      <c r="A85" s="172" t="s">
        <v>3535</v>
      </c>
      <c r="B85" s="176">
        <v>46111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2393</v>
      </c>
      <c r="J85" s="176">
        <v>46109</v>
      </c>
      <c r="K85" s="172" t="s">
        <v>93</v>
      </c>
      <c r="L85" s="172" t="s">
        <v>94</v>
      </c>
      <c r="M85" s="179">
        <v>0.43</v>
      </c>
      <c r="N85" s="177"/>
      <c r="O85" s="177">
        <v>34</v>
      </c>
      <c r="P85" s="180">
        <v>-106.38</v>
      </c>
    </row>
    <row r="86" spans="1:16" ht="19.5" hidden="1" customHeight="1">
      <c r="A86" s="172" t="s">
        <v>3535</v>
      </c>
      <c r="B86" s="176">
        <v>46111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2393</v>
      </c>
      <c r="J86" s="176">
        <v>46109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911.43</v>
      </c>
    </row>
    <row r="87" spans="1:16" ht="19.5" hidden="1" customHeight="1">
      <c r="A87" s="172" t="s">
        <v>3535</v>
      </c>
      <c r="B87" s="176">
        <v>46111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2393</v>
      </c>
      <c r="J87" s="176">
        <v>46109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9.11</v>
      </c>
    </row>
    <row r="88" spans="1:16" ht="19.5" hidden="1" customHeight="1">
      <c r="A88" s="172" t="s">
        <v>3535</v>
      </c>
      <c r="B88" s="176">
        <v>46111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2393</v>
      </c>
      <c r="J88" s="176">
        <v>46109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1472.46</v>
      </c>
    </row>
    <row r="89" spans="1:16" ht="19.5" hidden="1" customHeight="1">
      <c r="A89" s="172" t="s">
        <v>3535</v>
      </c>
      <c r="B89" s="176">
        <v>46111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2393</v>
      </c>
      <c r="J89" s="176">
        <v>46109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-1028.99</v>
      </c>
    </row>
    <row r="90" spans="1:16" ht="19.5" hidden="1" customHeight="1">
      <c r="A90" s="172" t="s">
        <v>3535</v>
      </c>
      <c r="B90" s="176">
        <v>46111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2393</v>
      </c>
      <c r="J90" s="176">
        <v>46109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-14.51</v>
      </c>
    </row>
    <row r="91" spans="1:16" ht="19.5" hidden="1" customHeight="1">
      <c r="A91" s="172" t="s">
        <v>3536</v>
      </c>
      <c r="B91" s="176">
        <v>46111</v>
      </c>
      <c r="C91" s="172" t="s">
        <v>92</v>
      </c>
      <c r="D91" s="172" t="s">
        <v>24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46102</v>
      </c>
      <c r="K91" s="172" t="s">
        <v>93</v>
      </c>
      <c r="L91" s="172" t="s">
        <v>94</v>
      </c>
      <c r="M91" s="179">
        <v>0</v>
      </c>
      <c r="N91" s="177"/>
      <c r="O91" s="177">
        <v>31</v>
      </c>
      <c r="P91" s="180">
        <v>-46.77</v>
      </c>
    </row>
    <row r="92" spans="1:16" ht="19.5" hidden="1" customHeight="1">
      <c r="A92" s="172" t="s">
        <v>3536</v>
      </c>
      <c r="B92" s="176">
        <v>46111</v>
      </c>
      <c r="C92" s="172" t="s">
        <v>2694</v>
      </c>
      <c r="D92" s="172" t="s">
        <v>95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46102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-6.45</v>
      </c>
    </row>
    <row r="93" spans="1:16" ht="19.5" hidden="1" customHeight="1">
      <c r="A93" s="172" t="s">
        <v>3536</v>
      </c>
      <c r="B93" s="176">
        <v>46111</v>
      </c>
      <c r="C93" s="172" t="s">
        <v>92</v>
      </c>
      <c r="D93" s="172" t="s">
        <v>96</v>
      </c>
      <c r="E93" s="172" t="s">
        <v>39</v>
      </c>
      <c r="F93" s="172" t="s">
        <v>117</v>
      </c>
      <c r="G93" s="172" t="s">
        <v>84</v>
      </c>
      <c r="H93" s="177">
        <v>1</v>
      </c>
      <c r="I93" s="178">
        <v>0</v>
      </c>
      <c r="J93" s="176">
        <v>46102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3536</v>
      </c>
      <c r="B94" s="176">
        <v>46111</v>
      </c>
      <c r="C94" s="172" t="s">
        <v>92</v>
      </c>
      <c r="D94" s="172" t="s">
        <v>97</v>
      </c>
      <c r="E94" s="172" t="s">
        <v>39</v>
      </c>
      <c r="F94" s="172" t="s">
        <v>117</v>
      </c>
      <c r="G94" s="172" t="s">
        <v>84</v>
      </c>
      <c r="H94" s="177">
        <v>1</v>
      </c>
      <c r="I94" s="178">
        <v>0</v>
      </c>
      <c r="J94" s="176">
        <v>46102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-46.77</v>
      </c>
    </row>
    <row r="95" spans="1:16" ht="19.5" hidden="1" customHeight="1">
      <c r="A95" s="172" t="s">
        <v>3536</v>
      </c>
      <c r="B95" s="176">
        <v>46111</v>
      </c>
      <c r="C95" s="172" t="s">
        <v>2694</v>
      </c>
      <c r="D95" s="172" t="s">
        <v>98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46102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3537</v>
      </c>
      <c r="B96" s="176">
        <v>46111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46110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3537</v>
      </c>
      <c r="B97" s="176">
        <v>46111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46110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3538</v>
      </c>
      <c r="B98" s="176">
        <v>46111</v>
      </c>
      <c r="C98" s="172" t="s">
        <v>92</v>
      </c>
      <c r="D98" s="172" t="s">
        <v>24</v>
      </c>
      <c r="E98" s="172" t="s">
        <v>43</v>
      </c>
      <c r="F98" s="172" t="s">
        <v>125</v>
      </c>
      <c r="G98" s="172" t="s">
        <v>84</v>
      </c>
      <c r="H98" s="177">
        <v>1</v>
      </c>
      <c r="I98" s="178">
        <v>2750</v>
      </c>
      <c r="J98" s="176">
        <v>46110</v>
      </c>
      <c r="K98" s="172" t="s">
        <v>93</v>
      </c>
      <c r="L98" s="172" t="s">
        <v>94</v>
      </c>
      <c r="M98" s="179">
        <v>0.43</v>
      </c>
      <c r="N98" s="177"/>
      <c r="O98" s="177">
        <v>33</v>
      </c>
      <c r="P98" s="180">
        <v>-89.16</v>
      </c>
    </row>
    <row r="99" spans="1:16" ht="19.5" hidden="1" customHeight="1">
      <c r="A99" s="172" t="s">
        <v>3538</v>
      </c>
      <c r="B99" s="176">
        <v>46111</v>
      </c>
      <c r="C99" s="172" t="s">
        <v>100</v>
      </c>
      <c r="D99" s="172" t="s">
        <v>101</v>
      </c>
      <c r="E99" s="172" t="s">
        <v>43</v>
      </c>
      <c r="F99" s="172" t="s">
        <v>125</v>
      </c>
      <c r="G99" s="172" t="s">
        <v>84</v>
      </c>
      <c r="H99" s="177">
        <v>1</v>
      </c>
      <c r="I99" s="178">
        <v>2750</v>
      </c>
      <c r="J99" s="176">
        <v>46110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1001.9</v>
      </c>
    </row>
    <row r="100" spans="1:16" ht="19.5" hidden="1" customHeight="1">
      <c r="A100" s="172" t="s">
        <v>3538</v>
      </c>
      <c r="B100" s="176">
        <v>46111</v>
      </c>
      <c r="C100" s="172" t="s">
        <v>100</v>
      </c>
      <c r="D100" s="172" t="s">
        <v>102</v>
      </c>
      <c r="E100" s="172" t="s">
        <v>43</v>
      </c>
      <c r="F100" s="172" t="s">
        <v>125</v>
      </c>
      <c r="G100" s="172" t="s">
        <v>84</v>
      </c>
      <c r="H100" s="177">
        <v>1</v>
      </c>
      <c r="I100" s="178">
        <v>2750</v>
      </c>
      <c r="J100" s="176">
        <v>46110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10.02</v>
      </c>
    </row>
    <row r="101" spans="1:16" ht="19.5" hidden="1" customHeight="1">
      <c r="A101" s="172" t="s">
        <v>3538</v>
      </c>
      <c r="B101" s="176">
        <v>46111</v>
      </c>
      <c r="C101" s="172" t="s">
        <v>100</v>
      </c>
      <c r="D101" s="172" t="s">
        <v>103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2750</v>
      </c>
      <c r="J101" s="176">
        <v>46110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1738.08</v>
      </c>
    </row>
    <row r="102" spans="1:16" ht="19.5" hidden="1" customHeight="1">
      <c r="A102" s="172" t="s">
        <v>3538</v>
      </c>
      <c r="B102" s="176">
        <v>46111</v>
      </c>
      <c r="C102" s="172" t="s">
        <v>104</v>
      </c>
      <c r="D102" s="172" t="s">
        <v>105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2750</v>
      </c>
      <c r="J102" s="176">
        <v>46110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-1182.5</v>
      </c>
    </row>
    <row r="103" spans="1:16" ht="19.5" hidden="1" customHeight="1">
      <c r="A103" s="172" t="s">
        <v>3538</v>
      </c>
      <c r="B103" s="176">
        <v>46111</v>
      </c>
      <c r="C103" s="172" t="s">
        <v>2694</v>
      </c>
      <c r="D103" s="172" t="s">
        <v>95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2750</v>
      </c>
      <c r="J103" s="176">
        <v>46110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-6.87</v>
      </c>
    </row>
    <row r="104" spans="1:16" ht="19.5" hidden="1" customHeight="1">
      <c r="A104" s="172" t="s">
        <v>3539</v>
      </c>
      <c r="B104" s="176">
        <v>46111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0</v>
      </c>
      <c r="J104" s="176">
        <v>46108</v>
      </c>
      <c r="K104" s="172" t="s">
        <v>93</v>
      </c>
      <c r="L104" s="172" t="s">
        <v>94</v>
      </c>
      <c r="M104" s="179">
        <v>0</v>
      </c>
      <c r="N104" s="177"/>
      <c r="O104" s="177">
        <v>35</v>
      </c>
      <c r="P104" s="180">
        <v>-56.94</v>
      </c>
    </row>
    <row r="105" spans="1:16" ht="19.5" hidden="1" customHeight="1">
      <c r="A105" s="172" t="s">
        <v>3539</v>
      </c>
      <c r="B105" s="176">
        <v>46111</v>
      </c>
      <c r="C105" s="172" t="s">
        <v>2694</v>
      </c>
      <c r="D105" s="172" t="s">
        <v>95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0</v>
      </c>
      <c r="J105" s="176">
        <v>46108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-5.56</v>
      </c>
    </row>
    <row r="106" spans="1:16" ht="19.5" hidden="1" customHeight="1">
      <c r="A106" s="172" t="s">
        <v>3540</v>
      </c>
      <c r="B106" s="176">
        <v>46111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0</v>
      </c>
      <c r="J106" s="176">
        <v>46102</v>
      </c>
      <c r="K106" s="172" t="s">
        <v>93</v>
      </c>
      <c r="L106" s="172" t="s">
        <v>94</v>
      </c>
      <c r="M106" s="179">
        <v>0</v>
      </c>
      <c r="N106" s="177"/>
      <c r="O106" s="177">
        <v>31</v>
      </c>
      <c r="P106" s="180">
        <v>-46.77</v>
      </c>
    </row>
    <row r="107" spans="1:16" ht="19.5" hidden="1" customHeight="1">
      <c r="A107" s="172" t="s">
        <v>3540</v>
      </c>
      <c r="B107" s="176">
        <v>46111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0</v>
      </c>
      <c r="J107" s="176">
        <v>46102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-8.2899999999999991</v>
      </c>
    </row>
    <row r="108" spans="1:16" ht="19.5" hidden="1" customHeight="1">
      <c r="A108" s="172" t="s">
        <v>3539</v>
      </c>
      <c r="B108" s="176">
        <v>46111</v>
      </c>
      <c r="C108" s="172" t="s">
        <v>92</v>
      </c>
      <c r="D108" s="172" t="s">
        <v>96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0</v>
      </c>
      <c r="J108" s="176">
        <v>46108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3539</v>
      </c>
      <c r="B109" s="176">
        <v>46111</v>
      </c>
      <c r="C109" s="172" t="s">
        <v>92</v>
      </c>
      <c r="D109" s="172" t="s">
        <v>97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0</v>
      </c>
      <c r="J109" s="176">
        <v>46108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-56.94</v>
      </c>
    </row>
    <row r="110" spans="1:16" ht="19.5" hidden="1" customHeight="1">
      <c r="A110" s="172" t="s">
        <v>3539</v>
      </c>
      <c r="B110" s="176">
        <v>46111</v>
      </c>
      <c r="C110" s="172" t="s">
        <v>2694</v>
      </c>
      <c r="D110" s="172" t="s">
        <v>98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46108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3538</v>
      </c>
      <c r="B111" s="176">
        <v>46111</v>
      </c>
      <c r="C111" s="172" t="s">
        <v>2694</v>
      </c>
      <c r="D111" s="172" t="s">
        <v>82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46110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-19.04</v>
      </c>
    </row>
    <row r="112" spans="1:16" ht="19.5" hidden="1" customHeight="1">
      <c r="A112" s="172" t="s">
        <v>3540</v>
      </c>
      <c r="B112" s="176">
        <v>46111</v>
      </c>
      <c r="C112" s="172" t="s">
        <v>92</v>
      </c>
      <c r="D112" s="172" t="s">
        <v>96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46102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0</v>
      </c>
    </row>
    <row r="113" spans="1:16" ht="19.5" hidden="1" customHeight="1">
      <c r="A113" s="172" t="s">
        <v>3540</v>
      </c>
      <c r="B113" s="176">
        <v>46111</v>
      </c>
      <c r="C113" s="172" t="s">
        <v>92</v>
      </c>
      <c r="D113" s="172" t="s">
        <v>97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46102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-46.77</v>
      </c>
    </row>
    <row r="114" spans="1:16" ht="19.5" hidden="1" customHeight="1">
      <c r="A114" s="172" t="s">
        <v>3540</v>
      </c>
      <c r="B114" s="176">
        <v>46111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46102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3541</v>
      </c>
      <c r="B115" s="176">
        <v>46111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-6.31</v>
      </c>
    </row>
    <row r="116" spans="1:16" ht="19.5" hidden="1" customHeight="1">
      <c r="A116" s="172" t="s">
        <v>3542</v>
      </c>
      <c r="B116" s="176">
        <v>46111</v>
      </c>
      <c r="C116" s="172" t="s">
        <v>92</v>
      </c>
      <c r="D116" s="172" t="s">
        <v>24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2146</v>
      </c>
      <c r="J116" s="176">
        <v>46109</v>
      </c>
      <c r="K116" s="172" t="s">
        <v>93</v>
      </c>
      <c r="L116" s="172" t="s">
        <v>94</v>
      </c>
      <c r="M116" s="179">
        <v>0.43</v>
      </c>
      <c r="N116" s="177"/>
      <c r="O116" s="177">
        <v>34</v>
      </c>
      <c r="P116" s="180">
        <v>-89.91</v>
      </c>
    </row>
    <row r="117" spans="1:16" ht="19.5" hidden="1" customHeight="1">
      <c r="A117" s="172" t="s">
        <v>3542</v>
      </c>
      <c r="B117" s="176">
        <v>46111</v>
      </c>
      <c r="C117" s="172" t="s">
        <v>100</v>
      </c>
      <c r="D117" s="172" t="s">
        <v>101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2146</v>
      </c>
      <c r="J117" s="176">
        <v>46109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771.43</v>
      </c>
    </row>
    <row r="118" spans="1:16" ht="19.5" hidden="1" customHeight="1">
      <c r="A118" s="172" t="s">
        <v>3542</v>
      </c>
      <c r="B118" s="176">
        <v>46111</v>
      </c>
      <c r="C118" s="172" t="s">
        <v>100</v>
      </c>
      <c r="D118" s="172" t="s">
        <v>102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7.71</v>
      </c>
    </row>
    <row r="119" spans="1:16" ht="19.5" hidden="1" customHeight="1">
      <c r="A119" s="172" t="s">
        <v>3542</v>
      </c>
      <c r="B119" s="176">
        <v>46111</v>
      </c>
      <c r="C119" s="172" t="s">
        <v>100</v>
      </c>
      <c r="D119" s="172" t="s">
        <v>103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1366.86</v>
      </c>
    </row>
    <row r="120" spans="1:16" ht="19.5" hidden="1" customHeight="1">
      <c r="A120" s="172" t="s">
        <v>3542</v>
      </c>
      <c r="B120" s="176">
        <v>46111</v>
      </c>
      <c r="C120" s="172" t="s">
        <v>104</v>
      </c>
      <c r="D120" s="172" t="s">
        <v>105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-922.78</v>
      </c>
    </row>
    <row r="121" spans="1:16" ht="19.5" hidden="1" customHeight="1">
      <c r="A121" s="172" t="s">
        <v>3542</v>
      </c>
      <c r="B121" s="176">
        <v>46111</v>
      </c>
      <c r="C121" s="172" t="s">
        <v>2694</v>
      </c>
      <c r="D121" s="172" t="s">
        <v>95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-4.55</v>
      </c>
    </row>
    <row r="122" spans="1:16" ht="19.5" hidden="1" customHeight="1">
      <c r="A122" s="172" t="s">
        <v>3542</v>
      </c>
      <c r="B122" s="176">
        <v>46111</v>
      </c>
      <c r="C122" s="172" t="s">
        <v>2694</v>
      </c>
      <c r="D122" s="172" t="s">
        <v>82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0</v>
      </c>
      <c r="J122" s="176">
        <v>46109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-14.66</v>
      </c>
    </row>
    <row r="123" spans="1:16" ht="19.5" hidden="1" customHeight="1">
      <c r="A123" s="172" t="s">
        <v>3543</v>
      </c>
      <c r="B123" s="176">
        <v>46111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2163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>
        <v>34</v>
      </c>
      <c r="P123" s="180">
        <v>-103.16</v>
      </c>
    </row>
    <row r="124" spans="1:16" ht="19.5" hidden="1" customHeight="1">
      <c r="A124" s="172" t="s">
        <v>3543</v>
      </c>
      <c r="B124" s="176">
        <v>46111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2163</v>
      </c>
      <c r="J124" s="176">
        <v>46109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752.85</v>
      </c>
    </row>
    <row r="125" spans="1:16" ht="19.5" hidden="1" customHeight="1">
      <c r="A125" s="172" t="s">
        <v>3543</v>
      </c>
      <c r="B125" s="176">
        <v>46111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2163</v>
      </c>
      <c r="J125" s="176">
        <v>46109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7.53</v>
      </c>
    </row>
    <row r="126" spans="1:16" ht="19.5" hidden="1" customHeight="1">
      <c r="A126" s="172" t="s">
        <v>3543</v>
      </c>
      <c r="B126" s="176">
        <v>46111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2163</v>
      </c>
      <c r="J126" s="176">
        <v>46109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1402.62</v>
      </c>
    </row>
    <row r="127" spans="1:16" ht="19.5" hidden="1" customHeight="1">
      <c r="A127" s="172" t="s">
        <v>3543</v>
      </c>
      <c r="B127" s="176">
        <v>46111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2163</v>
      </c>
      <c r="J127" s="176">
        <v>46109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-930.09</v>
      </c>
    </row>
    <row r="128" spans="1:16" ht="19.5" hidden="1" customHeight="1">
      <c r="A128" s="172" t="s">
        <v>3543</v>
      </c>
      <c r="B128" s="176">
        <v>46111</v>
      </c>
      <c r="C128" s="172" t="s">
        <v>2694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2163</v>
      </c>
      <c r="J128" s="176">
        <v>46109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-9.34</v>
      </c>
    </row>
    <row r="129" spans="1:16" ht="19.5" hidden="1" customHeight="1">
      <c r="A129" s="172" t="s">
        <v>3544</v>
      </c>
      <c r="B129" s="176">
        <v>46111</v>
      </c>
      <c r="C129" s="172" t="s">
        <v>2694</v>
      </c>
      <c r="D129" s="172" t="s">
        <v>82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0</v>
      </c>
      <c r="J129" s="176">
        <v>46111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-19.02</v>
      </c>
    </row>
    <row r="130" spans="1:16" ht="19.5" hidden="1" customHeight="1">
      <c r="A130" s="172" t="s">
        <v>3545</v>
      </c>
      <c r="B130" s="176">
        <v>46111</v>
      </c>
      <c r="C130" s="172" t="s">
        <v>92</v>
      </c>
      <c r="D130" s="172" t="s">
        <v>24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2750</v>
      </c>
      <c r="J130" s="176">
        <v>46108</v>
      </c>
      <c r="K130" s="172" t="s">
        <v>93</v>
      </c>
      <c r="L130" s="172" t="s">
        <v>94</v>
      </c>
      <c r="M130" s="179">
        <v>0.43</v>
      </c>
      <c r="N130" s="177"/>
      <c r="O130" s="177">
        <v>35</v>
      </c>
      <c r="P130" s="180">
        <v>-105.74</v>
      </c>
    </row>
    <row r="131" spans="1:16" ht="19.5" hidden="1" customHeight="1">
      <c r="A131" s="172" t="s">
        <v>3545</v>
      </c>
      <c r="B131" s="176">
        <v>46111</v>
      </c>
      <c r="C131" s="172" t="s">
        <v>100</v>
      </c>
      <c r="D131" s="172" t="s">
        <v>101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2750</v>
      </c>
      <c r="J131" s="176">
        <v>46108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1225.71</v>
      </c>
    </row>
    <row r="132" spans="1:16" ht="19.5" hidden="1" customHeight="1">
      <c r="A132" s="172" t="s">
        <v>3545</v>
      </c>
      <c r="B132" s="176">
        <v>46111</v>
      </c>
      <c r="C132" s="172" t="s">
        <v>100</v>
      </c>
      <c r="D132" s="172" t="s">
        <v>102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2750</v>
      </c>
      <c r="J132" s="176">
        <v>46108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hidden="1" customHeight="1">
      <c r="A133" s="172" t="s">
        <v>3545</v>
      </c>
      <c r="B133" s="176">
        <v>46111</v>
      </c>
      <c r="C133" s="172" t="s">
        <v>100</v>
      </c>
      <c r="D133" s="172" t="s">
        <v>103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2750</v>
      </c>
      <c r="J133" s="176">
        <v>46108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1524.29</v>
      </c>
    </row>
    <row r="134" spans="1:16" ht="19.5" hidden="1" customHeight="1">
      <c r="A134" s="172" t="s">
        <v>3545</v>
      </c>
      <c r="B134" s="176">
        <v>46111</v>
      </c>
      <c r="C134" s="172" t="s">
        <v>104</v>
      </c>
      <c r="D134" s="172" t="s">
        <v>105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2750</v>
      </c>
      <c r="J134" s="176">
        <v>46108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-1182.5</v>
      </c>
    </row>
    <row r="135" spans="1:16" ht="19.5" hidden="1" customHeight="1">
      <c r="A135" s="172" t="s">
        <v>3545</v>
      </c>
      <c r="B135" s="176">
        <v>46111</v>
      </c>
      <c r="C135" s="172" t="s">
        <v>2694</v>
      </c>
      <c r="D135" s="172" t="s">
        <v>95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2750</v>
      </c>
      <c r="J135" s="176">
        <v>46108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-5.59</v>
      </c>
    </row>
    <row r="136" spans="1:16" ht="19.5" hidden="1" customHeight="1">
      <c r="A136" s="172" t="s">
        <v>3545</v>
      </c>
      <c r="B136" s="176">
        <v>46111</v>
      </c>
      <c r="C136" s="172" t="s">
        <v>2694</v>
      </c>
      <c r="D136" s="172" t="s">
        <v>82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0</v>
      </c>
      <c r="J136" s="176">
        <v>46108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-15.69</v>
      </c>
    </row>
    <row r="137" spans="1:16" ht="19.5" hidden="1" customHeight="1">
      <c r="A137" s="172" t="s">
        <v>3546</v>
      </c>
      <c r="B137" s="176">
        <v>46111</v>
      </c>
      <c r="C137" s="172" t="s">
        <v>92</v>
      </c>
      <c r="D137" s="172" t="s">
        <v>24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46104</v>
      </c>
      <c r="K137" s="172" t="s">
        <v>93</v>
      </c>
      <c r="L137" s="172" t="s">
        <v>94</v>
      </c>
      <c r="M137" s="179">
        <v>0</v>
      </c>
      <c r="N137" s="177"/>
      <c r="O137" s="177">
        <v>33</v>
      </c>
      <c r="P137" s="180">
        <v>-56.94</v>
      </c>
    </row>
    <row r="138" spans="1:16" ht="19.5" hidden="1" customHeight="1">
      <c r="A138" s="172" t="s">
        <v>3546</v>
      </c>
      <c r="B138" s="176">
        <v>46111</v>
      </c>
      <c r="C138" s="172" t="s">
        <v>2694</v>
      </c>
      <c r="D138" s="172" t="s">
        <v>95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46104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-7.97</v>
      </c>
    </row>
    <row r="139" spans="1:16" ht="19.5" hidden="1" customHeight="1">
      <c r="A139" s="172" t="s">
        <v>3546</v>
      </c>
      <c r="B139" s="176">
        <v>46111</v>
      </c>
      <c r="C139" s="172" t="s">
        <v>92</v>
      </c>
      <c r="D139" s="172" t="s">
        <v>96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46104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0</v>
      </c>
    </row>
    <row r="140" spans="1:16" ht="19.5" hidden="1" customHeight="1">
      <c r="A140" s="172" t="s">
        <v>3546</v>
      </c>
      <c r="B140" s="176">
        <v>46111</v>
      </c>
      <c r="C140" s="172" t="s">
        <v>92</v>
      </c>
      <c r="D140" s="172" t="s">
        <v>97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0</v>
      </c>
      <c r="J140" s="176">
        <v>46104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-56.94</v>
      </c>
    </row>
    <row r="141" spans="1:16" ht="19.5" hidden="1" customHeight="1">
      <c r="A141" s="172" t="s">
        <v>3546</v>
      </c>
      <c r="B141" s="176">
        <v>46111</v>
      </c>
      <c r="C141" s="172" t="s">
        <v>2694</v>
      </c>
      <c r="D141" s="172" t="s">
        <v>98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46104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3547</v>
      </c>
      <c r="B142" s="176">
        <v>46111</v>
      </c>
      <c r="C142" s="172" t="s">
        <v>92</v>
      </c>
      <c r="D142" s="172" t="s">
        <v>24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2103</v>
      </c>
      <c r="J142" s="176">
        <v>46110</v>
      </c>
      <c r="K142" s="172" t="s">
        <v>93</v>
      </c>
      <c r="L142" s="172" t="s">
        <v>94</v>
      </c>
      <c r="M142" s="179">
        <v>0.43</v>
      </c>
      <c r="N142" s="177"/>
      <c r="O142" s="177">
        <v>33</v>
      </c>
      <c r="P142" s="180">
        <v>-81.709999999999994</v>
      </c>
    </row>
    <row r="143" spans="1:16" ht="19.5" hidden="1" customHeight="1">
      <c r="A143" s="172" t="s">
        <v>3547</v>
      </c>
      <c r="B143" s="176">
        <v>46111</v>
      </c>
      <c r="C143" s="172" t="s">
        <v>100</v>
      </c>
      <c r="D143" s="172" t="s">
        <v>101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2103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758.1</v>
      </c>
    </row>
    <row r="144" spans="1:16" ht="19.5" hidden="1" customHeight="1">
      <c r="A144" s="172" t="s">
        <v>3547</v>
      </c>
      <c r="B144" s="176">
        <v>46111</v>
      </c>
      <c r="C144" s="172" t="s">
        <v>100</v>
      </c>
      <c r="D144" s="172" t="s">
        <v>102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2103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7.58</v>
      </c>
    </row>
    <row r="145" spans="1:16" ht="19.5" hidden="1" customHeight="1">
      <c r="A145" s="172" t="s">
        <v>3547</v>
      </c>
      <c r="B145" s="176">
        <v>46111</v>
      </c>
      <c r="C145" s="172" t="s">
        <v>100</v>
      </c>
      <c r="D145" s="172" t="s">
        <v>103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2103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1337.32</v>
      </c>
    </row>
    <row r="146" spans="1:16" ht="19.5" hidden="1" customHeight="1">
      <c r="A146" s="172" t="s">
        <v>3547</v>
      </c>
      <c r="B146" s="176">
        <v>46111</v>
      </c>
      <c r="C146" s="172" t="s">
        <v>104</v>
      </c>
      <c r="D146" s="172" t="s">
        <v>105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2103</v>
      </c>
      <c r="J146" s="176">
        <v>46110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-904.29</v>
      </c>
    </row>
    <row r="147" spans="1:16" ht="19.5" hidden="1" customHeight="1">
      <c r="A147" s="172" t="s">
        <v>3547</v>
      </c>
      <c r="B147" s="176">
        <v>46111</v>
      </c>
      <c r="C147" s="172" t="s">
        <v>2694</v>
      </c>
      <c r="D147" s="172" t="s">
        <v>95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2103</v>
      </c>
      <c r="J147" s="176">
        <v>46110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-7.74</v>
      </c>
    </row>
    <row r="148" spans="1:16" ht="19.5" hidden="1" customHeight="1">
      <c r="A148" s="172" t="s">
        <v>3548</v>
      </c>
      <c r="B148" s="176">
        <v>46111</v>
      </c>
      <c r="C148" s="172" t="s">
        <v>92</v>
      </c>
      <c r="D148" s="172" t="s">
        <v>24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2163</v>
      </c>
      <c r="J148" s="176">
        <v>46108</v>
      </c>
      <c r="K148" s="172" t="s">
        <v>93</v>
      </c>
      <c r="L148" s="172" t="s">
        <v>94</v>
      </c>
      <c r="M148" s="179">
        <v>0.43</v>
      </c>
      <c r="N148" s="177"/>
      <c r="O148" s="177">
        <v>35</v>
      </c>
      <c r="P148" s="180">
        <v>-109.77</v>
      </c>
    </row>
    <row r="149" spans="1:16" ht="19.5" hidden="1" customHeight="1">
      <c r="A149" s="172" t="s">
        <v>3548</v>
      </c>
      <c r="B149" s="176">
        <v>46111</v>
      </c>
      <c r="C149" s="172" t="s">
        <v>100</v>
      </c>
      <c r="D149" s="172" t="s">
        <v>101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2163</v>
      </c>
      <c r="J149" s="176">
        <v>46108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754.29</v>
      </c>
    </row>
    <row r="150" spans="1:16" ht="19.5" hidden="1" customHeight="1">
      <c r="A150" s="172" t="s">
        <v>3548</v>
      </c>
      <c r="B150" s="176">
        <v>46111</v>
      </c>
      <c r="C150" s="172" t="s">
        <v>100</v>
      </c>
      <c r="D150" s="172" t="s">
        <v>102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2163</v>
      </c>
      <c r="J150" s="176">
        <v>46108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7.54</v>
      </c>
    </row>
    <row r="151" spans="1:16" ht="19.5" hidden="1" customHeight="1">
      <c r="A151" s="172" t="s">
        <v>3548</v>
      </c>
      <c r="B151" s="176">
        <v>46111</v>
      </c>
      <c r="C151" s="172" t="s">
        <v>100</v>
      </c>
      <c r="D151" s="172" t="s">
        <v>103</v>
      </c>
      <c r="E151" s="172" t="s">
        <v>52</v>
      </c>
      <c r="F151" s="172" t="s">
        <v>90</v>
      </c>
      <c r="G151" s="172" t="s">
        <v>84</v>
      </c>
      <c r="H151" s="177">
        <v>1</v>
      </c>
      <c r="I151" s="178">
        <v>2163</v>
      </c>
      <c r="J151" s="176">
        <v>46108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1401.17</v>
      </c>
    </row>
    <row r="152" spans="1:16" ht="19.5" hidden="1" customHeight="1">
      <c r="A152" s="172" t="s">
        <v>3548</v>
      </c>
      <c r="B152" s="176">
        <v>46111</v>
      </c>
      <c r="C152" s="172" t="s">
        <v>104</v>
      </c>
      <c r="D152" s="172" t="s">
        <v>105</v>
      </c>
      <c r="E152" s="172" t="s">
        <v>52</v>
      </c>
      <c r="F152" s="172" t="s">
        <v>90</v>
      </c>
      <c r="G152" s="172" t="s">
        <v>84</v>
      </c>
      <c r="H152" s="177">
        <v>1</v>
      </c>
      <c r="I152" s="178">
        <v>2163</v>
      </c>
      <c r="J152" s="176">
        <v>46108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-930.09</v>
      </c>
    </row>
    <row r="153" spans="1:16" ht="19.5" hidden="1" customHeight="1">
      <c r="A153" s="172" t="s">
        <v>3548</v>
      </c>
      <c r="B153" s="176">
        <v>46111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2163</v>
      </c>
      <c r="J153" s="176">
        <v>46108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-6.87</v>
      </c>
    </row>
    <row r="154" spans="1:16" ht="19.5" hidden="1" customHeight="1">
      <c r="A154" s="172" t="s">
        <v>3549</v>
      </c>
      <c r="B154" s="176">
        <v>46111</v>
      </c>
      <c r="C154" s="172" t="s">
        <v>92</v>
      </c>
      <c r="D154" s="172" t="s">
        <v>24</v>
      </c>
      <c r="E154" s="172" t="s">
        <v>57</v>
      </c>
      <c r="F154" s="172" t="s">
        <v>1263</v>
      </c>
      <c r="G154" s="172" t="s">
        <v>84</v>
      </c>
      <c r="H154" s="177">
        <v>1</v>
      </c>
      <c r="I154" s="178">
        <v>0</v>
      </c>
      <c r="J154" s="176">
        <v>46108</v>
      </c>
      <c r="K154" s="172" t="s">
        <v>93</v>
      </c>
      <c r="L154" s="172" t="s">
        <v>94</v>
      </c>
      <c r="M154" s="179">
        <v>0</v>
      </c>
      <c r="N154" s="177"/>
      <c r="O154" s="177">
        <v>35</v>
      </c>
      <c r="P154" s="180">
        <v>-56.94</v>
      </c>
    </row>
    <row r="155" spans="1:16" ht="19.5" hidden="1" customHeight="1">
      <c r="A155" s="172" t="s">
        <v>3549</v>
      </c>
      <c r="B155" s="176">
        <v>46111</v>
      </c>
      <c r="C155" s="172" t="s">
        <v>2694</v>
      </c>
      <c r="D155" s="172" t="s">
        <v>95</v>
      </c>
      <c r="E155" s="172" t="s">
        <v>57</v>
      </c>
      <c r="F155" s="172" t="s">
        <v>1263</v>
      </c>
      <c r="G155" s="172" t="s">
        <v>84</v>
      </c>
      <c r="H155" s="177">
        <v>1</v>
      </c>
      <c r="I155" s="178">
        <v>0</v>
      </c>
      <c r="J155" s="176">
        <v>46108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-9.3000000000000007</v>
      </c>
    </row>
    <row r="156" spans="1:16" ht="19.5" hidden="1" customHeight="1">
      <c r="A156" s="172" t="s">
        <v>3549</v>
      </c>
      <c r="B156" s="176">
        <v>46111</v>
      </c>
      <c r="C156" s="172" t="s">
        <v>92</v>
      </c>
      <c r="D156" s="172" t="s">
        <v>96</v>
      </c>
      <c r="E156" s="172" t="s">
        <v>57</v>
      </c>
      <c r="F156" s="172" t="s">
        <v>1263</v>
      </c>
      <c r="G156" s="172" t="s">
        <v>84</v>
      </c>
      <c r="H156" s="177">
        <v>1</v>
      </c>
      <c r="I156" s="178">
        <v>0</v>
      </c>
      <c r="J156" s="176">
        <v>46108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3549</v>
      </c>
      <c r="B157" s="176">
        <v>46111</v>
      </c>
      <c r="C157" s="172" t="s">
        <v>92</v>
      </c>
      <c r="D157" s="172" t="s">
        <v>97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46108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3549</v>
      </c>
      <c r="B158" s="176">
        <v>46111</v>
      </c>
      <c r="C158" s="172" t="s">
        <v>2694</v>
      </c>
      <c r="D158" s="172" t="s">
        <v>98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46108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3550</v>
      </c>
      <c r="B159" s="176">
        <v>46111</v>
      </c>
      <c r="C159" s="172" t="s">
        <v>2694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-15.89</v>
      </c>
    </row>
    <row r="160" spans="1:16" ht="19.5" hidden="1" customHeight="1">
      <c r="A160" s="172" t="s">
        <v>3551</v>
      </c>
      <c r="B160" s="176">
        <v>46111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46106</v>
      </c>
      <c r="K160" s="172" t="s">
        <v>93</v>
      </c>
      <c r="L160" s="172" t="s">
        <v>94</v>
      </c>
      <c r="M160" s="179">
        <v>0</v>
      </c>
      <c r="N160" s="177"/>
      <c r="O160" s="177">
        <v>34</v>
      </c>
      <c r="P160" s="180">
        <v>-56.94</v>
      </c>
    </row>
    <row r="161" spans="1:16" ht="19.5" hidden="1" customHeight="1">
      <c r="A161" s="172" t="s">
        <v>3551</v>
      </c>
      <c r="B161" s="176">
        <v>46111</v>
      </c>
      <c r="C161" s="172" t="s">
        <v>2694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46106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-5.87</v>
      </c>
    </row>
    <row r="162" spans="1:16" ht="19.5" hidden="1" customHeight="1">
      <c r="A162" s="172" t="s">
        <v>3551</v>
      </c>
      <c r="B162" s="176">
        <v>46111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46106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hidden="1" customHeight="1">
      <c r="A163" s="172" t="s">
        <v>3551</v>
      </c>
      <c r="B163" s="176">
        <v>46111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46106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-56.94</v>
      </c>
    </row>
    <row r="164" spans="1:16" ht="19.5" hidden="1" customHeight="1">
      <c r="A164" s="172" t="s">
        <v>3551</v>
      </c>
      <c r="B164" s="176">
        <v>46111</v>
      </c>
      <c r="C164" s="172" t="s">
        <v>2694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46106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hidden="1" customHeight="1">
      <c r="A165" s="172" t="s">
        <v>3552</v>
      </c>
      <c r="B165" s="176">
        <v>46111</v>
      </c>
      <c r="C165" s="172" t="s">
        <v>2694</v>
      </c>
      <c r="D165" s="172" t="s">
        <v>82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46111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-22.22</v>
      </c>
    </row>
    <row r="166" spans="1:16" ht="19.5" hidden="1" customHeight="1">
      <c r="A166" s="172" t="s">
        <v>3499</v>
      </c>
      <c r="B166" s="176">
        <v>46111</v>
      </c>
      <c r="C166" s="172" t="s">
        <v>92</v>
      </c>
      <c r="D166" s="172" t="s">
        <v>96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0</v>
      </c>
      <c r="J166" s="176">
        <v>46107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3499</v>
      </c>
      <c r="B167" s="176">
        <v>46111</v>
      </c>
      <c r="C167" s="172" t="s">
        <v>92</v>
      </c>
      <c r="D167" s="172" t="s">
        <v>97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0</v>
      </c>
      <c r="J167" s="176">
        <v>46107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3499</v>
      </c>
      <c r="B168" s="176">
        <v>46111</v>
      </c>
      <c r="C168" s="172" t="s">
        <v>2694</v>
      </c>
      <c r="D168" s="172" t="s">
        <v>98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0</v>
      </c>
      <c r="J168" s="176">
        <v>46107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3499</v>
      </c>
      <c r="B169" s="176">
        <v>46111</v>
      </c>
      <c r="C169" s="172" t="s">
        <v>92</v>
      </c>
      <c r="D169" s="172" t="s">
        <v>24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46107</v>
      </c>
      <c r="K169" s="172" t="s">
        <v>93</v>
      </c>
      <c r="L169" s="172" t="s">
        <v>94</v>
      </c>
      <c r="M169" s="179">
        <v>0</v>
      </c>
      <c r="N169" s="177"/>
      <c r="O169" s="177">
        <v>35</v>
      </c>
      <c r="P169" s="180">
        <v>-46.77</v>
      </c>
    </row>
    <row r="170" spans="1:16" ht="19.5" hidden="1" customHeight="1">
      <c r="A170" s="172" t="s">
        <v>3499</v>
      </c>
      <c r="B170" s="176">
        <v>46111</v>
      </c>
      <c r="C170" s="172" t="s">
        <v>2694</v>
      </c>
      <c r="D170" s="172" t="s">
        <v>95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46107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-8.3699999999999992</v>
      </c>
    </row>
    <row r="171" spans="1:16" ht="19.5" hidden="1" customHeight="1">
      <c r="A171" s="172" t="s">
        <v>3246</v>
      </c>
      <c r="B171" s="176">
        <v>46111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-750</v>
      </c>
    </row>
    <row r="172" spans="1:16" ht="19.5" hidden="1" customHeight="1">
      <c r="A172" s="172" t="s">
        <v>142</v>
      </c>
      <c r="B172" s="176">
        <v>46111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46111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-2007.6</v>
      </c>
    </row>
    <row r="173" spans="1:16" ht="19.5" hidden="1" customHeight="1">
      <c r="A173" s="172" t="s">
        <v>3251</v>
      </c>
      <c r="B173" s="176">
        <v>46111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46111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-875</v>
      </c>
    </row>
    <row r="174" spans="1:16" ht="19.5" hidden="1" customHeight="1">
      <c r="A174" s="172" t="s">
        <v>3432</v>
      </c>
      <c r="B174" s="176">
        <v>46111</v>
      </c>
      <c r="C174" s="172" t="s">
        <v>109</v>
      </c>
      <c r="D174" s="172" t="s">
        <v>139</v>
      </c>
      <c r="E174" s="172" t="s">
        <v>85</v>
      </c>
      <c r="F174" s="172" t="s">
        <v>85</v>
      </c>
      <c r="G174" s="172" t="s">
        <v>85</v>
      </c>
      <c r="H174" s="177">
        <v>0</v>
      </c>
      <c r="I174" s="178">
        <v>0</v>
      </c>
      <c r="J174" s="176">
        <v>46111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-281.87</v>
      </c>
    </row>
    <row r="175" spans="1:16" ht="19.5" hidden="1" customHeight="1">
      <c r="A175" s="172" t="s">
        <v>3433</v>
      </c>
      <c r="B175" s="176">
        <v>46111</v>
      </c>
      <c r="C175" s="172" t="s">
        <v>109</v>
      </c>
      <c r="D175" s="172" t="s">
        <v>139</v>
      </c>
      <c r="E175" s="172" t="s">
        <v>85</v>
      </c>
      <c r="F175" s="172" t="s">
        <v>85</v>
      </c>
      <c r="G175" s="172" t="s">
        <v>85</v>
      </c>
      <c r="H175" s="177">
        <v>0</v>
      </c>
      <c r="I175" s="178">
        <v>0</v>
      </c>
      <c r="J175" s="176">
        <v>46111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-537.51</v>
      </c>
    </row>
    <row r="176" spans="1:16" ht="19.5" hidden="1" customHeight="1">
      <c r="A176" s="172" t="s">
        <v>3434</v>
      </c>
      <c r="B176" s="176">
        <v>46111</v>
      </c>
      <c r="C176" s="172" t="s">
        <v>109</v>
      </c>
      <c r="D176" s="172" t="s">
        <v>139</v>
      </c>
      <c r="E176" s="172" t="s">
        <v>85</v>
      </c>
      <c r="F176" s="172" t="s">
        <v>85</v>
      </c>
      <c r="G176" s="172" t="s">
        <v>85</v>
      </c>
      <c r="H176" s="177">
        <v>0</v>
      </c>
      <c r="I176" s="178">
        <v>0</v>
      </c>
      <c r="J176" s="176">
        <v>46111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-277.27</v>
      </c>
    </row>
    <row r="177" spans="1:16" ht="19.5" hidden="1" customHeight="1">
      <c r="A177" s="172" t="s">
        <v>3013</v>
      </c>
      <c r="B177" s="176">
        <v>46111</v>
      </c>
      <c r="C177" s="172" t="s">
        <v>109</v>
      </c>
      <c r="D177" s="172" t="s">
        <v>143</v>
      </c>
      <c r="E177" s="172" t="s">
        <v>85</v>
      </c>
      <c r="F177" s="172" t="s">
        <v>85</v>
      </c>
      <c r="G177" s="172" t="s">
        <v>85</v>
      </c>
      <c r="H177" s="177">
        <v>0</v>
      </c>
      <c r="I177" s="178">
        <v>0</v>
      </c>
      <c r="J177" s="176">
        <v>46111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-479.25</v>
      </c>
    </row>
    <row r="178" spans="1:16" ht="19.5" hidden="1" customHeight="1">
      <c r="A178" s="172" t="s">
        <v>3407</v>
      </c>
      <c r="B178" s="176">
        <v>46111</v>
      </c>
      <c r="C178" s="172" t="s">
        <v>109</v>
      </c>
      <c r="D178" s="172" t="s">
        <v>139</v>
      </c>
      <c r="E178" s="172" t="s">
        <v>85</v>
      </c>
      <c r="F178" s="172" t="s">
        <v>85</v>
      </c>
      <c r="G178" s="172" t="s">
        <v>85</v>
      </c>
      <c r="H178" s="177">
        <v>0</v>
      </c>
      <c r="I178" s="178">
        <v>0</v>
      </c>
      <c r="J178" s="176">
        <v>46111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-625</v>
      </c>
    </row>
    <row r="179" spans="1:16" ht="19.5" hidden="1" customHeight="1">
      <c r="A179" s="172" t="s">
        <v>3406</v>
      </c>
      <c r="B179" s="176">
        <v>46111</v>
      </c>
      <c r="C179" s="172" t="s">
        <v>109</v>
      </c>
      <c r="D179" s="172" t="s">
        <v>139</v>
      </c>
      <c r="E179" s="172" t="s">
        <v>85</v>
      </c>
      <c r="F179" s="172" t="s">
        <v>85</v>
      </c>
      <c r="G179" s="172" t="s">
        <v>85</v>
      </c>
      <c r="H179" s="177">
        <v>0</v>
      </c>
      <c r="I179" s="178">
        <v>0</v>
      </c>
      <c r="J179" s="176">
        <v>46111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-625</v>
      </c>
    </row>
    <row r="180" spans="1:16" ht="19.5" hidden="1" customHeight="1">
      <c r="A180" s="172" t="s">
        <v>3408</v>
      </c>
      <c r="B180" s="176">
        <v>46111</v>
      </c>
      <c r="C180" s="172" t="s">
        <v>109</v>
      </c>
      <c r="D180" s="172" t="s">
        <v>139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46111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-750</v>
      </c>
    </row>
    <row r="181" spans="1:16" ht="19.5" hidden="1" customHeight="1">
      <c r="A181" s="172" t="s">
        <v>85</v>
      </c>
      <c r="B181" s="176">
        <v>46112</v>
      </c>
      <c r="C181" s="172" t="s">
        <v>3553</v>
      </c>
      <c r="D181" s="172" t="s">
        <v>3554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46112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1387.22</v>
      </c>
    </row>
    <row r="182" spans="1:16" ht="19.5" hidden="1" customHeight="1">
      <c r="A182" s="172" t="s">
        <v>85</v>
      </c>
      <c r="B182" s="176">
        <v>46112</v>
      </c>
      <c r="C182" s="172" t="s">
        <v>3553</v>
      </c>
      <c r="D182" s="172" t="s">
        <v>3555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46112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1194</v>
      </c>
    </row>
    <row r="183" spans="1:16" ht="19.5" hidden="1" customHeight="1">
      <c r="A183" s="172" t="s">
        <v>85</v>
      </c>
      <c r="B183" s="176">
        <v>46112</v>
      </c>
      <c r="C183" s="172" t="s">
        <v>3553</v>
      </c>
      <c r="D183" s="172" t="s">
        <v>3554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46112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-1387.22</v>
      </c>
    </row>
    <row r="184" spans="1:16" ht="19.5" hidden="1" customHeight="1">
      <c r="A184" s="172" t="s">
        <v>85</v>
      </c>
      <c r="B184" s="176">
        <v>46112</v>
      </c>
      <c r="C184" s="172" t="s">
        <v>3553</v>
      </c>
      <c r="D184" s="172" t="s">
        <v>3555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46112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-1194</v>
      </c>
    </row>
    <row r="185" spans="1:16" ht="19.5" hidden="1" customHeight="1">
      <c r="A185" s="172" t="s">
        <v>3556</v>
      </c>
      <c r="B185" s="176">
        <v>46112</v>
      </c>
      <c r="C185" s="172" t="s">
        <v>92</v>
      </c>
      <c r="D185" s="172" t="s">
        <v>24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0</v>
      </c>
      <c r="J185" s="176">
        <v>46105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3556</v>
      </c>
      <c r="B186" s="176">
        <v>46112</v>
      </c>
      <c r="C186" s="172" t="s">
        <v>2694</v>
      </c>
      <c r="D186" s="172" t="s">
        <v>95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0</v>
      </c>
      <c r="J186" s="176">
        <v>46105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-7.19</v>
      </c>
    </row>
    <row r="187" spans="1:16" ht="19.5" hidden="1" customHeight="1">
      <c r="A187" s="172" t="s">
        <v>3556</v>
      </c>
      <c r="B187" s="176">
        <v>46112</v>
      </c>
      <c r="C187" s="172" t="s">
        <v>92</v>
      </c>
      <c r="D187" s="172" t="s">
        <v>96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0</v>
      </c>
      <c r="J187" s="176">
        <v>46105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3556</v>
      </c>
      <c r="B188" s="176">
        <v>46112</v>
      </c>
      <c r="C188" s="172" t="s">
        <v>92</v>
      </c>
      <c r="D188" s="172" t="s">
        <v>97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0</v>
      </c>
      <c r="J188" s="176">
        <v>46105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3556</v>
      </c>
      <c r="B189" s="176">
        <v>46112</v>
      </c>
      <c r="C189" s="172" t="s">
        <v>2694</v>
      </c>
      <c r="D189" s="172" t="s">
        <v>98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46105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customHeight="1">
      <c r="A190" s="172" t="s">
        <v>85</v>
      </c>
      <c r="B190" s="176">
        <v>46112</v>
      </c>
      <c r="C190" s="172" t="s">
        <v>109</v>
      </c>
      <c r="D190" s="172" t="s">
        <v>110</v>
      </c>
      <c r="E190" s="172" t="s">
        <v>85</v>
      </c>
      <c r="F190" s="172" t="s">
        <v>85</v>
      </c>
      <c r="G190" s="172" t="s">
        <v>3557</v>
      </c>
      <c r="H190" s="177">
        <v>0</v>
      </c>
      <c r="I190" s="178">
        <v>0</v>
      </c>
      <c r="J190" s="176">
        <v>46112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-150</v>
      </c>
    </row>
    <row r="191" spans="1:16" ht="19.5" hidden="1" customHeight="1">
      <c r="A191" s="172" t="s">
        <v>3558</v>
      </c>
      <c r="B191" s="176">
        <v>46112</v>
      </c>
      <c r="C191" s="172" t="s">
        <v>2694</v>
      </c>
      <c r="D191" s="172" t="s">
        <v>82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-17.37</v>
      </c>
    </row>
    <row r="192" spans="1:16" ht="19.5" hidden="1" customHeight="1">
      <c r="A192" s="172" t="s">
        <v>3559</v>
      </c>
      <c r="B192" s="176">
        <v>46112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2163</v>
      </c>
      <c r="J192" s="176">
        <v>46110</v>
      </c>
      <c r="K192" s="172" t="s">
        <v>93</v>
      </c>
      <c r="L192" s="172" t="s">
        <v>94</v>
      </c>
      <c r="M192" s="179">
        <v>0.43</v>
      </c>
      <c r="N192" s="177"/>
      <c r="O192" s="177">
        <v>33</v>
      </c>
      <c r="P192" s="180">
        <v>-94.91</v>
      </c>
    </row>
    <row r="193" spans="1:16" ht="19.5" hidden="1" customHeight="1">
      <c r="A193" s="172" t="s">
        <v>3559</v>
      </c>
      <c r="B193" s="176">
        <v>46112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2163</v>
      </c>
      <c r="J193" s="176">
        <v>46110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826.05</v>
      </c>
    </row>
    <row r="194" spans="1:16" ht="19.5" hidden="1" customHeight="1">
      <c r="A194" s="172" t="s">
        <v>3559</v>
      </c>
      <c r="B194" s="176">
        <v>46112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2163</v>
      </c>
      <c r="J194" s="176">
        <v>46110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3559</v>
      </c>
      <c r="B195" s="176">
        <v>46112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2163</v>
      </c>
      <c r="J195" s="176">
        <v>46110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1336.95</v>
      </c>
    </row>
    <row r="196" spans="1:16" ht="19.5" hidden="1" customHeight="1">
      <c r="A196" s="172" t="s">
        <v>3559</v>
      </c>
      <c r="B196" s="176">
        <v>46112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2163</v>
      </c>
      <c r="J196" s="176">
        <v>46110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-930.09</v>
      </c>
    </row>
    <row r="197" spans="1:16" ht="19.5" hidden="1" customHeight="1">
      <c r="A197" s="172" t="s">
        <v>3559</v>
      </c>
      <c r="B197" s="176">
        <v>46112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2163</v>
      </c>
      <c r="J197" s="176">
        <v>46110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-7.56</v>
      </c>
    </row>
    <row r="198" spans="1:16" ht="19.5" hidden="1" customHeight="1">
      <c r="A198" s="172" t="s">
        <v>3559</v>
      </c>
      <c r="B198" s="176">
        <v>46112</v>
      </c>
      <c r="C198" s="172" t="s">
        <v>2694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46110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-7.1</v>
      </c>
    </row>
    <row r="199" spans="1:16" ht="19.5" hidden="1" customHeight="1">
      <c r="A199" s="172" t="s">
        <v>3560</v>
      </c>
      <c r="B199" s="176">
        <v>46112</v>
      </c>
      <c r="C199" s="172" t="s">
        <v>92</v>
      </c>
      <c r="D199" s="172" t="s">
        <v>24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2146</v>
      </c>
      <c r="J199" s="176">
        <v>46110</v>
      </c>
      <c r="K199" s="172" t="s">
        <v>93</v>
      </c>
      <c r="L199" s="172" t="s">
        <v>94</v>
      </c>
      <c r="M199" s="179">
        <v>0.43</v>
      </c>
      <c r="N199" s="177"/>
      <c r="O199" s="177">
        <v>33</v>
      </c>
      <c r="P199" s="180">
        <v>-82.21</v>
      </c>
    </row>
    <row r="200" spans="1:16" ht="19.5" hidden="1" customHeight="1">
      <c r="A200" s="172" t="s">
        <v>3560</v>
      </c>
      <c r="B200" s="176">
        <v>46112</v>
      </c>
      <c r="C200" s="172" t="s">
        <v>100</v>
      </c>
      <c r="D200" s="172" t="s">
        <v>101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2146</v>
      </c>
      <c r="J200" s="176">
        <v>46110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785.71</v>
      </c>
    </row>
    <row r="201" spans="1:16" ht="19.5" hidden="1" customHeight="1">
      <c r="A201" s="172" t="s">
        <v>3560</v>
      </c>
      <c r="B201" s="176">
        <v>46112</v>
      </c>
      <c r="C201" s="172" t="s">
        <v>100</v>
      </c>
      <c r="D201" s="172" t="s">
        <v>102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2146</v>
      </c>
      <c r="J201" s="176">
        <v>46110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7.86</v>
      </c>
    </row>
    <row r="202" spans="1:16" ht="19.5" hidden="1" customHeight="1">
      <c r="A202" s="172" t="s">
        <v>3560</v>
      </c>
      <c r="B202" s="176">
        <v>46112</v>
      </c>
      <c r="C202" s="172" t="s">
        <v>100</v>
      </c>
      <c r="D202" s="172" t="s">
        <v>103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2146</v>
      </c>
      <c r="J202" s="176">
        <v>46110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1352.43</v>
      </c>
    </row>
    <row r="203" spans="1:16" ht="19.5" hidden="1" customHeight="1">
      <c r="A203" s="172" t="s">
        <v>3560</v>
      </c>
      <c r="B203" s="176">
        <v>46112</v>
      </c>
      <c r="C203" s="172" t="s">
        <v>104</v>
      </c>
      <c r="D203" s="172" t="s">
        <v>105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2146</v>
      </c>
      <c r="J203" s="176">
        <v>46110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-922.78</v>
      </c>
    </row>
    <row r="204" spans="1:16" ht="19.5" hidden="1" customHeight="1">
      <c r="A204" s="172" t="s">
        <v>3560</v>
      </c>
      <c r="B204" s="176">
        <v>46112</v>
      </c>
      <c r="C204" s="172" t="s">
        <v>2694</v>
      </c>
      <c r="D204" s="172" t="s">
        <v>95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2146</v>
      </c>
      <c r="J204" s="176">
        <v>46110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-19.36</v>
      </c>
    </row>
    <row r="205" spans="1:16" ht="19.5" hidden="1" customHeight="1">
      <c r="A205" s="172" t="s">
        <v>3560</v>
      </c>
      <c r="B205" s="176">
        <v>46112</v>
      </c>
      <c r="C205" s="172" t="s">
        <v>2694</v>
      </c>
      <c r="D205" s="172" t="s">
        <v>82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0</v>
      </c>
      <c r="J205" s="176">
        <v>46110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-14.93</v>
      </c>
    </row>
    <row r="206" spans="1:16" ht="19.5" hidden="1" customHeight="1">
      <c r="A206" s="172" t="s">
        <v>3561</v>
      </c>
      <c r="B206" s="176">
        <v>46112</v>
      </c>
      <c r="C206" s="172" t="s">
        <v>92</v>
      </c>
      <c r="D206" s="172" t="s">
        <v>24</v>
      </c>
      <c r="E206" s="172" t="s">
        <v>39</v>
      </c>
      <c r="F206" s="172" t="s">
        <v>117</v>
      </c>
      <c r="G206" s="172" t="s">
        <v>84</v>
      </c>
      <c r="H206" s="177">
        <v>1</v>
      </c>
      <c r="I206" s="178">
        <v>2103</v>
      </c>
      <c r="J206" s="176">
        <v>46108</v>
      </c>
      <c r="K206" s="172" t="s">
        <v>93</v>
      </c>
      <c r="L206" s="172" t="s">
        <v>94</v>
      </c>
      <c r="M206" s="179">
        <v>0.43</v>
      </c>
      <c r="N206" s="177"/>
      <c r="O206" s="177">
        <v>35</v>
      </c>
      <c r="P206" s="180">
        <v>-95.39</v>
      </c>
    </row>
    <row r="207" spans="1:16" ht="19.5" hidden="1" customHeight="1">
      <c r="A207" s="172" t="s">
        <v>3561</v>
      </c>
      <c r="B207" s="176">
        <v>46112</v>
      </c>
      <c r="C207" s="172" t="s">
        <v>100</v>
      </c>
      <c r="D207" s="172" t="s">
        <v>101</v>
      </c>
      <c r="E207" s="172" t="s">
        <v>39</v>
      </c>
      <c r="F207" s="172" t="s">
        <v>117</v>
      </c>
      <c r="G207" s="172" t="s">
        <v>84</v>
      </c>
      <c r="H207" s="177">
        <v>1</v>
      </c>
      <c r="I207" s="178">
        <v>2103</v>
      </c>
      <c r="J207" s="176">
        <v>46108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741.9</v>
      </c>
    </row>
    <row r="208" spans="1:16" ht="19.5" hidden="1" customHeight="1">
      <c r="A208" s="172" t="s">
        <v>3561</v>
      </c>
      <c r="B208" s="176">
        <v>46112</v>
      </c>
      <c r="C208" s="172" t="s">
        <v>100</v>
      </c>
      <c r="D208" s="172" t="s">
        <v>102</v>
      </c>
      <c r="E208" s="172" t="s">
        <v>39</v>
      </c>
      <c r="F208" s="172" t="s">
        <v>117</v>
      </c>
      <c r="G208" s="172" t="s">
        <v>84</v>
      </c>
      <c r="H208" s="177">
        <v>1</v>
      </c>
      <c r="I208" s="178">
        <v>2103</v>
      </c>
      <c r="J208" s="176">
        <v>46108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7.42</v>
      </c>
    </row>
    <row r="209" spans="1:16" ht="19.5" hidden="1" customHeight="1">
      <c r="A209" s="172" t="s">
        <v>3561</v>
      </c>
      <c r="B209" s="176">
        <v>46112</v>
      </c>
      <c r="C209" s="172" t="s">
        <v>100</v>
      </c>
      <c r="D209" s="172" t="s">
        <v>103</v>
      </c>
      <c r="E209" s="172" t="s">
        <v>39</v>
      </c>
      <c r="F209" s="172" t="s">
        <v>117</v>
      </c>
      <c r="G209" s="172" t="s">
        <v>84</v>
      </c>
      <c r="H209" s="177">
        <v>1</v>
      </c>
      <c r="I209" s="178">
        <v>2103</v>
      </c>
      <c r="J209" s="176">
        <v>46108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1353.68</v>
      </c>
    </row>
    <row r="210" spans="1:16" ht="19.5" hidden="1" customHeight="1">
      <c r="A210" s="172" t="s">
        <v>3561</v>
      </c>
      <c r="B210" s="176">
        <v>46112</v>
      </c>
      <c r="C210" s="172" t="s">
        <v>104</v>
      </c>
      <c r="D210" s="172" t="s">
        <v>105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2103</v>
      </c>
      <c r="J210" s="176">
        <v>46108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-904.29</v>
      </c>
    </row>
    <row r="211" spans="1:16" ht="19.5" hidden="1" customHeight="1">
      <c r="A211" s="172" t="s">
        <v>3561</v>
      </c>
      <c r="B211" s="176">
        <v>46112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2103</v>
      </c>
      <c r="J211" s="176">
        <v>46108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-5.68</v>
      </c>
    </row>
    <row r="212" spans="1:16" ht="19.5" hidden="1" customHeight="1">
      <c r="A212" s="172" t="s">
        <v>3561</v>
      </c>
      <c r="B212" s="176">
        <v>46112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46108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-14.1</v>
      </c>
    </row>
    <row r="213" spans="1:16" ht="19.5" hidden="1" customHeight="1">
      <c r="A213" s="172" t="s">
        <v>3562</v>
      </c>
      <c r="B213" s="176">
        <v>46112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46112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-21.35</v>
      </c>
    </row>
    <row r="214" spans="1:16" ht="19.5" hidden="1" customHeight="1">
      <c r="A214" s="172" t="s">
        <v>3531</v>
      </c>
      <c r="B214" s="176">
        <v>46112</v>
      </c>
      <c r="C214" s="172" t="s">
        <v>92</v>
      </c>
      <c r="D214" s="172" t="s">
        <v>24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0</v>
      </c>
      <c r="J214" s="176">
        <v>46109</v>
      </c>
      <c r="K214" s="172" t="s">
        <v>93</v>
      </c>
      <c r="L214" s="172" t="s">
        <v>94</v>
      </c>
      <c r="M214" s="179">
        <v>0</v>
      </c>
      <c r="N214" s="177"/>
      <c r="O214" s="177">
        <v>34</v>
      </c>
      <c r="P214" s="180">
        <v>-46.77</v>
      </c>
    </row>
    <row r="215" spans="1:16" ht="19.5" hidden="1" customHeight="1">
      <c r="A215" s="172" t="s">
        <v>3531</v>
      </c>
      <c r="B215" s="176">
        <v>46112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-11.35</v>
      </c>
    </row>
    <row r="216" spans="1:16" ht="19.5" hidden="1" customHeight="1">
      <c r="A216" s="172" t="s">
        <v>3531</v>
      </c>
      <c r="B216" s="176">
        <v>46112</v>
      </c>
      <c r="C216" s="172" t="s">
        <v>92</v>
      </c>
      <c r="D216" s="172" t="s">
        <v>96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3531</v>
      </c>
      <c r="B217" s="176">
        <v>46112</v>
      </c>
      <c r="C217" s="172" t="s">
        <v>92</v>
      </c>
      <c r="D217" s="172" t="s">
        <v>97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3531</v>
      </c>
      <c r="B218" s="176">
        <v>46112</v>
      </c>
      <c r="C218" s="172" t="s">
        <v>2694</v>
      </c>
      <c r="D218" s="172" t="s">
        <v>98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3563</v>
      </c>
      <c r="B219" s="176">
        <v>46112</v>
      </c>
      <c r="C219" s="172" t="s">
        <v>92</v>
      </c>
      <c r="D219" s="172" t="s">
        <v>24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2750</v>
      </c>
      <c r="J219" s="176">
        <v>46106</v>
      </c>
      <c r="K219" s="172" t="s">
        <v>93</v>
      </c>
      <c r="L219" s="172" t="s">
        <v>94</v>
      </c>
      <c r="M219" s="179">
        <v>0.43</v>
      </c>
      <c r="N219" s="177"/>
      <c r="O219" s="177">
        <v>34</v>
      </c>
      <c r="P219" s="180">
        <v>-98.37</v>
      </c>
    </row>
    <row r="220" spans="1:16" ht="19.5" hidden="1" customHeight="1">
      <c r="A220" s="172" t="s">
        <v>3563</v>
      </c>
      <c r="B220" s="176">
        <v>46112</v>
      </c>
      <c r="C220" s="172" t="s">
        <v>100</v>
      </c>
      <c r="D220" s="172" t="s">
        <v>101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2750</v>
      </c>
      <c r="J220" s="176">
        <v>46106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1209.52</v>
      </c>
    </row>
    <row r="221" spans="1:16" ht="19.5" hidden="1" customHeight="1">
      <c r="A221" s="172" t="s">
        <v>3563</v>
      </c>
      <c r="B221" s="176">
        <v>46112</v>
      </c>
      <c r="C221" s="172" t="s">
        <v>100</v>
      </c>
      <c r="D221" s="172" t="s">
        <v>102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2750</v>
      </c>
      <c r="J221" s="176">
        <v>46106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12.1</v>
      </c>
    </row>
    <row r="222" spans="1:16" ht="19.5" hidden="1" customHeight="1">
      <c r="A222" s="172" t="s">
        <v>3563</v>
      </c>
      <c r="B222" s="176">
        <v>46112</v>
      </c>
      <c r="C222" s="172" t="s">
        <v>100</v>
      </c>
      <c r="D222" s="172" t="s">
        <v>103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2750</v>
      </c>
      <c r="J222" s="176">
        <v>46106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1528.38</v>
      </c>
    </row>
    <row r="223" spans="1:16" ht="19.5" hidden="1" customHeight="1">
      <c r="A223" s="172" t="s">
        <v>3563</v>
      </c>
      <c r="B223" s="176">
        <v>46112</v>
      </c>
      <c r="C223" s="172" t="s">
        <v>104</v>
      </c>
      <c r="D223" s="172" t="s">
        <v>105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2750</v>
      </c>
      <c r="J223" s="176">
        <v>46106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-1182.5</v>
      </c>
    </row>
    <row r="224" spans="1:16" ht="19.5" hidden="1" customHeight="1">
      <c r="A224" s="172" t="s">
        <v>3563</v>
      </c>
      <c r="B224" s="176">
        <v>46112</v>
      </c>
      <c r="C224" s="172" t="s">
        <v>2694</v>
      </c>
      <c r="D224" s="172" t="s">
        <v>95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2750</v>
      </c>
      <c r="J224" s="176">
        <v>46106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-5.53</v>
      </c>
    </row>
    <row r="225" spans="1:16" ht="19.5" hidden="1" customHeight="1">
      <c r="A225" s="172" t="s">
        <v>3564</v>
      </c>
      <c r="B225" s="176">
        <v>46112</v>
      </c>
      <c r="C225" s="172" t="s">
        <v>92</v>
      </c>
      <c r="D225" s="172" t="s">
        <v>24</v>
      </c>
      <c r="E225" s="172" t="s">
        <v>39</v>
      </c>
      <c r="F225" s="172" t="s">
        <v>117</v>
      </c>
      <c r="G225" s="172" t="s">
        <v>84</v>
      </c>
      <c r="H225" s="177">
        <v>1</v>
      </c>
      <c r="I225" s="178">
        <v>0</v>
      </c>
      <c r="J225" s="176">
        <v>46102</v>
      </c>
      <c r="K225" s="172" t="s">
        <v>93</v>
      </c>
      <c r="L225" s="172" t="s">
        <v>94</v>
      </c>
      <c r="M225" s="179">
        <v>0</v>
      </c>
      <c r="N225" s="177"/>
      <c r="O225" s="177">
        <v>31</v>
      </c>
      <c r="P225" s="180">
        <v>-46.77</v>
      </c>
    </row>
    <row r="226" spans="1:16" ht="19.5" hidden="1" customHeight="1">
      <c r="A226" s="172" t="s">
        <v>3564</v>
      </c>
      <c r="B226" s="176">
        <v>46112</v>
      </c>
      <c r="C226" s="172" t="s">
        <v>2694</v>
      </c>
      <c r="D226" s="172" t="s">
        <v>95</v>
      </c>
      <c r="E226" s="172" t="s">
        <v>39</v>
      </c>
      <c r="F226" s="172" t="s">
        <v>117</v>
      </c>
      <c r="G226" s="172" t="s">
        <v>84</v>
      </c>
      <c r="H226" s="177">
        <v>1</v>
      </c>
      <c r="I226" s="178">
        <v>0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-6.6</v>
      </c>
    </row>
    <row r="227" spans="1:16" ht="19.5" hidden="1" customHeight="1">
      <c r="A227" s="172" t="s">
        <v>3563</v>
      </c>
      <c r="B227" s="176">
        <v>46112</v>
      </c>
      <c r="C227" s="172" t="s">
        <v>2694</v>
      </c>
      <c r="D227" s="172" t="s">
        <v>82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-22.98</v>
      </c>
    </row>
    <row r="228" spans="1:16" ht="19.5" hidden="1" customHeight="1">
      <c r="A228" s="172" t="s">
        <v>3564</v>
      </c>
      <c r="B228" s="176">
        <v>46112</v>
      </c>
      <c r="C228" s="172" t="s">
        <v>92</v>
      </c>
      <c r="D228" s="172" t="s">
        <v>96</v>
      </c>
      <c r="E228" s="172" t="s">
        <v>39</v>
      </c>
      <c r="F228" s="172" t="s">
        <v>117</v>
      </c>
      <c r="G228" s="172" t="s">
        <v>84</v>
      </c>
      <c r="H228" s="177">
        <v>1</v>
      </c>
      <c r="I228" s="178">
        <v>0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3564</v>
      </c>
      <c r="B229" s="176">
        <v>46112</v>
      </c>
      <c r="C229" s="172" t="s">
        <v>92</v>
      </c>
      <c r="D229" s="172" t="s">
        <v>97</v>
      </c>
      <c r="E229" s="172" t="s">
        <v>39</v>
      </c>
      <c r="F229" s="172" t="s">
        <v>117</v>
      </c>
      <c r="G229" s="172" t="s">
        <v>84</v>
      </c>
      <c r="H229" s="177">
        <v>1</v>
      </c>
      <c r="I229" s="178">
        <v>0</v>
      </c>
      <c r="J229" s="176">
        <v>46102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-46.77</v>
      </c>
    </row>
    <row r="230" spans="1:16" ht="19.5" hidden="1" customHeight="1">
      <c r="A230" s="172" t="s">
        <v>3564</v>
      </c>
      <c r="B230" s="176">
        <v>46112</v>
      </c>
      <c r="C230" s="172" t="s">
        <v>2694</v>
      </c>
      <c r="D230" s="172" t="s">
        <v>98</v>
      </c>
      <c r="E230" s="172" t="s">
        <v>39</v>
      </c>
      <c r="F230" s="172" t="s">
        <v>117</v>
      </c>
      <c r="G230" s="172" t="s">
        <v>84</v>
      </c>
      <c r="H230" s="177">
        <v>1</v>
      </c>
      <c r="I230" s="178">
        <v>0</v>
      </c>
      <c r="J230" s="176">
        <v>46102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3565</v>
      </c>
      <c r="B231" s="176">
        <v>46112</v>
      </c>
      <c r="C231" s="172" t="s">
        <v>2694</v>
      </c>
      <c r="D231" s="172" t="s">
        <v>276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46112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-48</v>
      </c>
    </row>
    <row r="232" spans="1:16" ht="19.5" hidden="1" customHeight="1">
      <c r="A232" s="172" t="s">
        <v>3566</v>
      </c>
      <c r="B232" s="176">
        <v>46112</v>
      </c>
      <c r="C232" s="172" t="s">
        <v>2694</v>
      </c>
      <c r="D232" s="172" t="s">
        <v>276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46112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-48</v>
      </c>
    </row>
    <row r="233" spans="1:16" ht="19.5" hidden="1" customHeight="1">
      <c r="A233" s="172" t="s">
        <v>3567</v>
      </c>
      <c r="B233" s="176">
        <v>46112</v>
      </c>
      <c r="C233" s="172" t="s">
        <v>352</v>
      </c>
      <c r="D233" s="172" t="s">
        <v>3568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46112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-20</v>
      </c>
    </row>
    <row r="234" spans="1:16" ht="19.5" hidden="1" customHeight="1">
      <c r="A234" s="172" t="s">
        <v>3567</v>
      </c>
      <c r="B234" s="176">
        <v>46112</v>
      </c>
      <c r="C234" s="172" t="s">
        <v>352</v>
      </c>
      <c r="D234" s="172" t="s">
        <v>3569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46112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-9.6</v>
      </c>
    </row>
    <row r="235" spans="1:16" ht="19.5" hidden="1" customHeight="1">
      <c r="A235" s="172" t="s">
        <v>3570</v>
      </c>
      <c r="B235" s="176">
        <v>46112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46102</v>
      </c>
      <c r="K235" s="172" t="s">
        <v>93</v>
      </c>
      <c r="L235" s="172" t="s">
        <v>94</v>
      </c>
      <c r="M235" s="179">
        <v>0</v>
      </c>
      <c r="N235" s="177"/>
      <c r="O235" s="177">
        <v>31</v>
      </c>
      <c r="P235" s="180">
        <v>-46.77</v>
      </c>
    </row>
    <row r="236" spans="1:16" ht="19.5" hidden="1" customHeight="1">
      <c r="A236" s="172" t="s">
        <v>3570</v>
      </c>
      <c r="B236" s="176">
        <v>46112</v>
      </c>
      <c r="C236" s="172" t="s">
        <v>92</v>
      </c>
      <c r="D236" s="172" t="s">
        <v>96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46102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0</v>
      </c>
    </row>
    <row r="237" spans="1:16" ht="19.5" hidden="1" customHeight="1">
      <c r="A237" s="172" t="s">
        <v>3570</v>
      </c>
      <c r="B237" s="176">
        <v>46112</v>
      </c>
      <c r="C237" s="172" t="s">
        <v>92</v>
      </c>
      <c r="D237" s="172" t="s">
        <v>97</v>
      </c>
      <c r="E237" s="172" t="s">
        <v>43</v>
      </c>
      <c r="F237" s="172" t="s">
        <v>125</v>
      </c>
      <c r="G237" s="172" t="s">
        <v>84</v>
      </c>
      <c r="H237" s="177">
        <v>1</v>
      </c>
      <c r="I237" s="178">
        <v>0</v>
      </c>
      <c r="J237" s="176">
        <v>46102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-46.77</v>
      </c>
    </row>
    <row r="238" spans="1:16" ht="19.5" hidden="1" customHeight="1">
      <c r="A238" s="172" t="s">
        <v>3571</v>
      </c>
      <c r="B238" s="176">
        <v>46112</v>
      </c>
      <c r="C238" s="172" t="s">
        <v>92</v>
      </c>
      <c r="D238" s="172" t="s">
        <v>24</v>
      </c>
      <c r="E238" s="172" t="s">
        <v>38</v>
      </c>
      <c r="F238" s="172" t="s">
        <v>87</v>
      </c>
      <c r="G238" s="172" t="s">
        <v>84</v>
      </c>
      <c r="H238" s="177">
        <v>1</v>
      </c>
      <c r="I238" s="178">
        <v>2103</v>
      </c>
      <c r="J238" s="176">
        <v>46109</v>
      </c>
      <c r="K238" s="172" t="s">
        <v>93</v>
      </c>
      <c r="L238" s="172" t="s">
        <v>94</v>
      </c>
      <c r="M238" s="179">
        <v>0.43</v>
      </c>
      <c r="N238" s="177"/>
      <c r="O238" s="177">
        <v>34</v>
      </c>
      <c r="P238" s="180">
        <v>-89.31</v>
      </c>
    </row>
    <row r="239" spans="1:16" ht="19.5" hidden="1" customHeight="1">
      <c r="A239" s="172" t="s">
        <v>3571</v>
      </c>
      <c r="B239" s="176">
        <v>46112</v>
      </c>
      <c r="C239" s="172" t="s">
        <v>100</v>
      </c>
      <c r="D239" s="172" t="s">
        <v>101</v>
      </c>
      <c r="E239" s="172" t="s">
        <v>38</v>
      </c>
      <c r="F239" s="172" t="s">
        <v>87</v>
      </c>
      <c r="G239" s="172" t="s">
        <v>84</v>
      </c>
      <c r="H239" s="177">
        <v>1</v>
      </c>
      <c r="I239" s="178">
        <v>2103</v>
      </c>
      <c r="J239" s="176">
        <v>46109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733.33</v>
      </c>
    </row>
    <row r="240" spans="1:16" ht="19.5" hidden="1" customHeight="1">
      <c r="A240" s="172" t="s">
        <v>3571</v>
      </c>
      <c r="B240" s="176">
        <v>46112</v>
      </c>
      <c r="C240" s="172" t="s">
        <v>100</v>
      </c>
      <c r="D240" s="172" t="s">
        <v>102</v>
      </c>
      <c r="E240" s="172" t="s">
        <v>38</v>
      </c>
      <c r="F240" s="172" t="s">
        <v>87</v>
      </c>
      <c r="G240" s="172" t="s">
        <v>84</v>
      </c>
      <c r="H240" s="177">
        <v>1</v>
      </c>
      <c r="I240" s="178">
        <v>2103</v>
      </c>
      <c r="J240" s="176">
        <v>46109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7.33</v>
      </c>
    </row>
    <row r="241" spans="1:16" ht="19.5" hidden="1" customHeight="1">
      <c r="A241" s="172" t="s">
        <v>3571</v>
      </c>
      <c r="B241" s="176">
        <v>46112</v>
      </c>
      <c r="C241" s="172" t="s">
        <v>100</v>
      </c>
      <c r="D241" s="172" t="s">
        <v>103</v>
      </c>
      <c r="E241" s="172" t="s">
        <v>38</v>
      </c>
      <c r="F241" s="172" t="s">
        <v>87</v>
      </c>
      <c r="G241" s="172" t="s">
        <v>84</v>
      </c>
      <c r="H241" s="177">
        <v>1</v>
      </c>
      <c r="I241" s="178">
        <v>2103</v>
      </c>
      <c r="J241" s="176">
        <v>46109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1362.34</v>
      </c>
    </row>
    <row r="242" spans="1:16" ht="19.5" hidden="1" customHeight="1">
      <c r="A242" s="172" t="s">
        <v>3571</v>
      </c>
      <c r="B242" s="176">
        <v>46112</v>
      </c>
      <c r="C242" s="172" t="s">
        <v>104</v>
      </c>
      <c r="D242" s="172" t="s">
        <v>105</v>
      </c>
      <c r="E242" s="172" t="s">
        <v>38</v>
      </c>
      <c r="F242" s="172" t="s">
        <v>87</v>
      </c>
      <c r="G242" s="172" t="s">
        <v>84</v>
      </c>
      <c r="H242" s="177">
        <v>1</v>
      </c>
      <c r="I242" s="178">
        <v>2103</v>
      </c>
      <c r="J242" s="176">
        <v>46109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-904.29</v>
      </c>
    </row>
    <row r="243" spans="1:16" ht="19.5" hidden="1" customHeight="1">
      <c r="A243" s="172" t="s">
        <v>3571</v>
      </c>
      <c r="B243" s="176">
        <v>46112</v>
      </c>
      <c r="C243" s="172" t="s">
        <v>2694</v>
      </c>
      <c r="D243" s="172" t="s">
        <v>95</v>
      </c>
      <c r="E243" s="172" t="s">
        <v>38</v>
      </c>
      <c r="F243" s="172" t="s">
        <v>87</v>
      </c>
      <c r="G243" s="172" t="s">
        <v>84</v>
      </c>
      <c r="H243" s="177">
        <v>1</v>
      </c>
      <c r="I243" s="178">
        <v>2103</v>
      </c>
      <c r="J243" s="176">
        <v>46109</v>
      </c>
      <c r="K243" s="172" t="s">
        <v>93</v>
      </c>
      <c r="L243" s="172" t="s">
        <v>94</v>
      </c>
      <c r="M243" s="179">
        <v>0.43</v>
      </c>
      <c r="N243" s="177"/>
      <c r="O243" s="177"/>
      <c r="P243" s="180">
        <v>-6.88</v>
      </c>
    </row>
    <row r="244" spans="1:16" ht="19.5" hidden="1" customHeight="1">
      <c r="A244" s="172" t="s">
        <v>3571</v>
      </c>
      <c r="B244" s="176">
        <v>46112</v>
      </c>
      <c r="C244" s="172" t="s">
        <v>2694</v>
      </c>
      <c r="D244" s="172" t="s">
        <v>82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46109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-13.93</v>
      </c>
    </row>
    <row r="245" spans="1:16" ht="19.5" hidden="1" customHeight="1">
      <c r="A245" s="172" t="s">
        <v>3572</v>
      </c>
      <c r="B245" s="176">
        <v>46112</v>
      </c>
      <c r="C245" s="172" t="s">
        <v>92</v>
      </c>
      <c r="D245" s="172" t="s">
        <v>24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>
        <v>34</v>
      </c>
      <c r="P245" s="180">
        <v>-46.77</v>
      </c>
    </row>
    <row r="246" spans="1:16" ht="19.5" hidden="1" customHeight="1">
      <c r="A246" s="172" t="s">
        <v>3572</v>
      </c>
      <c r="B246" s="176">
        <v>46112</v>
      </c>
      <c r="C246" s="172" t="s">
        <v>2694</v>
      </c>
      <c r="D246" s="172" t="s">
        <v>95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0</v>
      </c>
      <c r="J246" s="176">
        <v>46105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-5.57</v>
      </c>
    </row>
    <row r="247" spans="1:16" ht="19.5" hidden="1" customHeight="1">
      <c r="A247" s="172" t="s">
        <v>3573</v>
      </c>
      <c r="B247" s="176">
        <v>46112</v>
      </c>
      <c r="C247" s="172" t="s">
        <v>92</v>
      </c>
      <c r="D247" s="172" t="s">
        <v>24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46105</v>
      </c>
      <c r="K247" s="172" t="s">
        <v>93</v>
      </c>
      <c r="L247" s="172" t="s">
        <v>94</v>
      </c>
      <c r="M247" s="179">
        <v>0</v>
      </c>
      <c r="N247" s="177"/>
      <c r="O247" s="177">
        <v>34</v>
      </c>
      <c r="P247" s="180">
        <v>-46.77</v>
      </c>
    </row>
    <row r="248" spans="1:16" ht="19.5" hidden="1" customHeight="1">
      <c r="A248" s="172" t="s">
        <v>3573</v>
      </c>
      <c r="B248" s="176">
        <v>46112</v>
      </c>
      <c r="C248" s="172" t="s">
        <v>2694</v>
      </c>
      <c r="D248" s="172" t="s">
        <v>95</v>
      </c>
      <c r="E248" s="172" t="s">
        <v>39</v>
      </c>
      <c r="F248" s="172" t="s">
        <v>117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-5.59</v>
      </c>
    </row>
    <row r="249" spans="1:16" ht="19.5" hidden="1" customHeight="1">
      <c r="A249" s="172" t="s">
        <v>3572</v>
      </c>
      <c r="B249" s="176">
        <v>46112</v>
      </c>
      <c r="C249" s="172" t="s">
        <v>92</v>
      </c>
      <c r="D249" s="172" t="s">
        <v>96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46105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3572</v>
      </c>
      <c r="B250" s="176">
        <v>46112</v>
      </c>
      <c r="C250" s="172" t="s">
        <v>92</v>
      </c>
      <c r="D250" s="172" t="s">
        <v>97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46105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-46.77</v>
      </c>
    </row>
    <row r="251" spans="1:16" ht="19.5" hidden="1" customHeight="1">
      <c r="A251" s="172" t="s">
        <v>3572</v>
      </c>
      <c r="B251" s="176">
        <v>46112</v>
      </c>
      <c r="C251" s="172" t="s">
        <v>2694</v>
      </c>
      <c r="D251" s="172" t="s">
        <v>98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46105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3573</v>
      </c>
      <c r="B252" s="176">
        <v>46112</v>
      </c>
      <c r="C252" s="172" t="s">
        <v>92</v>
      </c>
      <c r="D252" s="172" t="s">
        <v>96</v>
      </c>
      <c r="E252" s="172" t="s">
        <v>39</v>
      </c>
      <c r="F252" s="172" t="s">
        <v>117</v>
      </c>
      <c r="G252" s="172" t="s">
        <v>84</v>
      </c>
      <c r="H252" s="177">
        <v>1</v>
      </c>
      <c r="I252" s="178">
        <v>0</v>
      </c>
      <c r="J252" s="176">
        <v>46105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3573</v>
      </c>
      <c r="B253" s="176">
        <v>46112</v>
      </c>
      <c r="C253" s="172" t="s">
        <v>92</v>
      </c>
      <c r="D253" s="172" t="s">
        <v>97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46105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3573</v>
      </c>
      <c r="B254" s="176">
        <v>46112</v>
      </c>
      <c r="C254" s="172" t="s">
        <v>2694</v>
      </c>
      <c r="D254" s="172" t="s">
        <v>98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46105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3574</v>
      </c>
      <c r="B255" s="176">
        <v>46112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46105</v>
      </c>
      <c r="K255" s="172" t="s">
        <v>93</v>
      </c>
      <c r="L255" s="172" t="s">
        <v>94</v>
      </c>
      <c r="M255" s="179">
        <v>0</v>
      </c>
      <c r="N255" s="177"/>
      <c r="O255" s="177">
        <v>34</v>
      </c>
      <c r="P255" s="180">
        <v>-46.77</v>
      </c>
    </row>
    <row r="256" spans="1:16" ht="19.5" hidden="1" customHeight="1">
      <c r="A256" s="172" t="s">
        <v>3574</v>
      </c>
      <c r="B256" s="176">
        <v>46112</v>
      </c>
      <c r="C256" s="172" t="s">
        <v>2694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46105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-5.59</v>
      </c>
    </row>
    <row r="257" spans="1:16" ht="19.5" hidden="1" customHeight="1">
      <c r="A257" s="172" t="s">
        <v>3574</v>
      </c>
      <c r="B257" s="176">
        <v>46112</v>
      </c>
      <c r="C257" s="172" t="s">
        <v>92</v>
      </c>
      <c r="D257" s="172" t="s">
        <v>96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46105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hidden="1" customHeight="1">
      <c r="A258" s="172" t="s">
        <v>3574</v>
      </c>
      <c r="B258" s="176">
        <v>46112</v>
      </c>
      <c r="C258" s="172" t="s">
        <v>92</v>
      </c>
      <c r="D258" s="172" t="s">
        <v>97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46105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-46.77</v>
      </c>
    </row>
    <row r="259" spans="1:16" ht="19.5" hidden="1" customHeight="1">
      <c r="A259" s="172" t="s">
        <v>3574</v>
      </c>
      <c r="B259" s="176">
        <v>46112</v>
      </c>
      <c r="C259" s="172" t="s">
        <v>2694</v>
      </c>
      <c r="D259" s="172" t="s">
        <v>98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46105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-15</v>
      </c>
    </row>
    <row r="260" spans="1:16" ht="19.5" hidden="1" customHeight="1">
      <c r="A260" s="172" t="s">
        <v>3575</v>
      </c>
      <c r="B260" s="176">
        <v>46112</v>
      </c>
      <c r="C260" s="172" t="s">
        <v>92</v>
      </c>
      <c r="D260" s="172" t="s">
        <v>24</v>
      </c>
      <c r="E260" s="172" t="s">
        <v>39</v>
      </c>
      <c r="F260" s="172" t="s">
        <v>117</v>
      </c>
      <c r="G260" s="172" t="s">
        <v>84</v>
      </c>
      <c r="H260" s="177">
        <v>1</v>
      </c>
      <c r="I260" s="178">
        <v>2103</v>
      </c>
      <c r="J260" s="176">
        <v>46110</v>
      </c>
      <c r="K260" s="172" t="s">
        <v>93</v>
      </c>
      <c r="L260" s="172" t="s">
        <v>94</v>
      </c>
      <c r="M260" s="179">
        <v>0.43</v>
      </c>
      <c r="N260" s="177"/>
      <c r="O260" s="177">
        <v>33</v>
      </c>
      <c r="P260" s="180">
        <v>-81.709999999999994</v>
      </c>
    </row>
    <row r="261" spans="1:16" ht="19.5" hidden="1" customHeight="1">
      <c r="A261" s="172" t="s">
        <v>3575</v>
      </c>
      <c r="B261" s="176">
        <v>46112</v>
      </c>
      <c r="C261" s="172" t="s">
        <v>100</v>
      </c>
      <c r="D261" s="172" t="s">
        <v>101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2103</v>
      </c>
      <c r="J261" s="176">
        <v>46110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733.33</v>
      </c>
    </row>
    <row r="262" spans="1:16" ht="19.5" hidden="1" customHeight="1">
      <c r="A262" s="172" t="s">
        <v>3575</v>
      </c>
      <c r="B262" s="176">
        <v>46112</v>
      </c>
      <c r="C262" s="172" t="s">
        <v>100</v>
      </c>
      <c r="D262" s="172" t="s">
        <v>102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2103</v>
      </c>
      <c r="J262" s="176">
        <v>46110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7.33</v>
      </c>
    </row>
    <row r="263" spans="1:16" ht="19.5" hidden="1" customHeight="1">
      <c r="A263" s="172" t="s">
        <v>3575</v>
      </c>
      <c r="B263" s="176">
        <v>46112</v>
      </c>
      <c r="C263" s="172" t="s">
        <v>100</v>
      </c>
      <c r="D263" s="172" t="s">
        <v>103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2103</v>
      </c>
      <c r="J263" s="176">
        <v>46110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1362.34</v>
      </c>
    </row>
    <row r="264" spans="1:16" ht="19.5" hidden="1" customHeight="1">
      <c r="A264" s="172" t="s">
        <v>3575</v>
      </c>
      <c r="B264" s="176">
        <v>46112</v>
      </c>
      <c r="C264" s="172" t="s">
        <v>104</v>
      </c>
      <c r="D264" s="172" t="s">
        <v>105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2103</v>
      </c>
      <c r="J264" s="176">
        <v>46110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-904.29</v>
      </c>
    </row>
    <row r="265" spans="1:16" ht="19.5" hidden="1" customHeight="1">
      <c r="A265" s="172" t="s">
        <v>3575</v>
      </c>
      <c r="B265" s="176">
        <v>46112</v>
      </c>
      <c r="C265" s="172" t="s">
        <v>2694</v>
      </c>
      <c r="D265" s="172" t="s">
        <v>95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2103</v>
      </c>
      <c r="J265" s="176">
        <v>46110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-13.45</v>
      </c>
    </row>
    <row r="266" spans="1:16" ht="19.5" hidden="1" customHeight="1">
      <c r="A266" s="172" t="s">
        <v>3576</v>
      </c>
      <c r="B266" s="176">
        <v>46112</v>
      </c>
      <c r="C266" s="172" t="s">
        <v>92</v>
      </c>
      <c r="D266" s="172" t="s">
        <v>24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2180</v>
      </c>
      <c r="J266" s="176">
        <v>46110</v>
      </c>
      <c r="K266" s="172" t="s">
        <v>93</v>
      </c>
      <c r="L266" s="172" t="s">
        <v>94</v>
      </c>
      <c r="M266" s="179">
        <v>0.43</v>
      </c>
      <c r="N266" s="177"/>
      <c r="O266" s="177">
        <v>33</v>
      </c>
      <c r="P266" s="180">
        <v>-82.6</v>
      </c>
    </row>
    <row r="267" spans="1:16" ht="19.5" hidden="1" customHeight="1">
      <c r="A267" s="172" t="s">
        <v>3576</v>
      </c>
      <c r="B267" s="176">
        <v>46112</v>
      </c>
      <c r="C267" s="172" t="s">
        <v>100</v>
      </c>
      <c r="D267" s="172" t="s">
        <v>101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2180</v>
      </c>
      <c r="J267" s="176">
        <v>46110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760</v>
      </c>
    </row>
    <row r="268" spans="1:16" ht="19.5" hidden="1" customHeight="1">
      <c r="A268" s="172" t="s">
        <v>3576</v>
      </c>
      <c r="B268" s="176">
        <v>46112</v>
      </c>
      <c r="C268" s="172" t="s">
        <v>100</v>
      </c>
      <c r="D268" s="172" t="s">
        <v>102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2180</v>
      </c>
      <c r="J268" s="176">
        <v>46110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7.6</v>
      </c>
    </row>
    <row r="269" spans="1:16" ht="19.5" hidden="1" customHeight="1">
      <c r="A269" s="172" t="s">
        <v>3576</v>
      </c>
      <c r="B269" s="176">
        <v>46112</v>
      </c>
      <c r="C269" s="172" t="s">
        <v>100</v>
      </c>
      <c r="D269" s="172" t="s">
        <v>103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2180</v>
      </c>
      <c r="J269" s="176">
        <v>46110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1412.4</v>
      </c>
    </row>
    <row r="270" spans="1:16" ht="19.5" hidden="1" customHeight="1">
      <c r="A270" s="172" t="s">
        <v>3576</v>
      </c>
      <c r="B270" s="176">
        <v>46112</v>
      </c>
      <c r="C270" s="172" t="s">
        <v>104</v>
      </c>
      <c r="D270" s="172" t="s">
        <v>105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2180</v>
      </c>
      <c r="J270" s="176">
        <v>46110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-937.4</v>
      </c>
    </row>
    <row r="271" spans="1:16" ht="19.5" hidden="1" customHeight="1">
      <c r="A271" s="172" t="s">
        <v>3576</v>
      </c>
      <c r="B271" s="176">
        <v>46112</v>
      </c>
      <c r="C271" s="172" t="s">
        <v>2694</v>
      </c>
      <c r="D271" s="172" t="s">
        <v>95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2180</v>
      </c>
      <c r="J271" s="176">
        <v>46110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-14.31</v>
      </c>
    </row>
    <row r="272" spans="1:16" ht="19.5" hidden="1" customHeight="1">
      <c r="A272" s="172" t="s">
        <v>3577</v>
      </c>
      <c r="B272" s="176">
        <v>46112</v>
      </c>
      <c r="C272" s="172" t="s">
        <v>92</v>
      </c>
      <c r="D272" s="172" t="s">
        <v>24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2103</v>
      </c>
      <c r="J272" s="176">
        <v>46110</v>
      </c>
      <c r="K272" s="172" t="s">
        <v>93</v>
      </c>
      <c r="L272" s="172" t="s">
        <v>94</v>
      </c>
      <c r="M272" s="179">
        <v>0.43</v>
      </c>
      <c r="N272" s="177"/>
      <c r="O272" s="177">
        <v>33</v>
      </c>
      <c r="P272" s="180">
        <v>-81.709999999999994</v>
      </c>
    </row>
    <row r="273" spans="1:16" ht="19.5" hidden="1" customHeight="1">
      <c r="A273" s="172" t="s">
        <v>3577</v>
      </c>
      <c r="B273" s="176">
        <v>46112</v>
      </c>
      <c r="C273" s="172" t="s">
        <v>100</v>
      </c>
      <c r="D273" s="172" t="s">
        <v>101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2103</v>
      </c>
      <c r="J273" s="176">
        <v>46110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802.28</v>
      </c>
    </row>
    <row r="274" spans="1:16" ht="19.5" hidden="1" customHeight="1">
      <c r="A274" s="172" t="s">
        <v>3577</v>
      </c>
      <c r="B274" s="176">
        <v>46112</v>
      </c>
      <c r="C274" s="172" t="s">
        <v>100</v>
      </c>
      <c r="D274" s="172" t="s">
        <v>102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2103</v>
      </c>
      <c r="J274" s="176">
        <v>46110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8.02</v>
      </c>
    </row>
    <row r="275" spans="1:16" ht="19.5" hidden="1" customHeight="1">
      <c r="A275" s="172" t="s">
        <v>3577</v>
      </c>
      <c r="B275" s="176">
        <v>46112</v>
      </c>
      <c r="C275" s="172" t="s">
        <v>100</v>
      </c>
      <c r="D275" s="172" t="s">
        <v>103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2103</v>
      </c>
      <c r="J275" s="176">
        <v>46110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1292.7</v>
      </c>
    </row>
    <row r="276" spans="1:16" ht="19.5" hidden="1" customHeight="1">
      <c r="A276" s="172" t="s">
        <v>3577</v>
      </c>
      <c r="B276" s="176">
        <v>46112</v>
      </c>
      <c r="C276" s="172" t="s">
        <v>104</v>
      </c>
      <c r="D276" s="172" t="s">
        <v>105</v>
      </c>
      <c r="E276" s="172" t="s">
        <v>39</v>
      </c>
      <c r="F276" s="172" t="s">
        <v>117</v>
      </c>
      <c r="G276" s="172" t="s">
        <v>84</v>
      </c>
      <c r="H276" s="177">
        <v>1</v>
      </c>
      <c r="I276" s="178">
        <v>2103</v>
      </c>
      <c r="J276" s="176">
        <v>46110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-904.29</v>
      </c>
    </row>
    <row r="277" spans="1:16" ht="19.5" hidden="1" customHeight="1">
      <c r="A277" s="172" t="s">
        <v>3577</v>
      </c>
      <c r="B277" s="176">
        <v>46112</v>
      </c>
      <c r="C277" s="172" t="s">
        <v>2694</v>
      </c>
      <c r="D277" s="172" t="s">
        <v>95</v>
      </c>
      <c r="E277" s="172" t="s">
        <v>39</v>
      </c>
      <c r="F277" s="172" t="s">
        <v>117</v>
      </c>
      <c r="G277" s="172" t="s">
        <v>84</v>
      </c>
      <c r="H277" s="177">
        <v>1</v>
      </c>
      <c r="I277" s="178">
        <v>2103</v>
      </c>
      <c r="J277" s="176">
        <v>46110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-5.68</v>
      </c>
    </row>
    <row r="278" spans="1:16" ht="19.5" hidden="1" customHeight="1">
      <c r="A278" s="172" t="s">
        <v>3575</v>
      </c>
      <c r="B278" s="176">
        <v>46112</v>
      </c>
      <c r="C278" s="172" t="s">
        <v>2694</v>
      </c>
      <c r="D278" s="172" t="s">
        <v>82</v>
      </c>
      <c r="E278" s="172" t="s">
        <v>39</v>
      </c>
      <c r="F278" s="172" t="s">
        <v>117</v>
      </c>
      <c r="G278" s="172" t="s">
        <v>84</v>
      </c>
      <c r="H278" s="177">
        <v>1</v>
      </c>
      <c r="I278" s="178">
        <v>0</v>
      </c>
      <c r="J278" s="176">
        <v>46110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-13.93</v>
      </c>
    </row>
    <row r="279" spans="1:16" ht="19.5" hidden="1" customHeight="1">
      <c r="A279" s="172" t="s">
        <v>3576</v>
      </c>
      <c r="B279" s="176">
        <v>46112</v>
      </c>
      <c r="C279" s="172" t="s">
        <v>2694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46110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-14.44</v>
      </c>
    </row>
    <row r="280" spans="1:16" ht="19.5" hidden="1" customHeight="1">
      <c r="A280" s="172" t="s">
        <v>3577</v>
      </c>
      <c r="B280" s="176">
        <v>46112</v>
      </c>
      <c r="C280" s="172" t="s">
        <v>2694</v>
      </c>
      <c r="D280" s="172" t="s">
        <v>82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46110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-15.24</v>
      </c>
    </row>
    <row r="281" spans="1:16" ht="19.5" hidden="1" customHeight="1">
      <c r="A281" s="172" t="s">
        <v>3578</v>
      </c>
      <c r="B281" s="176">
        <v>46112</v>
      </c>
      <c r="C281" s="172" t="s">
        <v>92</v>
      </c>
      <c r="D281" s="172" t="s">
        <v>24</v>
      </c>
      <c r="E281" s="172" t="s">
        <v>58</v>
      </c>
      <c r="F281" s="172" t="s">
        <v>1300</v>
      </c>
      <c r="G281" s="172" t="s">
        <v>84</v>
      </c>
      <c r="H281" s="177">
        <v>1</v>
      </c>
      <c r="I281" s="178">
        <v>2443</v>
      </c>
      <c r="J281" s="176">
        <v>46110</v>
      </c>
      <c r="K281" s="172" t="s">
        <v>93</v>
      </c>
      <c r="L281" s="172" t="s">
        <v>94</v>
      </c>
      <c r="M281" s="179">
        <v>0.43</v>
      </c>
      <c r="N281" s="177"/>
      <c r="O281" s="177">
        <v>33</v>
      </c>
      <c r="P281" s="180">
        <v>-98.13</v>
      </c>
    </row>
    <row r="282" spans="1:16" ht="19.5" hidden="1" customHeight="1">
      <c r="A282" s="172" t="s">
        <v>3578</v>
      </c>
      <c r="B282" s="176">
        <v>46112</v>
      </c>
      <c r="C282" s="172" t="s">
        <v>100</v>
      </c>
      <c r="D282" s="172" t="s">
        <v>101</v>
      </c>
      <c r="E282" s="172" t="s">
        <v>58</v>
      </c>
      <c r="F282" s="172" t="s">
        <v>1300</v>
      </c>
      <c r="G282" s="172" t="s">
        <v>84</v>
      </c>
      <c r="H282" s="177">
        <v>1</v>
      </c>
      <c r="I282" s="178">
        <v>2443</v>
      </c>
      <c r="J282" s="176">
        <v>46110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924.31</v>
      </c>
    </row>
    <row r="283" spans="1:16" ht="19.5" hidden="1" customHeight="1">
      <c r="A283" s="172" t="s">
        <v>3578</v>
      </c>
      <c r="B283" s="176">
        <v>46112</v>
      </c>
      <c r="C283" s="172" t="s">
        <v>100</v>
      </c>
      <c r="D283" s="172" t="s">
        <v>102</v>
      </c>
      <c r="E283" s="172" t="s">
        <v>58</v>
      </c>
      <c r="F283" s="172" t="s">
        <v>1300</v>
      </c>
      <c r="G283" s="172" t="s">
        <v>84</v>
      </c>
      <c r="H283" s="177">
        <v>1</v>
      </c>
      <c r="I283" s="178">
        <v>2443</v>
      </c>
      <c r="J283" s="176">
        <v>46110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3578</v>
      </c>
      <c r="B284" s="176">
        <v>46112</v>
      </c>
      <c r="C284" s="172" t="s">
        <v>100</v>
      </c>
      <c r="D284" s="172" t="s">
        <v>103</v>
      </c>
      <c r="E284" s="172" t="s">
        <v>58</v>
      </c>
      <c r="F284" s="172" t="s">
        <v>1300</v>
      </c>
      <c r="G284" s="172" t="s">
        <v>84</v>
      </c>
      <c r="H284" s="177">
        <v>1</v>
      </c>
      <c r="I284" s="178">
        <v>2443</v>
      </c>
      <c r="J284" s="176">
        <v>46110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1518.69</v>
      </c>
    </row>
    <row r="285" spans="1:16" ht="19.5" hidden="1" customHeight="1">
      <c r="A285" s="172" t="s">
        <v>3578</v>
      </c>
      <c r="B285" s="176">
        <v>46112</v>
      </c>
      <c r="C285" s="172" t="s">
        <v>104</v>
      </c>
      <c r="D285" s="172" t="s">
        <v>105</v>
      </c>
      <c r="E285" s="172" t="s">
        <v>58</v>
      </c>
      <c r="F285" s="172" t="s">
        <v>1300</v>
      </c>
      <c r="G285" s="172" t="s">
        <v>84</v>
      </c>
      <c r="H285" s="177">
        <v>1</v>
      </c>
      <c r="I285" s="178">
        <v>2443</v>
      </c>
      <c r="J285" s="176">
        <v>46110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-1050.49</v>
      </c>
    </row>
    <row r="286" spans="1:16" ht="19.5" hidden="1" customHeight="1">
      <c r="A286" s="172" t="s">
        <v>3579</v>
      </c>
      <c r="B286" s="176">
        <v>46112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2750</v>
      </c>
      <c r="J286" s="176">
        <v>46111</v>
      </c>
      <c r="K286" s="172" t="s">
        <v>93</v>
      </c>
      <c r="L286" s="172" t="s">
        <v>94</v>
      </c>
      <c r="M286" s="179">
        <v>0.43</v>
      </c>
      <c r="N286" s="177"/>
      <c r="O286" s="177">
        <v>33</v>
      </c>
      <c r="P286" s="180">
        <v>-89.16</v>
      </c>
    </row>
    <row r="287" spans="1:16" ht="19.5" hidden="1" customHeight="1">
      <c r="A287" s="172" t="s">
        <v>3579</v>
      </c>
      <c r="B287" s="176">
        <v>46112</v>
      </c>
      <c r="C287" s="172" t="s">
        <v>100</v>
      </c>
      <c r="D287" s="172" t="s">
        <v>101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2750</v>
      </c>
      <c r="J287" s="176">
        <v>46111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1000.95</v>
      </c>
    </row>
    <row r="288" spans="1:16" ht="19.5" hidden="1" customHeight="1">
      <c r="A288" s="172" t="s">
        <v>3579</v>
      </c>
      <c r="B288" s="176">
        <v>46112</v>
      </c>
      <c r="C288" s="172" t="s">
        <v>100</v>
      </c>
      <c r="D288" s="172" t="s">
        <v>102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2750</v>
      </c>
      <c r="J288" s="176">
        <v>46111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10.01</v>
      </c>
    </row>
    <row r="289" spans="1:16" ht="19.5" hidden="1" customHeight="1">
      <c r="A289" s="172" t="s">
        <v>3579</v>
      </c>
      <c r="B289" s="176">
        <v>46112</v>
      </c>
      <c r="C289" s="172" t="s">
        <v>100</v>
      </c>
      <c r="D289" s="172" t="s">
        <v>103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2750</v>
      </c>
      <c r="J289" s="176">
        <v>46111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1739.04</v>
      </c>
    </row>
    <row r="290" spans="1:16" ht="19.5" hidden="1" customHeight="1">
      <c r="A290" s="172" t="s">
        <v>3579</v>
      </c>
      <c r="B290" s="176">
        <v>46112</v>
      </c>
      <c r="C290" s="172" t="s">
        <v>104</v>
      </c>
      <c r="D290" s="172" t="s">
        <v>105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2750</v>
      </c>
      <c r="J290" s="176">
        <v>46111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-1182.5</v>
      </c>
    </row>
    <row r="291" spans="1:16" ht="19.5" hidden="1" customHeight="1">
      <c r="A291" s="172" t="s">
        <v>3579</v>
      </c>
      <c r="B291" s="176">
        <v>46112</v>
      </c>
      <c r="C291" s="172" t="s">
        <v>2694</v>
      </c>
      <c r="D291" s="172" t="s">
        <v>95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2750</v>
      </c>
      <c r="J291" s="176">
        <v>46111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-6.83</v>
      </c>
    </row>
    <row r="292" spans="1:16" ht="19.5" hidden="1" customHeight="1">
      <c r="A292" s="172" t="s">
        <v>3580</v>
      </c>
      <c r="B292" s="176">
        <v>46112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46112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-7.49</v>
      </c>
    </row>
    <row r="293" spans="1:16" ht="19.5" hidden="1" customHeight="1">
      <c r="A293" s="172" t="s">
        <v>3581</v>
      </c>
      <c r="B293" s="176">
        <v>46112</v>
      </c>
      <c r="C293" s="172" t="s">
        <v>92</v>
      </c>
      <c r="D293" s="172" t="s">
        <v>24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2163</v>
      </c>
      <c r="J293" s="176">
        <v>46110</v>
      </c>
      <c r="K293" s="172" t="s">
        <v>93</v>
      </c>
      <c r="L293" s="172" t="s">
        <v>94</v>
      </c>
      <c r="M293" s="179">
        <v>0.43</v>
      </c>
      <c r="N293" s="177"/>
      <c r="O293" s="177">
        <v>33</v>
      </c>
      <c r="P293" s="180">
        <v>-94.91</v>
      </c>
    </row>
    <row r="294" spans="1:16" ht="19.5" hidden="1" customHeight="1">
      <c r="A294" s="172" t="s">
        <v>3581</v>
      </c>
      <c r="B294" s="176">
        <v>46112</v>
      </c>
      <c r="C294" s="172" t="s">
        <v>100</v>
      </c>
      <c r="D294" s="172" t="s">
        <v>101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2163</v>
      </c>
      <c r="J294" s="176">
        <v>46110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750.71</v>
      </c>
    </row>
    <row r="295" spans="1:16" ht="19.5" hidden="1" customHeight="1">
      <c r="A295" s="172" t="s">
        <v>3581</v>
      </c>
      <c r="B295" s="176">
        <v>46112</v>
      </c>
      <c r="C295" s="172" t="s">
        <v>100</v>
      </c>
      <c r="D295" s="172" t="s">
        <v>102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2163</v>
      </c>
      <c r="J295" s="176">
        <v>46110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7.51</v>
      </c>
    </row>
    <row r="296" spans="1:16" ht="19.5" hidden="1" customHeight="1">
      <c r="A296" s="172" t="s">
        <v>3581</v>
      </c>
      <c r="B296" s="176">
        <v>46112</v>
      </c>
      <c r="C296" s="172" t="s">
        <v>100</v>
      </c>
      <c r="D296" s="172" t="s">
        <v>103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2163</v>
      </c>
      <c r="J296" s="176">
        <v>46110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1404.78</v>
      </c>
    </row>
    <row r="297" spans="1:16" ht="19.5" hidden="1" customHeight="1">
      <c r="A297" s="172" t="s">
        <v>3581</v>
      </c>
      <c r="B297" s="176">
        <v>46112</v>
      </c>
      <c r="C297" s="172" t="s">
        <v>104</v>
      </c>
      <c r="D297" s="172" t="s">
        <v>105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2163</v>
      </c>
      <c r="J297" s="176">
        <v>46110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-930.09</v>
      </c>
    </row>
    <row r="298" spans="1:16" ht="19.5" hidden="1" customHeight="1">
      <c r="A298" s="172" t="s">
        <v>3581</v>
      </c>
      <c r="B298" s="176">
        <v>46112</v>
      </c>
      <c r="C298" s="172" t="s">
        <v>2694</v>
      </c>
      <c r="D298" s="172" t="s">
        <v>95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2163</v>
      </c>
      <c r="J298" s="176">
        <v>46110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-7.87</v>
      </c>
    </row>
    <row r="299" spans="1:16" ht="19.5" hidden="1" customHeight="1">
      <c r="A299" s="172" t="s">
        <v>3581</v>
      </c>
      <c r="B299" s="176">
        <v>46112</v>
      </c>
      <c r="C299" s="172" t="s">
        <v>2694</v>
      </c>
      <c r="D299" s="172" t="s">
        <v>82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46110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-14.26</v>
      </c>
    </row>
    <row r="300" spans="1:16" ht="19.5" hidden="1" customHeight="1">
      <c r="A300" s="172" t="s">
        <v>3246</v>
      </c>
      <c r="B300" s="176">
        <v>46112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46112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-383.64</v>
      </c>
    </row>
    <row r="301" spans="1:16" ht="19.5" hidden="1" customHeight="1">
      <c r="A301" s="172" t="s">
        <v>142</v>
      </c>
      <c r="B301" s="176">
        <v>46112</v>
      </c>
      <c r="C301" s="172" t="s">
        <v>109</v>
      </c>
      <c r="D301" s="172" t="s">
        <v>143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46112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-664.9</v>
      </c>
    </row>
    <row r="302" spans="1:16" ht="19.5" hidden="1" customHeight="1">
      <c r="A302" s="172" t="s">
        <v>3251</v>
      </c>
      <c r="B302" s="176">
        <v>46112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46112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-486.43</v>
      </c>
    </row>
    <row r="303" spans="1:16" ht="19.5" hidden="1" customHeight="1">
      <c r="A303" s="172" t="s">
        <v>3432</v>
      </c>
      <c r="B303" s="176">
        <v>46112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46112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-267.25</v>
      </c>
    </row>
    <row r="304" spans="1:16" ht="19.5" hidden="1" customHeight="1">
      <c r="A304" s="172" t="s">
        <v>3433</v>
      </c>
      <c r="B304" s="176">
        <v>46112</v>
      </c>
      <c r="C304" s="172" t="s">
        <v>109</v>
      </c>
      <c r="D304" s="172" t="s">
        <v>139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46112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-534.9</v>
      </c>
    </row>
    <row r="305" spans="1:16" ht="19.5" hidden="1" customHeight="1">
      <c r="A305" s="172" t="s">
        <v>3434</v>
      </c>
      <c r="B305" s="176">
        <v>46112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46112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-303.12</v>
      </c>
    </row>
    <row r="306" spans="1:16" ht="19.5" hidden="1" customHeight="1">
      <c r="A306" s="172" t="s">
        <v>3407</v>
      </c>
      <c r="B306" s="176">
        <v>46112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46112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-332.47</v>
      </c>
    </row>
    <row r="307" spans="1:16" ht="19.5" hidden="1" customHeight="1">
      <c r="A307" s="172" t="s">
        <v>3013</v>
      </c>
      <c r="B307" s="176">
        <v>46112</v>
      </c>
      <c r="C307" s="172" t="s">
        <v>109</v>
      </c>
      <c r="D307" s="172" t="s">
        <v>143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46112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-728.95</v>
      </c>
    </row>
    <row r="308" spans="1:16" ht="19.5" hidden="1" customHeight="1">
      <c r="A308" s="172" t="s">
        <v>3406</v>
      </c>
      <c r="B308" s="176">
        <v>46112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46112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-319.91000000000003</v>
      </c>
    </row>
    <row r="309" spans="1:16" ht="19.5" hidden="1" customHeight="1">
      <c r="A309" s="172" t="s">
        <v>3408</v>
      </c>
      <c r="B309" s="176">
        <v>46112</v>
      </c>
      <c r="C309" s="172" t="s">
        <v>109</v>
      </c>
      <c r="D309" s="172" t="s">
        <v>139</v>
      </c>
      <c r="E309" s="172" t="s">
        <v>85</v>
      </c>
      <c r="F309" s="172" t="s">
        <v>85</v>
      </c>
      <c r="G309" s="172" t="s">
        <v>85</v>
      </c>
      <c r="H309" s="177">
        <v>0</v>
      </c>
      <c r="I309" s="178">
        <v>0</v>
      </c>
      <c r="J309" s="176">
        <v>46112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-416.01</v>
      </c>
    </row>
  </sheetData>
  <autoFilter ref="A1:P309" xr:uid="{F4592C2C-175E-4BBC-8D04-A0DAB74E57F8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3373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3374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3375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3375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3375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3375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3375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3295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3295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3295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3295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3295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3376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3376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3377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3377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3377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3377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3377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3376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3376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3376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3378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3378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3378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3378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3378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3378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3379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3379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3379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3379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3379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3380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3380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3380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3380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3380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3381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3381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3382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3382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3382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3382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3382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3382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3383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3383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3383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3383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3383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3383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3346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3383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3242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3384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3384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3384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3384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3384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3355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3355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3355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3355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3355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3247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3245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3249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3251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3246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3248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3250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3385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3386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3387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3387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3388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3389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3390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3389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3389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3389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3391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3391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3391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3391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3391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3392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3392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3392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3392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3392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3392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3393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3393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3394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3394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3394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3394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3394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3395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3395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3396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3396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3397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3395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3395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3395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3396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3396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3396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3398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3398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3398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3398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3398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3356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3399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3399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3399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3399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3399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3399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3400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3401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3401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3401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3401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3401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3401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3401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3402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3402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3402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3402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3402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3402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3403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3403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3403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3403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3403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3403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3365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3365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3365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3365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3365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3404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3404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3361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3361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3361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3361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3405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3405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3405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3405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3405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3405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3361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3386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3406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3407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3408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3245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3249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3251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3246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3409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3409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3409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3409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3409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3410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3410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3410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3411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3411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3411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3411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3411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3412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3413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3413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3413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3413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3413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3413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3413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3414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3414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3414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3414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3414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3415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3415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3415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3415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3415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3415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3415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3416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3416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3416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3416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3416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3416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3416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3417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3417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3417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3417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3417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3418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3418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3418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3418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3418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3418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3419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3419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3419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3419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3419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3417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3417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3417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3417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3420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3421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3421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3421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3421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3421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3421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3421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3422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3422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3422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3422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3422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3422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3422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3423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3423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3423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3423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3423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3424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3424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3424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3424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3424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3424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3424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3425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3425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3426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3426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3426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3426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3426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3426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3427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3427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3427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3427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3428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3429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3429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3429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3429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3429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3429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3430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3431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3431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3431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3431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3431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3246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3251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3432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3433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3434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3407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3406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3408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3435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3436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3436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3436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3436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3436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3437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3438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3439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3439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3439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3439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3439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3439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3440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3440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3440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3440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3440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3440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3439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3440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3441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3441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3441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3441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3441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3441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3442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3443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3443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3443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3443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3443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3366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3366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3366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3366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3366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3444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3444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3444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3444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3444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3444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3338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3338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3338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3338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3444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3338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3445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3445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3445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3445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3445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3445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3445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3446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3446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3446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3446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3446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3446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3447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3447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3447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3447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3447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3447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3448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3448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3448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3448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3448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3448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3447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3361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3361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3361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3448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3426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3426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3426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3426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3449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3449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3450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3450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3449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3449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3449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3385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3451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3451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3451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3451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3451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3451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3452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3451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3453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3453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3454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3454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3454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3454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3454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3454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3453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3453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3453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3381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3381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3381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3381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3381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3455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3455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3455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3455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3455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3456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3456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3456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3456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3456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3456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3457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3457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3457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3457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3457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3458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3458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3459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3459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3460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3460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3460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3460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3460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3365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3365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3365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3246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3251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3432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3433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3434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3407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3406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3408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3461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3461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3461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3461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3461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3462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3463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3463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3463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3463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3463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3464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3464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3464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3464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3464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3464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3464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3465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3466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3467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3467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3467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3467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3467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3468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3468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3468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3468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3468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3468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3469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3469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3469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3469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3469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3470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3470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3470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3470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3470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3468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3471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3471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3471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3471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3471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3471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3471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3472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3472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3472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3472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3472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3473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3473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3473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3473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3473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3473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3473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3474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3474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3474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3474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3474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3474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3474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3475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3475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3475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3475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3475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3476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3477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3477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3477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3477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3477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3246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3251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3432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3433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3434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3407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3406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3408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3459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3459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3459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3459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3459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3478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3479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3479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3479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3479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3479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3480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3480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3480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3480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3480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3481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3481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3481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3481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3481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3482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3482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3482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3482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3482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3482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3482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3483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3484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3484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3484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3484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3484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3485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3485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3485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3485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3486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3486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3486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3486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3486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3486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3487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3487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3487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3487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3487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3487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3488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3488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3486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3489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3489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3489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3489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3489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3489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3488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3488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3488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3490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3490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3490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3490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3490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3490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3490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3491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3491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3491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3491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3491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3492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3492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3492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3492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3492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3450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3450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3450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3450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3450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3425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3425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3493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3493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3493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3493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3493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3493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3425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3425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3425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3493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3494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3494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3494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3494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3494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3494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3494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3495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3496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3496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3496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3496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3496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3496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3497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3497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3498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3498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3498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3498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3498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3498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3499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3499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3498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3500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3433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3434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3432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3407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3408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3406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3251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3246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3501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3501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3501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3501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3501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3502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3503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3503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3503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3504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3504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3504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3504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3504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3505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3458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3458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3458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3458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3458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3506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3506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3507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3508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3508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3508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3508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3508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3508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3509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3509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3509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3509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3509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3509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3508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3509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3510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3511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3511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3511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3511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3511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3511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3393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3393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3393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3393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3393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3512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3512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3512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3512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3512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3512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3513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3513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3513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3513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3513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3513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3513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3514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3514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3514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3514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3514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3514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3515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3515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3515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3515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3515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3515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3514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3516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3516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3515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3516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3516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3516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3517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3518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3338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3338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3338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3433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3434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3432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3406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3408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3407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3251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3246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3199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3200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3200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3200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3200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3200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3201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3202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3202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3202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3202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3202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3203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3204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3204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3205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3206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3206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3206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3206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3207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3207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3207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3207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3207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3207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3208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3208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3208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3208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3208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3209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3209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3209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3209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3209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3209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3210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3210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3210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3210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3210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3209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3211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3211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3211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3211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3211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3211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3211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3212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3212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3212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3212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3212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3212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3212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3213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3213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3213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3213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3213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3213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3214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3214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3214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3214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3214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3215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3215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3215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3215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3215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3215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3216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3216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3216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3216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3216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3217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3217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3217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3217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3217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3218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3218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3218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3218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3218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3218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3219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3219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3219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3219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3219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3219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3220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3220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3219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3221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3221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3221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3221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3221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3221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3221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3222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3222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3222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3222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3222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3222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3222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3223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3223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3223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3223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3223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3224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3224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3224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3224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3224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3225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3225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3225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3225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3225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3226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3226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3226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3226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3227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3227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3227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3227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3227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3228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3229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3229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3229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3229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3229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3229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3230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3229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3231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3231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3231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3231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3231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3231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3231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3232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3232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3232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3232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3232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3232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3233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3233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3233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3233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3233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3233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3232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3233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3234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3234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3234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3234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3234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3234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3235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3235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3236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3236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3236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3236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3237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3237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3237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3237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3237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3237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3238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3239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3239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3239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3239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3239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3240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3240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3240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3240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3240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3241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3241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3241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3241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3241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3242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3243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3243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3244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3244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3243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3243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3243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3244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3244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3244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3245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3246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3247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3248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3249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3250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3251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3252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3252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3252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3252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3252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3253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3253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3253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3253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3253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3254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3254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3254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3254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3254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3254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3255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3255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3255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3255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3255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3256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3256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3256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3256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3256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3257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3204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3204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3204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3204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3204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3258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3258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3258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3258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3258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3259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3259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3259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3259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3259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3260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3260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3260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3260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3260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3261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3261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3261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3261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3261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3261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3262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3262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3262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3262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3262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3263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3263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3263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3263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3263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3264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3264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3264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3264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3264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3264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3264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3265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3265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3266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3266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3266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3266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3266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3266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3265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3265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3267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3267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3267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3268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3268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3268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3268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3268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3268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3269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3269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3269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3269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3269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3270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3270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3270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3270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3270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3270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3271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3271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3271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3271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3271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3270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3271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3272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3272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3273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3273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3273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3273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3273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3273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3272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3272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3272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3273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3274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3274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3274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3274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3274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3248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3247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3245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3249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3250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3251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3246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3275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3275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3275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3275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3275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3276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3277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3278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3279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3279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3279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3279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3279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3280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3280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3280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3280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3280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3280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3281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3281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3281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3281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3281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3280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3282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3282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3282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3282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3282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3282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3283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3283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3283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3283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3283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3283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3283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3235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3235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3235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3235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3235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3284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3284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3284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3284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3284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3284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3285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3285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3285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3285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3285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3284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3286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3286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3286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3286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3286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3286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3286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3287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3287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3287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3287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3287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3287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3288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3288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3288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3288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3288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3288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3287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3288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3289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3289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3289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3289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3289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3289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3290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3290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3290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3290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3290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3291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3247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3248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3245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3249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3250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3251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3246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3292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3292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3292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3292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3292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3293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3294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3295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3295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3296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3296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3296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3296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3296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3297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3297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3297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3297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3297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3297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3298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3298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3298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3298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3298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3298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3298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3297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3299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3300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3301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3302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3303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3303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3303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3303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3303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3303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3304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3303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3305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3305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3305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3305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3305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3306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3306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3306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3306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3306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3307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3308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3308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3308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3308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3308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3309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3310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3310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3310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3310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3310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3251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3246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3247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3248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3245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3249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3250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3311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3311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3311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3311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3311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3312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3312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3312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3312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3312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3313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3313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3313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3313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3313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3314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3314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3314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3314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3314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3315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3315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3315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3315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3316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3316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3317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3317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3316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3316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3316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3317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3317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3317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3318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3318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3318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3318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3318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3319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3319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3319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3319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3319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3320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3320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3320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3320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3320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3320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3321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3322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3322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3322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3322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3322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3323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3323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3323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3323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3323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3323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3324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3324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3324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3324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3324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3324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3324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3325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3325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3325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3325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3325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3326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3326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3326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3326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3326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3326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3327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3327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3327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3327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3327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3327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3327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3328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3328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3328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3328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3328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3328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3328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3329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3329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3329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3329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3329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3329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3330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3330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3330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3330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3330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3330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3331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3331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3331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3331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3331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3331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3332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3332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3332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3332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3332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3332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3329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3333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3331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3330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3334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3334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3333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3333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3333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3334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3334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3334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3332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3335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3336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3336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3336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3336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3336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3336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3337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3337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3337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3337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3337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3337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3337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3338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3338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3338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3338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3338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3338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3338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3339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3339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3339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3339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3339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3339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3340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3339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3341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3342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3343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3343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3343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3343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3343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3344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3345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3345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3345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3345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3345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3247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3245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3249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3250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3251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3248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3246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3346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3347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3347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3347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3347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3344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3348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3348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3348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3348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3348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3349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3350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3351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3351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3351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3351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3351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3351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3352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3352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3352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3351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3353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3353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3353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3353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3353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3353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3354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3355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3355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3356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3357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3358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3358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3358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3358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3358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3358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3359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3360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3360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3360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3360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3360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3360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3360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3361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3361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3361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3361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3361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3361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3361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3362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3362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3362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3362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3362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3362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3363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3362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3364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3365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3365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3365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3365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3365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3365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3365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3366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3366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3367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3367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3367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3367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3368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3368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3368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3368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3368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3368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3368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3369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3369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3370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3370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3369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3369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3369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3370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3370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3370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3371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3371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3371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3371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3371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3372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3372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3372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3372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3372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3247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3248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3245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3249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3250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3251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3246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61</vt:i4>
      </vt:variant>
    </vt:vector>
  </HeadingPairs>
  <TitlesOfParts>
    <vt:vector size="61" baseType="lpstr">
      <vt:lpstr>Сводная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Юнит 30.03-05.04</vt:lpstr>
      <vt:lpstr>Юнит 01-05.04</vt:lpstr>
      <vt:lpstr>Остатки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2026-04-06T15:20:31Z</dcterms:modified>
</cp:coreProperties>
</file>