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9 нед\"/>
    </mc:Choice>
  </mc:AlternateContent>
  <xr:revisionPtr revIDLastSave="0" documentId="13_ncr:1_{86E1684A-0998-42E6-AE7F-057E66C4EACA}" xr6:coauthVersionLast="45" xr6:coauthVersionMax="45" xr10:uidLastSave="{00000000-0000-0000-0000-000000000000}"/>
  <bookViews>
    <workbookView xWindow="-110" yWindow="-110" windowWidth="19420" windowHeight="10420" activeTab="17" xr2:uid="{00000000-000D-0000-FFFF-FFFF00000000}"/>
  </bookViews>
  <sheets>
    <sheet name="Налоги" sheetId="30" r:id="rId1"/>
    <sheet name="Сводная" sheetId="7" r:id="rId2"/>
    <sheet name="АВС 02-08.03" sheetId="45" state="hidden" r:id="rId3"/>
    <sheet name="АВС ФЕВРАЛЬ" sheetId="44" r:id="rId4"/>
    <sheet name="АВС 23.02-01.03" sheetId="34" r:id="rId5"/>
    <sheet name="АВС 16-22.02" sheetId="32" state="hidden" r:id="rId6"/>
    <sheet name="АВС 09-15.02" sheetId="28" state="hidden" r:id="rId7"/>
    <sheet name="АВС 02-08.02" sheetId="23" state="hidden" r:id="rId8"/>
    <sheet name="АВС ЯНВАРЬ" sheetId="22" state="hidden" r:id="rId9"/>
    <sheet name="АВС 26.01-01.02" sheetId="21" state="hidden" r:id="rId10"/>
    <sheet name="АВС 19-25.01" sheetId="20" state="hidden" r:id="rId11"/>
    <sheet name="АВС 12-18.01" sheetId="19" state="hidden" r:id="rId12"/>
    <sheet name="АВС 05-11.01" sheetId="18" state="hidden" r:id="rId13"/>
    <sheet name="АВС 01-04.01" sheetId="17" state="hidden" r:id="rId14"/>
    <sheet name="Юнит 02-08.03" sheetId="40" state="hidden" r:id="rId15"/>
    <sheet name="Юнит 01.03" sheetId="39" state="hidden" r:id="rId16"/>
    <sheet name="ФЕВРАЛЬ" sheetId="36" r:id="rId17"/>
    <sheet name="Юнит 23.02-01.03" sheetId="43" r:id="rId18"/>
    <sheet name="Юнит 23-28.02" sheetId="33" state="hidden" r:id="rId19"/>
    <sheet name="Юнит 16-22.02" sheetId="31" state="hidden" r:id="rId20"/>
    <sheet name="Юнит 09-15.02" sheetId="27" state="hidden" r:id="rId21"/>
    <sheet name="Юнит 02-08.02" sheetId="25" state="hidden" r:id="rId22"/>
    <sheet name="Юнит 01.02" sheetId="15" state="hidden" r:id="rId23"/>
    <sheet name="ЯНВАРЬ" sheetId="16" state="hidden" r:id="rId24"/>
    <sheet name="Юнит 26.01-01.02" sheetId="24" state="hidden" r:id="rId25"/>
    <sheet name="Юнит 26-31.01" sheetId="14" state="hidden" r:id="rId26"/>
    <sheet name="Юнит 19-25.01" sheetId="4" state="hidden" r:id="rId27"/>
    <sheet name="Юнит 12-18.01" sheetId="3" state="hidden" r:id="rId28"/>
    <sheet name="Юнит 05-11.01" sheetId="13" state="hidden" r:id="rId29"/>
    <sheet name="Юнит 01-04.01" sheetId="12" state="hidden" r:id="rId30"/>
    <sheet name="Отчет 02-08.03" sheetId="42" state="hidden" r:id="rId31"/>
    <sheet name="Отчет 01.03" sheetId="38" state="hidden" r:id="rId32"/>
    <sheet name="Отчет 23-28.02" sheetId="37" state="hidden" r:id="rId33"/>
    <sheet name="Отчет 16-22.02" sheetId="35" state="hidden" r:id="rId34"/>
    <sheet name="Отчет 09-15.02" sheetId="29" state="hidden" r:id="rId35"/>
    <sheet name="Отчет 02-08.02" sheetId="26" state="hidden" r:id="rId36"/>
    <sheet name="Отчет 01.02" sheetId="9" state="hidden" r:id="rId37"/>
    <sheet name="Отчет 26-31.01" sheetId="8" state="hidden" r:id="rId38"/>
    <sheet name="Отчет 19-25.01" sheetId="6" state="hidden" r:id="rId39"/>
    <sheet name="Отчет 12-18.01" sheetId="5" state="hidden" r:id="rId40"/>
    <sheet name="Отчет 05-11.01" sheetId="10" state="hidden" r:id="rId41"/>
    <sheet name="Отчет 01-04.01" sheetId="11" state="hidden" r:id="rId42"/>
  </sheets>
  <definedNames>
    <definedName name="_xlnm._FilterDatabase" localSheetId="36" hidden="1">'Отчет 01.02'!$A$1:$P$166</definedName>
    <definedName name="_xlnm._FilterDatabase" localSheetId="31" hidden="1">'Отчет 01.03'!$A$1:$P$191</definedName>
    <definedName name="_xlnm._FilterDatabase" localSheetId="35" hidden="1">'Отчет 02-08.02'!$A$1:$P$1626</definedName>
    <definedName name="_xlnm._FilterDatabase" localSheetId="34" hidden="1">'Отчет 09-15.02'!$A$1:$P$1325</definedName>
    <definedName name="_xlnm._FilterDatabase" localSheetId="33" hidden="1">'Отчет 16-22.02'!$A$1:$P$1790</definedName>
    <definedName name="_xlnm._FilterDatabase" localSheetId="32" hidden="1">'Отчет 23-28.02'!$A$1:$P$1405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5" i="36" l="1"/>
  <c r="AB3" i="36"/>
  <c r="AC3" i="36"/>
  <c r="AD3" i="36"/>
  <c r="AB4" i="36"/>
  <c r="AC4" i="36"/>
  <c r="AD4" i="36"/>
  <c r="AB5" i="36"/>
  <c r="AC5" i="36"/>
  <c r="AD5" i="36"/>
  <c r="AB6" i="36"/>
  <c r="AC6" i="36"/>
  <c r="AD6" i="36"/>
  <c r="AB7" i="36"/>
  <c r="AC7" i="36"/>
  <c r="AD7" i="36"/>
  <c r="AB8" i="36"/>
  <c r="AC8" i="36"/>
  <c r="AD8" i="36"/>
  <c r="AB9" i="36"/>
  <c r="AC9" i="36"/>
  <c r="AD9" i="36"/>
  <c r="AB10" i="36"/>
  <c r="AC10" i="36"/>
  <c r="AD10" i="36"/>
  <c r="AB11" i="36"/>
  <c r="AC11" i="36"/>
  <c r="AD11" i="36"/>
  <c r="AB12" i="36"/>
  <c r="AC12" i="36"/>
  <c r="AD12" i="36"/>
  <c r="AB13" i="36"/>
  <c r="AC13" i="36"/>
  <c r="AD13" i="36"/>
  <c r="AB14" i="36"/>
  <c r="AC14" i="36"/>
  <c r="AD14" i="36"/>
  <c r="AB15" i="36"/>
  <c r="AC15" i="36"/>
  <c r="AD15" i="36"/>
  <c r="AB16" i="36"/>
  <c r="AC16" i="36"/>
  <c r="AD16" i="36"/>
  <c r="X31" i="7"/>
  <c r="Z31" i="7"/>
  <c r="AA8" i="7"/>
  <c r="AA31" i="7" s="1"/>
  <c r="P3" i="36"/>
  <c r="R31" i="7"/>
  <c r="S31" i="7"/>
  <c r="J31" i="7"/>
  <c r="E31" i="7"/>
  <c r="F31" i="7"/>
  <c r="G31" i="7"/>
  <c r="H31" i="7"/>
  <c r="I31" i="7"/>
  <c r="K31" i="7"/>
  <c r="L31" i="7"/>
  <c r="M31" i="7"/>
  <c r="N31" i="7"/>
  <c r="O31" i="7"/>
  <c r="P31" i="7"/>
  <c r="Q31" i="7"/>
  <c r="T31" i="7"/>
  <c r="U31" i="7"/>
  <c r="V31" i="7"/>
  <c r="W31" i="7"/>
  <c r="Y31" i="7"/>
  <c r="D31" i="7"/>
  <c r="K18" i="7"/>
  <c r="AD4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AD3" i="16"/>
  <c r="X3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Z29" i="7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G3" i="30"/>
  <c r="AC12" i="7"/>
  <c r="AB12" i="7"/>
  <c r="AE12" i="7"/>
  <c r="AD12" i="7"/>
  <c r="AB9" i="7"/>
  <c r="AD18" i="31" l="1"/>
  <c r="AD24" i="31" s="1"/>
  <c r="W29" i="7"/>
  <c r="X29" i="7"/>
  <c r="Y29" i="7"/>
  <c r="R29" i="7"/>
  <c r="V29" i="7"/>
  <c r="L29" i="7"/>
  <c r="M29" i="7"/>
  <c r="N29" i="7"/>
  <c r="O29" i="7"/>
  <c r="P29" i="7"/>
  <c r="Q29" i="7"/>
  <c r="K29" i="7"/>
  <c r="X13" i="7"/>
  <c r="X12" i="7"/>
  <c r="Q13" i="7"/>
  <c r="M13" i="7"/>
  <c r="L13" i="7"/>
  <c r="K13" i="7"/>
  <c r="I13" i="7"/>
  <c r="H13" i="7"/>
  <c r="G13" i="7"/>
  <c r="F13" i="7"/>
  <c r="Q12" i="7"/>
  <c r="M12" i="7"/>
  <c r="L12" i="7"/>
  <c r="K12" i="7"/>
  <c r="I12" i="7"/>
  <c r="H12" i="7"/>
  <c r="G12" i="7"/>
  <c r="F12" i="7"/>
  <c r="E12" i="7"/>
  <c r="J13" i="7"/>
  <c r="Y13" i="7" s="1"/>
  <c r="J12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40"/>
  <c r="AA25" i="33"/>
  <c r="AA27" i="43"/>
  <c r="AA24" i="43"/>
  <c r="AA25" i="39"/>
  <c r="AD1" i="33"/>
  <c r="AD1" i="39"/>
  <c r="AA18" i="33"/>
  <c r="Y12" i="7" l="1"/>
  <c r="D13" i="7"/>
  <c r="Z13" i="7"/>
  <c r="D12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E5" i="45" s="1"/>
  <c r="K4" i="45"/>
  <c r="K18" i="45" s="1"/>
  <c r="E4" i="45"/>
  <c r="F4" i="45" s="1"/>
  <c r="D4" i="45"/>
  <c r="D18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I18" i="43" s="1"/>
  <c r="I24" i="43" s="1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N9" i="40"/>
  <c r="N11" i="40"/>
  <c r="N13" i="40"/>
  <c r="N16" i="40"/>
  <c r="K33" i="40"/>
  <c r="L33" i="40" s="1"/>
  <c r="I33" i="40"/>
  <c r="J33" i="40" s="1"/>
  <c r="K31" i="40"/>
  <c r="L31" i="40" s="1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I18" i="40" s="1"/>
  <c r="I24" i="40" s="1"/>
  <c r="I32" i="40" s="1"/>
  <c r="J32" i="40" s="1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Z12" i="7" l="1"/>
  <c r="U4" i="39"/>
  <c r="U12" i="39"/>
  <c r="U16" i="39"/>
  <c r="K15" i="43"/>
  <c r="N15" i="43" s="1"/>
  <c r="K18" i="39"/>
  <c r="K24" i="39" s="1"/>
  <c r="E13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N3" i="43" s="1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AG16" i="40" s="1"/>
  <c r="E12" i="45"/>
  <c r="F12" i="45" s="1"/>
  <c r="F5" i="45"/>
  <c r="E13" i="45"/>
  <c r="F13" i="45" s="1"/>
  <c r="E6" i="45"/>
  <c r="E14" i="45"/>
  <c r="E17" i="45" s="1"/>
  <c r="F17" i="45" s="1"/>
  <c r="E22" i="45"/>
  <c r="K41" i="45"/>
  <c r="K39" i="45"/>
  <c r="K38" i="45"/>
  <c r="L22" i="45"/>
  <c r="M22" i="45" s="1"/>
  <c r="K37" i="45"/>
  <c r="U12" i="40"/>
  <c r="Y12" i="40" s="1"/>
  <c r="U16" i="40"/>
  <c r="Y16" i="40" s="1"/>
  <c r="L4" i="45"/>
  <c r="M4" i="45" s="1"/>
  <c r="G4" i="45" s="1"/>
  <c r="U4" i="40"/>
  <c r="Y4" i="40" s="1"/>
  <c r="R7" i="40"/>
  <c r="AG7" i="40" s="1"/>
  <c r="U8" i="40"/>
  <c r="Y8" i="40" s="1"/>
  <c r="E22" i="44"/>
  <c r="R6" i="40"/>
  <c r="AG6" i="40" s="1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T18" i="40"/>
  <c r="T24" i="40" s="1"/>
  <c r="AJ10" i="40"/>
  <c r="Z18" i="40"/>
  <c r="Z24" i="40" s="1"/>
  <c r="R3" i="40"/>
  <c r="W3" i="40" s="1"/>
  <c r="R11" i="40"/>
  <c r="AI11" i="40" s="1"/>
  <c r="AK6" i="40"/>
  <c r="R4" i="40"/>
  <c r="AG4" i="40" s="1"/>
  <c r="AM4" i="40" s="1"/>
  <c r="S18" i="40"/>
  <c r="S24" i="40" s="1"/>
  <c r="R12" i="40"/>
  <c r="AG12" i="40" s="1"/>
  <c r="AM12" i="40" s="1"/>
  <c r="U13" i="40"/>
  <c r="Y13" i="40" s="1"/>
  <c r="AK13" i="40"/>
  <c r="AJ5" i="40"/>
  <c r="U5" i="40"/>
  <c r="Y5" i="40" s="1"/>
  <c r="AJ13" i="40"/>
  <c r="R5" i="40"/>
  <c r="AG5" i="40" s="1"/>
  <c r="AK9" i="40"/>
  <c r="AK3" i="40"/>
  <c r="N5" i="40"/>
  <c r="J31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I11" i="39" l="1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AM9" i="40" s="1"/>
  <c r="O14" i="40"/>
  <c r="F22" i="45"/>
  <c r="E23" i="45"/>
  <c r="L5" i="45"/>
  <c r="AG14" i="40"/>
  <c r="AI14" i="40"/>
  <c r="F14" i="45"/>
  <c r="E15" i="45"/>
  <c r="AG3" i="40"/>
  <c r="E7" i="45"/>
  <c r="F6" i="45"/>
  <c r="L23" i="45"/>
  <c r="W4" i="40"/>
  <c r="E23" i="44"/>
  <c r="F22" i="44"/>
  <c r="L23" i="44"/>
  <c r="W11" i="40"/>
  <c r="AG13" i="40"/>
  <c r="AM13" i="40" s="1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M8" i="40" s="1"/>
  <c r="AI8" i="40"/>
  <c r="W8" i="40"/>
  <c r="O8" i="40"/>
  <c r="AI15" i="40"/>
  <c r="W15" i="40"/>
  <c r="O15" i="40"/>
  <c r="AG15" i="40"/>
  <c r="AM15" i="40" s="1"/>
  <c r="Y3" i="40"/>
  <c r="U18" i="40"/>
  <c r="AJ17" i="40"/>
  <c r="P24" i="40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K6" i="34" l="1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F7" i="45"/>
  <c r="E8" i="45"/>
  <c r="M5" i="45"/>
  <c r="G5" i="45" s="1"/>
  <c r="L6" i="45"/>
  <c r="L12" i="45"/>
  <c r="F23" i="45"/>
  <c r="E24" i="45"/>
  <c r="F15" i="45"/>
  <c r="E16" i="45"/>
  <c r="F16" i="45" s="1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AA18" i="40"/>
  <c r="U24" i="40"/>
  <c r="Y18" i="40"/>
  <c r="W18" i="40"/>
  <c r="W24" i="40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D18" i="34" l="1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G12" i="45" s="1"/>
  <c r="L13" i="45"/>
  <c r="M6" i="45"/>
  <c r="G6" i="45" s="1"/>
  <c r="L7" i="45"/>
  <c r="F8" i="45"/>
  <c r="E9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AI17" i="43" l="1"/>
  <c r="AG17" i="43"/>
  <c r="W18" i="43"/>
  <c r="W24" i="43" s="1"/>
  <c r="F9" i="45"/>
  <c r="E10" i="45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D9" i="40"/>
  <c r="AE9" i="40" s="1"/>
  <c r="AL9" i="40" s="1" a="1"/>
  <c r="AL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D5" i="40"/>
  <c r="AE5" i="40" s="1"/>
  <c r="AL5" i="40" s="1" a="1"/>
  <c r="AL5" i="40" s="1"/>
  <c r="AD4" i="40"/>
  <c r="AE4" i="40" s="1"/>
  <c r="AL4" i="40" s="1" a="1"/>
  <c r="AL4" i="40" s="1"/>
  <c r="AD15" i="40"/>
  <c r="AE15" i="40" s="1"/>
  <c r="AL15" i="40" s="1" a="1"/>
  <c r="AL15" i="40" s="1"/>
  <c r="AD7" i="40"/>
  <c r="AE7" i="40" s="1"/>
  <c r="AL7" i="40" s="1" a="1"/>
  <c r="AL7" i="40" s="1"/>
  <c r="AD10" i="40"/>
  <c r="AE10" i="40" s="1"/>
  <c r="AL10" i="40" s="1" a="1"/>
  <c r="AL10" i="40" s="1"/>
  <c r="AD6" i="40"/>
  <c r="AE6" i="40" s="1"/>
  <c r="AL6" i="40" s="1" a="1"/>
  <c r="AL6" i="40" s="1"/>
  <c r="AD13" i="40"/>
  <c r="AE13" i="40" s="1"/>
  <c r="AL13" i="40" s="1" a="1"/>
  <c r="AL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AD6" i="33" l="1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G8" i="45" s="1"/>
  <c r="L9" i="45"/>
  <c r="L27" i="45"/>
  <c r="M26" i="45"/>
  <c r="M14" i="45"/>
  <c r="G14" i="45" s="1"/>
  <c r="L15" i="45"/>
  <c r="L17" i="45"/>
  <c r="M17" i="45" s="1"/>
  <c r="G17" i="45" s="1"/>
  <c r="F26" i="45"/>
  <c r="E27" i="45"/>
  <c r="F10" i="45"/>
  <c r="E11" i="45"/>
  <c r="F11" i="45" s="1"/>
  <c r="L27" i="44"/>
  <c r="M26" i="44"/>
  <c r="F26" i="44"/>
  <c r="E27" i="44"/>
  <c r="AP5" i="40"/>
  <c r="AN5" i="40"/>
  <c r="AM5" i="40"/>
  <c r="AD18" i="40"/>
  <c r="AD24" i="40" s="1"/>
  <c r="AE3" i="40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G5" i="34" l="1"/>
  <c r="O12" i="31"/>
  <c r="J11" i="7"/>
  <c r="D11" i="7" s="1"/>
  <c r="W12" i="31"/>
  <c r="M28" i="7"/>
  <c r="W28" i="7"/>
  <c r="V28" i="7"/>
  <c r="R28" i="7"/>
  <c r="Q28" i="7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G15" i="45" s="1"/>
  <c r="L16" i="45"/>
  <c r="M16" i="45" s="1"/>
  <c r="G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3" i="30"/>
  <c r="E3" i="30"/>
  <c r="L28" i="7" l="1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G10" i="45" s="1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G17" i="34" l="1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S18" i="16"/>
  <c r="AR17" i="16"/>
  <c r="AS17" i="16"/>
  <c r="AS4" i="16"/>
  <c r="AS5" i="16"/>
  <c r="AS6" i="16"/>
  <c r="AS7" i="16"/>
  <c r="AS8" i="16"/>
  <c r="AS9" i="16"/>
  <c r="AS10" i="16"/>
  <c r="AS11" i="16"/>
  <c r="AS12" i="16"/>
  <c r="AS13" i="16"/>
  <c r="AS14" i="16"/>
  <c r="AS15" i="16"/>
  <c r="AS16" i="16"/>
  <c r="AS3" i="16"/>
  <c r="G9" i="34" l="1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28" i="7"/>
  <c r="Y11" i="7"/>
  <c r="D10" i="7"/>
  <c r="R27" i="7"/>
  <c r="W27" i="7"/>
  <c r="V27" i="7"/>
  <c r="Q27" i="7"/>
  <c r="L27" i="7"/>
  <c r="M27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Y17" i="7"/>
  <c r="Z17" i="7" s="1"/>
  <c r="G10" i="34" l="1"/>
  <c r="G7" i="34"/>
  <c r="G11" i="34"/>
  <c r="G12" i="34"/>
  <c r="L12" i="32"/>
  <c r="M5" i="32"/>
  <c r="L6" i="32"/>
  <c r="AL4" i="31" a="1"/>
  <c r="AL4" i="31" s="1"/>
  <c r="C14" i="32"/>
  <c r="Y28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X11" i="7"/>
  <c r="X28" i="7" s="1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2" i="7"/>
  <c r="O22" i="7"/>
  <c r="P22" i="7"/>
  <c r="R22" i="7"/>
  <c r="S22" i="7"/>
  <c r="T22" i="7"/>
  <c r="U22" i="7"/>
  <c r="V22" i="7"/>
  <c r="W22" i="7"/>
  <c r="M6" i="32" l="1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Z11" i="7"/>
  <c r="Z28" i="7" s="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27" i="7"/>
  <c r="Y10" i="7"/>
  <c r="Y27" i="7" s="1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E8" i="7"/>
  <c r="E3" i="7"/>
  <c r="E5" i="7"/>
  <c r="AB17" i="7"/>
  <c r="AC17" i="7"/>
  <c r="AD17" i="7"/>
  <c r="AE17" i="7"/>
  <c r="AB10" i="7"/>
  <c r="AE10" i="7"/>
  <c r="AB11" i="7"/>
  <c r="AE11" i="7"/>
  <c r="W18" i="7"/>
  <c r="V18" i="7"/>
  <c r="U18" i="7"/>
  <c r="T18" i="7"/>
  <c r="S18" i="7"/>
  <c r="R18" i="7"/>
  <c r="P18" i="7"/>
  <c r="O18" i="7"/>
  <c r="N18" i="7"/>
  <c r="AC11" i="7" l="1"/>
  <c r="L8" i="32"/>
  <c r="M7" i="32"/>
  <c r="AD11" i="7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X10" i="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6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8" i="32" l="1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X27" i="7"/>
  <c r="Z10" i="7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AC10" i="7"/>
  <c r="Z27" i="7"/>
  <c r="AD10" i="7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J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M10" i="32" l="1"/>
  <c r="G9" i="32" s="1"/>
  <c r="L11" i="32"/>
  <c r="M11" i="32" s="1"/>
  <c r="G12" i="32" s="1"/>
  <c r="F6" i="32"/>
  <c r="E7" i="32"/>
  <c r="F12" i="32"/>
  <c r="E13" i="32"/>
  <c r="Y10" i="25"/>
  <c r="Q26" i="7"/>
  <c r="D9" i="7"/>
  <c r="W26" i="7"/>
  <c r="V26" i="7"/>
  <c r="R26" i="7"/>
  <c r="AE9" i="7"/>
  <c r="L26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26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X9" i="7" s="1"/>
  <c r="X26" i="7" s="1"/>
  <c r="C11" i="23"/>
  <c r="AL16" i="25" a="1"/>
  <c r="AL16" i="25" s="1"/>
  <c r="C14" i="23"/>
  <c r="AL10" i="25" a="1"/>
  <c r="AL10" i="25" s="1"/>
  <c r="C9" i="23"/>
  <c r="AM9" i="25"/>
  <c r="AL7" i="25" a="1"/>
  <c r="AL7" i="25" s="1"/>
  <c r="K26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26" i="7"/>
  <c r="Z9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K4" i="22"/>
  <c r="K9" i="22"/>
  <c r="K10" i="22"/>
  <c r="K13" i="22"/>
  <c r="K15" i="22"/>
  <c r="K6" i="22"/>
  <c r="K8" i="22"/>
  <c r="K14" i="22"/>
  <c r="K16" i="22"/>
  <c r="K17" i="22"/>
  <c r="K11" i="22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L4" i="22"/>
  <c r="M4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AC9" i="7"/>
  <c r="Z26" i="7"/>
  <c r="AD9" i="7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K18" i="22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L5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5" i="22"/>
  <c r="L12" i="22"/>
  <c r="L6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M6" i="22"/>
  <c r="L7" i="22"/>
  <c r="M12" i="22"/>
  <c r="G12" i="22" s="1"/>
  <c r="L13" i="22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9" i="22"/>
  <c r="G5" i="22"/>
  <c r="G15" i="22"/>
  <c r="G13" i="22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M10" i="22"/>
  <c r="L11" i="22"/>
  <c r="M11" i="22" s="1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1" i="22"/>
  <c r="G6" i="22"/>
  <c r="G10" i="22"/>
  <c r="G4" i="22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Z3" i="36" l="1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18" i="7"/>
  <c r="Q22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S6" i="36" l="1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J8" i="7" s="1"/>
  <c r="R5" i="15"/>
  <c r="O5" i="15" s="1"/>
  <c r="AK6" i="15"/>
  <c r="U9" i="15"/>
  <c r="T18" i="15"/>
  <c r="T24" i="15" s="1"/>
  <c r="I8" i="7" s="1"/>
  <c r="X18" i="15"/>
  <c r="X24" i="15" s="1"/>
  <c r="M8" i="7" s="1"/>
  <c r="R6" i="15"/>
  <c r="O6" i="15" s="1"/>
  <c r="AJ12" i="15"/>
  <c r="Z18" i="15"/>
  <c r="Z24" i="15" s="1"/>
  <c r="L8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U13" i="36" l="1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2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O11" i="16"/>
  <c r="AI11" i="16"/>
  <c r="W11" i="16"/>
  <c r="AE11" i="16" s="1"/>
  <c r="AG11" i="16"/>
  <c r="O14" i="16"/>
  <c r="AI14" i="16"/>
  <c r="W14" i="16"/>
  <c r="AE14" i="16" s="1"/>
  <c r="AG14" i="16"/>
  <c r="AM14" i="16" s="1"/>
  <c r="AG4" i="16"/>
  <c r="AI4" i="16"/>
  <c r="W4" i="16"/>
  <c r="O4" i="16"/>
  <c r="O7" i="16"/>
  <c r="AG7" i="16"/>
  <c r="AI7" i="16"/>
  <c r="W7" i="16"/>
  <c r="AE7" i="16" s="1"/>
  <c r="P18" i="16"/>
  <c r="AK3" i="16"/>
  <c r="AK17" i="16" s="1"/>
  <c r="R3" i="16"/>
  <c r="AJ3" i="16"/>
  <c r="AJ17" i="16" s="1"/>
  <c r="W12" i="16"/>
  <c r="AE12" i="16" s="1"/>
  <c r="O12" i="16"/>
  <c r="AG12" i="16"/>
  <c r="AM12" i="16" s="1"/>
  <c r="AI12" i="16"/>
  <c r="AG5" i="16"/>
  <c r="W5" i="16"/>
  <c r="AE5" i="16" s="1"/>
  <c r="O5" i="16"/>
  <c r="AI5" i="16"/>
  <c r="AG10" i="16"/>
  <c r="AM10" i="16" s="1"/>
  <c r="W10" i="16"/>
  <c r="AE10" i="16" s="1"/>
  <c r="AI10" i="16"/>
  <c r="O10" i="16"/>
  <c r="O16" i="16"/>
  <c r="AI16" i="16"/>
  <c r="AG16" i="16"/>
  <c r="AM16" i="16" s="1"/>
  <c r="W16" i="16"/>
  <c r="AE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25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44" l="1"/>
  <c r="K16" i="44" s="1"/>
  <c r="AL10" i="16" a="1"/>
  <c r="AL10" i="16" s="1"/>
  <c r="C17" i="22"/>
  <c r="AL12" i="16" a="1"/>
  <c r="AL12" i="16" s="1"/>
  <c r="C14" i="22"/>
  <c r="AL16" i="16" a="1"/>
  <c r="AL16" i="16" s="1"/>
  <c r="C16" i="22"/>
  <c r="AL11" i="16" a="1"/>
  <c r="AL11" i="16" s="1"/>
  <c r="AP11" i="16" s="1"/>
  <c r="C5" i="22"/>
  <c r="AL5" i="16" a="1"/>
  <c r="AL5" i="16" s="1"/>
  <c r="C10" i="22"/>
  <c r="AL7" i="16" a="1"/>
  <c r="AL7" i="16" s="1"/>
  <c r="C8" i="22"/>
  <c r="AL9" i="16" a="1"/>
  <c r="AL9" i="16" s="1"/>
  <c r="C12" i="22"/>
  <c r="AL14" i="16" a="1"/>
  <c r="AL14" i="16" s="1"/>
  <c r="AP14" i="16" s="1"/>
  <c r="C15" i="22"/>
  <c r="Q25" i="7"/>
  <c r="Y6" i="7"/>
  <c r="P25" i="7"/>
  <c r="O25" i="7"/>
  <c r="N25" i="7"/>
  <c r="V25" i="7"/>
  <c r="R25" i="7"/>
  <c r="M25" i="7"/>
  <c r="U25" i="7"/>
  <c r="L25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9" i="16"/>
  <c r="AM15" i="14"/>
  <c r="AE6" i="16"/>
  <c r="AD18" i="16"/>
  <c r="AD24" i="16" s="1"/>
  <c r="AE8" i="16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E13" i="16"/>
  <c r="AE15" i="16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N5" i="16"/>
  <c r="AP5" i="16"/>
  <c r="P24" i="16"/>
  <c r="AA22" i="16" s="1"/>
  <c r="AP7" i="16"/>
  <c r="AN7" i="16"/>
  <c r="AN9" i="16"/>
  <c r="AP9" i="16"/>
  <c r="AP10" i="16"/>
  <c r="AN10" i="16"/>
  <c r="AP12" i="16"/>
  <c r="AN12" i="16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Y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L11" i="36" l="1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N14" i="16"/>
  <c r="AL15" i="16" a="1"/>
  <c r="AL15" i="16" s="1"/>
  <c r="AP15" i="16" s="1"/>
  <c r="C4" i="22"/>
  <c r="AL13" i="16" a="1"/>
  <c r="AL13" i="16" s="1"/>
  <c r="AP13" i="16" s="1"/>
  <c r="C13" i="22"/>
  <c r="AL6" i="16" a="1"/>
  <c r="AL6" i="16" s="1"/>
  <c r="C6" i="22"/>
  <c r="AN11" i="16"/>
  <c r="AL4" i="16" a="1"/>
  <c r="AL4" i="16" s="1"/>
  <c r="AM4" i="16" s="1"/>
  <c r="C7" i="22"/>
  <c r="AL8" i="16" a="1"/>
  <c r="AL8" i="16" s="1"/>
  <c r="C11" i="22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AM7" i="36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AP7" i="36"/>
  <c r="AN7" i="36"/>
  <c r="U24" i="24"/>
  <c r="Y18" i="24"/>
  <c r="J18" i="21"/>
  <c r="K16" i="21" s="1"/>
  <c r="AM8" i="36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25" i="7"/>
  <c r="Y8" i="7"/>
  <c r="AP13" i="36"/>
  <c r="AN13" i="36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8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N8" i="36" l="1"/>
  <c r="AN15" i="36"/>
  <c r="AP11" i="36"/>
  <c r="AP16" i="36"/>
  <c r="AL12" i="36" a="1"/>
  <c r="AL12" i="36" s="1"/>
  <c r="C16" i="44"/>
  <c r="D16" i="44" s="1"/>
  <c r="AN16" i="36"/>
  <c r="AN9" i="36"/>
  <c r="AL6" i="36" a="1"/>
  <c r="AL6" i="36" s="1"/>
  <c r="AN6" i="36" s="1"/>
  <c r="C8" i="44"/>
  <c r="AP9" i="36"/>
  <c r="AL10" i="36" a="1"/>
  <c r="AL10" i="36" s="1"/>
  <c r="C10" i="44"/>
  <c r="D10" i="44" s="1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M6" i="16"/>
  <c r="AP6" i="16"/>
  <c r="AN8" i="16"/>
  <c r="AP8" i="16"/>
  <c r="C18" i="22"/>
  <c r="D9" i="22" s="1"/>
  <c r="AN12" i="36"/>
  <c r="AP6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25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X8" i="7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18" i="7"/>
  <c r="M22" i="7"/>
  <c r="G18" i="7"/>
  <c r="G22" i="7"/>
  <c r="L18" i="7"/>
  <c r="L22" i="7"/>
  <c r="I18" i="7"/>
  <c r="I22" i="7"/>
  <c r="H18" i="7"/>
  <c r="H22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E24" i="16" s="1"/>
  <c r="AL3" i="16"/>
  <c r="AM3" i="16" s="1"/>
  <c r="AM17" i="16" s="1"/>
  <c r="V18" i="13"/>
  <c r="V24" i="13" s="1"/>
  <c r="AM17" i="12"/>
  <c r="J5" i="7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D13" i="44" l="1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18" i="44" s="1"/>
  <c r="D8" i="44"/>
  <c r="L13" i="44"/>
  <c r="E4" i="44"/>
  <c r="F4" i="44" s="1"/>
  <c r="G16" i="44"/>
  <c r="L8" i="44"/>
  <c r="D15" i="22"/>
  <c r="D4" i="22"/>
  <c r="D13" i="22"/>
  <c r="D11" i="22"/>
  <c r="D16" i="22"/>
  <c r="D17" i="22"/>
  <c r="D14" i="22"/>
  <c r="D5" i="22"/>
  <c r="D10" i="22"/>
  <c r="D12" i="22"/>
  <c r="D6" i="22"/>
  <c r="D7" i="22"/>
  <c r="D8" i="22"/>
  <c r="I23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P18" i="36" s="1"/>
  <c r="AP24" i="36" s="1"/>
  <c r="AL17" i="36"/>
  <c r="AN3" i="36"/>
  <c r="AN17" i="36" s="1"/>
  <c r="V18" i="24"/>
  <c r="V24" i="24" s="1"/>
  <c r="L4" i="21"/>
  <c r="M4" i="21" s="1"/>
  <c r="G4" i="21" s="1"/>
  <c r="K18" i="21"/>
  <c r="Z8" i="7"/>
  <c r="AN17" i="24"/>
  <c r="I20" i="7"/>
  <c r="Y5" i="7"/>
  <c r="J18" i="7"/>
  <c r="J22" i="7"/>
  <c r="M23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K22" i="7" s="1"/>
  <c r="U24" i="3"/>
  <c r="Y18" i="3"/>
  <c r="M8" i="44" l="1"/>
  <c r="L9" i="44"/>
  <c r="E5" i="44"/>
  <c r="M13" i="44"/>
  <c r="L14" i="44"/>
  <c r="E4" i="22"/>
  <c r="F4" i="22" s="1"/>
  <c r="D18" i="22"/>
  <c r="E5" i="22"/>
  <c r="F5" i="22" s="1"/>
  <c r="X25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25" i="7"/>
  <c r="AD7" i="7"/>
  <c r="L5" i="21"/>
  <c r="E4" i="21"/>
  <c r="F4" i="21" s="1"/>
  <c r="D18" i="21"/>
  <c r="R23" i="7"/>
  <c r="W23" i="7"/>
  <c r="T23" i="7"/>
  <c r="V23" i="7"/>
  <c r="S23" i="7"/>
  <c r="Q23" i="7"/>
  <c r="Z5" i="7"/>
  <c r="Y22" i="7"/>
  <c r="Y23" i="7" s="1"/>
  <c r="Y18" i="7"/>
  <c r="K23" i="7"/>
  <c r="L23" i="7"/>
  <c r="Q20" i="7"/>
  <c r="W20" i="7"/>
  <c r="F18" i="7"/>
  <c r="F22" i="7"/>
  <c r="X18" i="7"/>
  <c r="X20" i="7" s="1"/>
  <c r="X22" i="7"/>
  <c r="X23" i="7" s="1"/>
  <c r="D18" i="7"/>
  <c r="D22" i="7"/>
  <c r="K20" i="7"/>
  <c r="R20" i="7"/>
  <c r="S20" i="7"/>
  <c r="T20" i="7"/>
  <c r="U20" i="7"/>
  <c r="V20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8" i="7"/>
  <c r="M20" i="7"/>
  <c r="L20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M14" i="44" l="1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12" i="22"/>
  <c r="F12" i="22" s="1"/>
  <c r="E6" i="22"/>
  <c r="E5" i="21"/>
  <c r="F5" i="21" s="1"/>
  <c r="M5" i="21"/>
  <c r="G5" i="21" s="1"/>
  <c r="L12" i="21"/>
  <c r="L6" i="21"/>
  <c r="Z18" i="7"/>
  <c r="AB20" i="7" s="1"/>
  <c r="Z22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B18" i="7"/>
  <c r="V18" i="3"/>
  <c r="V24" i="3" s="1"/>
  <c r="AL17" i="3"/>
  <c r="AP3" i="3"/>
  <c r="AP18" i="3" s="1"/>
  <c r="AN3" i="3"/>
  <c r="AN17" i="3" s="1"/>
  <c r="AM3" i="3"/>
  <c r="AM17" i="3" s="1"/>
  <c r="M10" i="44" l="1"/>
  <c r="G8" i="44" s="1"/>
  <c r="L11" i="44"/>
  <c r="M11" i="44" s="1"/>
  <c r="F12" i="44"/>
  <c r="E13" i="44"/>
  <c r="F6" i="44"/>
  <c r="E7" i="44"/>
  <c r="M15" i="44"/>
  <c r="L16" i="44"/>
  <c r="M16" i="44" s="1"/>
  <c r="E13" i="22"/>
  <c r="F6" i="22"/>
  <c r="E7" i="22"/>
  <c r="F13" i="22"/>
  <c r="E14" i="22"/>
  <c r="E6" i="21"/>
  <c r="E12" i="21"/>
  <c r="E13" i="21" s="1"/>
  <c r="F12" i="21"/>
  <c r="M6" i="21"/>
  <c r="L7" i="21"/>
  <c r="F6" i="21"/>
  <c r="E7" i="21"/>
  <c r="M12" i="21"/>
  <c r="L13" i="21"/>
  <c r="AE25" i="16"/>
  <c r="Z23" i="7"/>
  <c r="AA18" i="7"/>
  <c r="AA22" i="7"/>
  <c r="AA23" i="7" s="1"/>
  <c r="Z20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8" i="7"/>
  <c r="AC18" i="7"/>
  <c r="AP24" i="3"/>
  <c r="K32" i="3" s="1"/>
  <c r="L32" i="3" s="1"/>
  <c r="G15" i="44" l="1"/>
  <c r="G14" i="44"/>
  <c r="F13" i="44"/>
  <c r="E14" i="44"/>
  <c r="F7" i="44"/>
  <c r="E8" i="44"/>
  <c r="G11" i="44"/>
  <c r="G10" i="44"/>
  <c r="F14" i="22"/>
  <c r="E17" i="22"/>
  <c r="F17" i="22" s="1"/>
  <c r="E15" i="22"/>
  <c r="F7" i="22"/>
  <c r="E8" i="22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8" i="44" l="1"/>
  <c r="E9" i="44"/>
  <c r="F14" i="44"/>
  <c r="E15" i="44"/>
  <c r="E17" i="44"/>
  <c r="F17" i="44" s="1"/>
  <c r="F15" i="22"/>
  <c r="E16" i="22"/>
  <c r="F16" i="22" s="1"/>
  <c r="F8" i="22"/>
  <c r="E9" i="22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5" i="44" l="1"/>
  <c r="E16" i="44"/>
  <c r="F16" i="44" s="1"/>
  <c r="F9" i="44"/>
  <c r="E10" i="44"/>
  <c r="F9" i="22"/>
  <c r="E10" i="22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10" i="44" l="1"/>
  <c r="E11" i="44"/>
  <c r="F11" i="44" s="1"/>
  <c r="F10" i="22"/>
  <c r="E11" i="22"/>
  <c r="F11" i="22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G11" i="21" l="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<sst xmlns="http://schemas.openxmlformats.org/spreadsheetml/2006/main" count="95117" uniqueCount="2695">
  <si>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</si>
  <si>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</si>
  <si>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</si>
  <si>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</si>
  <si>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</si>
  <si>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</si>
  <si>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</si>
  <si>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</si>
  <si>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</si>
  <si>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</si>
  <si>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</si>
  <si>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</si>
  <si>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</si>
  <si>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</si>
  <si>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</si>
  <si>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</si>
  <si>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</si>
  <si>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</si>
  <si>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</si>
  <si>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</si>
  <si>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</si>
  <si>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</si>
  <si>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</si>
  <si>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</si>
  <si>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</si>
  <si>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</si>
  <si>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</si>
  <si>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</si>
  <si>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</si>
  <si>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</si>
  <si>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</si>
  <si>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</si>
  <si>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</si>
  <si>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</si>
  <si>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</si>
  <si>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</si>
  <si>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</si>
  <si>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</si>
  <si>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</si>
  <si>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</si>
  <si>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</si>
  <si>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</si>
  <si>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</si>
  <si>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</si>
  <si>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</si>
  <si>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</si>
  <si>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</si>
  <si>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</si>
  <si>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</si>
  <si>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</si>
  <si>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</si>
  <si>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</si>
  <si>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</si>
  <si>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</si>
  <si>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</si>
  <si>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</si>
  <si>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</si>
  <si>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</si>
  <si>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</si>
  <si>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</si>
  <si>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</si>
  <si>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</si>
  <si>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</si>
  <si>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</si>
  <si>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</si>
  <si>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</si>
  <si>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</si>
  <si>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</si>
  <si>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</si>
  <si>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</si>
  <si>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</si>
  <si>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</si>
  <si>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</si>
  <si>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</si>
  <si>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</si>
  <si>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</si>
  <si>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</si>
  <si>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</si>
  <si>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</si>
  <si>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</si>
  <si>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</si>
  <si>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</si>
  <si>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</si>
  <si>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</si>
  <si>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</si>
  <si>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</si>
  <si>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</si>
  <si>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</si>
  <si>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</si>
  <si>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</si>
  <si>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</si>
  <si>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</si>
  <si>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</si>
  <si>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</si>
  <si>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</si>
  <si>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</si>
  <si>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</si>
  <si>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</si>
  <si>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</si>
  <si>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</si>
  <si>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</si>
  <si>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</si>
  <si>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</si>
  <si>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</si>
  <si>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</si>
  <si>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</si>
  <si>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</si>
  <si>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</si>
  <si>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</si>
  <si>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</si>
  <si>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</si>
  <si>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</si>
  <si>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</si>
  <si>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</si>
  <si>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</si>
  <si>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</si>
  <si>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</si>
  <si>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</si>
  <si>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</si>
  <si>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</si>
  <si>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</si>
  <si>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</si>
  <si>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</si>
  <si>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</si>
  <si>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</si>
  <si>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</si>
  <si>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</si>
  <si>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</si>
  <si>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</si>
  <si>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</si>
  <si>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</si>
  <si>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</si>
  <si>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</si>
  <si>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</si>
  <si>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</si>
  <si>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</si>
  <si>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</si>
  <si>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</si>
  <si>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</si>
  <si>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</si>
  <si>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</si>
  <si>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</si>
  <si>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</si>
  <si>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</si>
  <si>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</si>
  <si>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</si>
  <si>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</si>
  <si>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</si>
  <si>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</si>
  <si>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</si>
  <si>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</si>
  <si>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</si>
  <si>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</si>
  <si>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</si>
  <si>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</si>
  <si>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</si>
  <si>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</si>
  <si>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</si>
  <si>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</si>
  <si>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</si>
  <si>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</si>
  <si>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</si>
  <si>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</si>
  <si>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</si>
  <si>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</si>
  <si>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</si>
  <si>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</si>
  <si>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</si>
  <si>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</si>
  <si>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</si>
  <si>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</si>
  <si>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</si>
  <si>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</si>
  <si>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</si>
  <si>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</si>
  <si>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</si>
  <si>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</si>
  <si>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</si>
  <si>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</si>
  <si>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</si>
  <si>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</si>
  <si>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</si>
  <si>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</si>
  <si>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</si>
  <si>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</si>
  <si>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</si>
  <si>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</si>
  <si>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</si>
  <si>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</si>
  <si>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</si>
  <si>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</si>
  <si>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</si>
  <si>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</si>
  <si>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</si>
  <si>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</si>
  <si>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</si>
  <si>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</si>
  <si>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</si>
  <si>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</si>
  <si>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</si>
  <si>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</si>
  <si>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</si>
  <si>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</si>
  <si>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</si>
  <si>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</si>
  <si>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</si>
  <si>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</si>
  <si>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</si>
  <si>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</si>
  <si>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</si>
  <si>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</si>
  <si>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</si>
  <si>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</si>
  <si>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</si>
  <si>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</si>
  <si>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</si>
  <si>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</si>
  <si>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</si>
  <si>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</si>
  <si>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</si>
  <si>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</si>
  <si>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</si>
  <si>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</si>
  <si>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</si>
  <si>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</si>
  <si>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</si>
  <si>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</si>
  <si>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</si>
  <si>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</si>
  <si>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</si>
  <si>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</si>
  <si>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</si>
  <si>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</si>
  <si>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</si>
  <si>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</si>
  <si>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</si>
  <si>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</si>
  <si>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</si>
  <si>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</si>
  <si>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</si>
  <si>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</si>
  <si>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</si>
  <si>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</si>
  <si>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</si>
  <si>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</si>
  <si>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</si>
  <si>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</si>
  <si>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</si>
  <si>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</si>
  <si>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</si>
  <si>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</si>
  <si>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</si>
  <si>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</si>
  <si>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</si>
  <si>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</si>
  <si>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</si>
  <si>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</si>
  <si>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</si>
  <si>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</si>
  <si>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</si>
  <si>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</si>
  <si>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</si>
  <si>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</si>
  <si>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</si>
  <si>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</si>
  <si>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</si>
  <si>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</si>
  <si>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</si>
  <si>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</si>
  <si>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</si>
  <si>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</si>
  <si>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</si>
  <si>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</si>
  <si>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</si>
  <si>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</si>
  <si>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</si>
  <si>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</si>
  <si>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</si>
  <si>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</si>
  <si>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</si>
  <si>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</si>
  <si>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</si>
  <si>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</si>
  <si>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</si>
  <si>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</si>
  <si>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</si>
  <si>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</si>
  <si>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</si>
  <si>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</si>
  <si>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</si>
  <si>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</si>
  <si>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</si>
  <si>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</si>
  <si>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</si>
  <si>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</si>
  <si>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</si>
  <si>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</si>
  <si>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</si>
  <si>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</si>
  <si>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</si>
  <si>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</si>
  <si>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</si>
  <si>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</si>
  <si>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</si>
  <si>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</si>
  <si>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</si>
  <si>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</si>
  <si>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</si>
  <si>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</si>
  <si>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</si>
  <si>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</si>
  <si>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</si>
  <si>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</si>
  <si>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</si>
  <si>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</si>
  <si>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</si>
  <si>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</si>
  <si>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</si>
  <si>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</si>
  <si>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</si>
  <si>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</si>
  <si>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</si>
  <si>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</si>
  <si>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</si>
  <si>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</si>
  <si>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</si>
  <si>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</si>
  <si>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</si>
  <si>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</si>
  <si>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</si>
  <si>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</si>
  <si>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</si>
  <si>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</si>
  <si>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</si>
  <si>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</si>
  <si>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</si>
  <si>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</si>
  <si>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</si>
  <si>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</si>
  <si>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</si>
  <si>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</si>
  <si>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</si>
  <si>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</si>
  <si>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</si>
  <si>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</si>
  <si>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</si>
  <si>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</si>
  <si>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</si>
  <si>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</si>
  <si>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</si>
  <si>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</si>
  <si>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</si>
  <si>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</si>
  <si>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</si>
  <si>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</si>
  <si>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</si>
  <si>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</si>
  <si>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</si>
  <si>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</si>
  <si>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</si>
  <si>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</si>
  <si>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</si>
  <si>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</si>
  <si>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</si>
  <si>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</si>
  <si>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</si>
  <si>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</si>
  <si>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</si>
  <si>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</si>
  <si>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</si>
  <si>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</si>
  <si>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</si>
  <si>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</si>
  <si>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</si>
  <si>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</si>
  <si>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</si>
  <si>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</si>
  <si>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</si>
  <si>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</si>
  <si>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</si>
  <si>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</si>
  <si>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</si>
  <si>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</si>
  <si>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</si>
  <si>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</si>
  <si>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</si>
  <si>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</si>
  <si>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</si>
  <si>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</si>
  <si>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</si>
  <si>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</si>
  <si>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</si>
  <si>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</si>
  <si>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</si>
  <si>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</si>
  <si>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</si>
  <si>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</si>
  <si>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</si>
  <si>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</si>
  <si>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</si>
  <si>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</si>
  <si>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</si>
  <si>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</si>
  <si>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</si>
  <si>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</si>
  <si>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</si>
  <si>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</si>
  <si>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</si>
  <si>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</si>
  <si>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</si>
  <si>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</si>
  <si>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</si>
  <si>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</si>
  <si>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</si>
  <si>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</si>
  <si>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</si>
  <si>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</si>
  <si>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</si>
  <si>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</si>
  <si>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</si>
  <si>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</si>
  <si>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</si>
  <si>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</si>
  <si>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</si>
  <si>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</si>
  <si>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</si>
  <si>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</si>
  <si>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</si>
  <si>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</si>
  <si>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</si>
  <si>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</si>
  <si>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</si>
  <si>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</si>
  <si>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</si>
  <si>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</si>
  <si>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</si>
  <si>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</si>
  <si>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</si>
  <si>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</si>
  <si>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</si>
  <si>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</si>
  <si>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</si>
  <si>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</si>
  <si>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</si>
  <si>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</si>
  <si>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</si>
  <si>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</si>
  <si>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</si>
  <si>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</si>
  <si>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</si>
  <si>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</si>
  <si>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</si>
  <si>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</si>
  <si>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</si>
  <si>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</si>
  <si>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</si>
  <si>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</si>
  <si>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</si>
  <si>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</si>
  <si>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</si>
  <si>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</si>
  <si>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</si>
  <si>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</si>
  <si>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</si>
  <si>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</si>
  <si>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</si>
  <si>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</si>
  <si>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</si>
  <si>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</si>
  <si>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</si>
  <si>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</si>
  <si>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</si>
  <si>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</si>
  <si>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</si>
  <si>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</si>
  <si>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</si>
  <si>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</si>
  <si>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</si>
  <si>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</si>
  <si>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</si>
  <si>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</si>
  <si>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</si>
  <si>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</si>
  <si>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</si>
  <si>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</si>
  <si>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</si>
  <si>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</si>
  <si>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</si>
  <si>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</si>
  <si>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</si>
  <si>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</si>
  <si>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</si>
  <si>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</si>
  <si>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</si>
  <si>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</si>
  <si>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</si>
  <si>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</si>
  <si>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</si>
  <si>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</si>
  <si>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</si>
  <si>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</si>
  <si>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</si>
  <si>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</si>
  <si>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</si>
  <si>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</si>
  <si>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</si>
  <si>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</si>
  <si>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</si>
  <si>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</si>
  <si>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</si>
  <si>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</si>
  <si>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</si>
  <si>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</si>
  <si>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</si>
  <si>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</si>
  <si>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</si>
  <si>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</si>
  <si>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</si>
  <si>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</si>
  <si>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</si>
  <si>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</si>
  <si>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</si>
  <si>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</si>
  <si>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</si>
  <si>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</si>
  <si>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</si>
  <si>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</si>
  <si>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</si>
  <si>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</si>
  <si>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</si>
  <si>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</si>
  <si>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</si>
  <si>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</si>
  <si>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</si>
  <si>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</si>
  <si>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</si>
  <si>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</si>
  <si>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</si>
  <si>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</si>
  <si>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</si>
  <si>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</si>
  <si>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</si>
  <si>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</si>
  <si>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</si>
  <si>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</si>
  <si>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</si>
  <si>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</si>
  <si>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</si>
  <si>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</si>
  <si>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</si>
  <si>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</si>
  <si>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</si>
  <si>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</si>
  <si>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</si>
  <si>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</si>
  <si>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</si>
  <si>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</si>
  <si>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</si>
  <si>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</si>
  <si>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</si>
  <si>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</si>
  <si>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</si>
  <si>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</si>
  <si>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</si>
  <si>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</si>
  <si>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</si>
  <si>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</si>
  <si>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</si>
  <si>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</si>
  <si>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</si>
  <si>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</si>
  <si>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</si>
  <si>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</si>
  <si>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</si>
  <si>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</si>
  <si>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</si>
  <si>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</si>
  <si>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</si>
  <si>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</si>
  <si>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</si>
  <si>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</si>
  <si>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</si>
  <si>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</si>
  <si>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</si>
  <si>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</si>
  <si>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</si>
  <si>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</si>
  <si>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</si>
  <si>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</si>
  <si>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</si>
  <si>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</si>
  <si>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</si>
  <si>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</si>
  <si>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</si>
  <si>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</si>
  <si>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</si>
  <si>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</si>
  <si>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</si>
  <si>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</si>
  <si>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</si>
  <si>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</si>
  <si>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</si>
  <si>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</si>
  <si>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</si>
  <si>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</si>
  <si>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</si>
  <si>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</si>
  <si>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</si>
  <si>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</si>
  <si>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</si>
  <si>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</si>
  <si>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</si>
  <si>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</si>
  <si>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</si>
  <si>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</si>
  <si>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</si>
  <si>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</si>
  <si>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</si>
  <si>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</si>
  <si>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</si>
  <si>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</si>
  <si>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</si>
  <si>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</si>
  <si>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</si>
  <si>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</si>
  <si>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</si>
  <si>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</si>
  <si>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</si>
  <si>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</si>
  <si>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</si>
  <si>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</si>
  <si>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</si>
  <si>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</si>
  <si>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</si>
  <si>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</si>
  <si>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</si>
  <si>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</si>
  <si>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</si>
  <si>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</si>
  <si>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</si>
  <si>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</si>
  <si>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</si>
  <si>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</si>
  <si>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</si>
  <si>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</si>
  <si>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</si>
  <si>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</si>
  <si>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</si>
  <si>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</si>
  <si>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</si>
  <si>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</si>
  <si>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</si>
  <si>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</si>
  <si>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</si>
  <si>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</si>
  <si>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</si>
  <si>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</si>
  <si>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</si>
  <si>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</si>
  <si>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</si>
  <si>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</si>
  <si>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</si>
  <si>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</si>
  <si>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</si>
  <si>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</si>
  <si>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</si>
  <si>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</si>
  <si>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</si>
  <si>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</si>
  <si>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</si>
  <si>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</si>
  <si>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</si>
  <si>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</si>
  <si>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</si>
  <si>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</si>
  <si>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</si>
  <si>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</si>
  <si>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</si>
  <si>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</si>
  <si>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</si>
  <si>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</si>
  <si>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</si>
  <si>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</si>
  <si>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</si>
  <si>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</si>
  <si>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</si>
  <si>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</si>
  <si>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</si>
  <si>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</si>
  <si>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</si>
  <si>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</si>
  <si>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</si>
  <si>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</si>
  <si>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</si>
  <si>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</si>
  <si>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</si>
  <si>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</si>
  <si>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</si>
  <si>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</si>
  <si>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</si>
  <si>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</si>
  <si>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</si>
  <si>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</si>
  <si>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</si>
  <si>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</si>
  <si>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</si>
  <si>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</si>
  <si>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</si>
  <si>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</si>
  <si>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</si>
  <si>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</si>
  <si>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</si>
  <si>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</si>
  <si>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</si>
  <si>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</si>
  <si>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</si>
  <si>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</si>
  <si>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</si>
  <si>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</si>
  <si>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</si>
  <si>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</si>
  <si>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</si>
  <si>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</si>
  <si>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</si>
  <si>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</si>
  <si>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</si>
  <si>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</si>
  <si>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</si>
  <si>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</si>
  <si>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</si>
  <si>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</si>
  <si>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</si>
  <si>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</si>
  <si>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</si>
  <si>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</si>
  <si>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</si>
  <si>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</si>
  <si>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</si>
  <si>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</si>
  <si>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</si>
  <si>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</si>
  <si>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</si>
  <si>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</si>
  <si>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</si>
  <si>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</si>
  <si>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</si>
  <si>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</si>
  <si>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</si>
  <si>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</si>
  <si>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</si>
  <si>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</si>
  <si>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</si>
  <si>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</si>
  <si>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</si>
  <si>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</si>
  <si>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</si>
  <si>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</si>
  <si>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</si>
  <si>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</si>
  <si>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</si>
  <si>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</si>
  <si>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</si>
  <si>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</si>
  <si>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</si>
  <si>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</si>
  <si>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</si>
  <si>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</si>
  <si>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</si>
  <si>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</si>
  <si>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</si>
  <si>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</si>
  <si>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</si>
  <si>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</si>
  <si>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</si>
  <si>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</si>
  <si>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</si>
  <si>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</si>
  <si>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</si>
  <si>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</si>
  <si>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</si>
  <si>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</si>
  <si>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</si>
  <si>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</si>
  <si>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</si>
  <si>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</si>
  <si>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</si>
  <si>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</si>
  <si>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</si>
  <si>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</si>
  <si>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</si>
  <si>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</si>
  <si>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</si>
  <si>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</si>
  <si>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</si>
  <si>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</si>
  <si>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</si>
  <si>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</si>
  <si>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</si>
  <si>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</si>
  <si>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</si>
  <si>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</si>
  <si>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</si>
  <si>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</si>
  <si>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</si>
  <si>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</si>
  <si>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</si>
  <si>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</si>
  <si>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</si>
  <si>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</si>
  <si>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</si>
  <si>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</si>
  <si>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</si>
  <si>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</si>
  <si>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</si>
  <si>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</si>
  <si>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</si>
  <si>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</si>
  <si>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</si>
  <si>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</si>
  <si>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</si>
  <si>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</si>
  <si>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</si>
  <si>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</si>
  <si>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</si>
  <si>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</si>
  <si>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</si>
  <si>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</si>
  <si>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</si>
  <si>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</si>
  <si>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</si>
  <si>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</si>
  <si>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</si>
  <si>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</si>
  <si>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</si>
  <si>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</si>
  <si>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</si>
  <si>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</si>
  <si>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</si>
  <si>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</si>
  <si>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</si>
  <si>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</si>
  <si>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</si>
  <si>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</si>
  <si>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</si>
  <si>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</si>
  <si>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</si>
  <si>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</si>
  <si>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</si>
  <si>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</si>
  <si>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</si>
  <si>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</si>
  <si>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</si>
  <si>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</si>
  <si>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</si>
  <si>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</si>
  <si>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</si>
  <si>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</si>
  <si>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</si>
  <si>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</si>
  <si>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</si>
  <si>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</si>
  <si>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</si>
  <si>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</si>
  <si>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</si>
  <si>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</si>
  <si>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</si>
  <si>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</si>
  <si>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</si>
  <si>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</si>
  <si>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</si>
  <si>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</si>
  <si>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</si>
  <si>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</si>
  <si>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</si>
  <si>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</si>
  <si>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</si>
  <si>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</si>
  <si>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</si>
  <si>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</si>
  <si>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</si>
  <si>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</si>
  <si>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</si>
  <si>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</si>
  <si>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</si>
  <si>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</si>
  <si>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</si>
  <si>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</si>
  <si>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</si>
  <si>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</si>
  <si>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</si>
  <si>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</si>
  <si>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</si>
  <si>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</si>
  <si>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</si>
  <si>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</si>
  <si>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</si>
  <si>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</si>
  <si>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</si>
  <si>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</si>
  <si>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</si>
  <si>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</si>
  <si>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</si>
  <si>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</si>
  <si>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</si>
  <si>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</si>
  <si>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</si>
  <si>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</si>
  <si>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</si>
  <si>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</si>
  <si>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</si>
  <si>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</si>
  <si>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</si>
  <si>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</si>
  <si>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</si>
  <si>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</si>
  <si>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</si>
  <si>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</si>
  <si>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</si>
  <si>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</si>
  <si>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</si>
  <si>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</si>
  <si>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</si>
  <si>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</si>
  <si>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</si>
  <si>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</si>
  <si>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</si>
  <si>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</si>
  <si>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</si>
  <si>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</si>
  <si>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</si>
  <si>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</si>
  <si>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</si>
  <si>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</si>
  <si>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</si>
  <si>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</si>
  <si>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</si>
  <si>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</si>
  <si>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</si>
  <si>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</si>
  <si>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</si>
  <si>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</si>
  <si>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</si>
  <si>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</si>
  <si>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</si>
  <si>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</si>
  <si>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</si>
  <si>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</si>
  <si>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</si>
  <si>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</si>
  <si>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</si>
  <si>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</si>
  <si>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</si>
  <si>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</si>
  <si>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</si>
  <si>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</si>
  <si>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</si>
  <si>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</si>
  <si>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</si>
  <si>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</si>
  <si>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</si>
  <si>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</si>
  <si>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</si>
  <si>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</si>
  <si>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</si>
  <si>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</si>
  <si>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</si>
  <si>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</si>
  <si>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</si>
  <si>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</si>
  <si>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</si>
  <si>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</si>
  <si>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</si>
  <si>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</si>
  <si>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</si>
  <si>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</si>
  <si>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</si>
  <si>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</si>
  <si>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</si>
  <si>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</si>
  <si>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</si>
  <si>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</si>
  <si>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</si>
  <si>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</si>
  <si>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</si>
  <si>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</si>
  <si>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</si>
  <si>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</si>
  <si>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</si>
  <si>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</si>
  <si>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</si>
  <si>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</si>
  <si>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</si>
  <si>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</si>
  <si>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</si>
  <si>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</si>
  <si>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</si>
  <si>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</si>
  <si>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</si>
  <si>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</si>
  <si>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</si>
  <si>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</si>
  <si>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</si>
  <si>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</si>
  <si>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</si>
  <si>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</si>
  <si>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</si>
  <si>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</si>
  <si>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</si>
  <si>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</si>
  <si>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</si>
  <si>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</si>
  <si>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</si>
  <si>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</si>
  <si>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</si>
  <si>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</si>
  <si>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</si>
  <si>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</si>
  <si>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</si>
  <si>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</si>
  <si>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</si>
  <si>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</si>
  <si>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</si>
  <si>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</si>
  <si>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</si>
  <si>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</si>
  <si>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</si>
  <si>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</si>
  <si>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</si>
  <si>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</si>
  <si>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</si>
  <si>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</si>
  <si>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</si>
  <si>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</si>
  <si>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</si>
  <si>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</si>
  <si>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</si>
  <si>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</si>
  <si>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</si>
  <si>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</si>
  <si>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</si>
  <si>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</si>
  <si>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</si>
  <si>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</si>
  <si>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</si>
  <si>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</si>
  <si>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</si>
  <si>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</si>
  <si>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</si>
  <si>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</si>
  <si>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</si>
  <si>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</si>
  <si>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</si>
  <si>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</si>
  <si>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</si>
  <si>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</si>
  <si>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</si>
  <si>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</si>
  <si>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</si>
  <si>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</si>
  <si>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</si>
  <si>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</si>
  <si>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</si>
  <si>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</si>
  <si>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</si>
  <si>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</si>
  <si>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</si>
  <si>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</si>
  <si>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</si>
  <si>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</si>
  <si>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</si>
  <si>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</si>
  <si>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</si>
  <si>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</si>
  <si>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</si>
  <si>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</si>
  <si>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</si>
  <si>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</si>
  <si>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</si>
  <si>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</si>
  <si>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</si>
  <si>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</si>
  <si>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</si>
  <si>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</si>
  <si>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</si>
  <si>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</si>
  <si>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</si>
  <si>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</si>
  <si>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</si>
  <si>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</si>
  <si>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</si>
  <si>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</si>
  <si>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</si>
  <si>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</si>
  <si>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</si>
  <si>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</si>
  <si>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</si>
  <si>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</si>
  <si>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</si>
  <si>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</si>
  <si>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</si>
  <si>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</si>
  <si>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</si>
  <si>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</si>
  <si>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</si>
  <si>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</si>
  <si>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</si>
  <si>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</si>
  <si>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</si>
  <si>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</si>
  <si>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</si>
  <si>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</si>
  <si>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</si>
  <si>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</si>
  <si>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</si>
  <si>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</si>
  <si>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</si>
  <si>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</si>
  <si>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</si>
  <si>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</si>
  <si>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</si>
  <si>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</si>
  <si>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</si>
  <si>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</si>
  <si>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</si>
  <si>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</si>
  <si>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</si>
  <si>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</si>
  <si>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</si>
  <si>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</si>
  <si>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</si>
  <si>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</si>
  <si>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</si>
  <si>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</si>
  <si>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</si>
  <si>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</si>
  <si>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</si>
  <si>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</si>
  <si>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</si>
  <si>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</si>
  <si>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</si>
  <si>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</si>
  <si>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</si>
  <si>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</si>
  <si>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</si>
  <si>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</si>
  <si>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</si>
  <si>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</si>
  <si>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</si>
  <si>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</si>
  <si>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</si>
  <si>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</si>
  <si>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</si>
  <si>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</si>
  <si>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</si>
  <si>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</si>
  <si>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</si>
  <si>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</si>
  <si>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</si>
  <si>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</si>
  <si>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</si>
  <si>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</si>
  <si>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</si>
  <si>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</si>
  <si>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</si>
  <si>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</si>
  <si>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</si>
  <si>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</si>
  <si>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</si>
  <si>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</si>
  <si>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</si>
  <si>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</si>
  <si>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</si>
  <si>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</si>
  <si>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</si>
  <si>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</si>
  <si>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</si>
  <si>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</si>
  <si>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</si>
  <si>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</si>
  <si>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</si>
  <si>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</si>
  <si>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</si>
  <si>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</si>
  <si>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</si>
  <si>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</si>
  <si>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</si>
  <si>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</si>
  <si>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</si>
  <si>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</si>
  <si>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</si>
  <si>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</si>
  <si>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</si>
  <si>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</si>
  <si>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</si>
  <si>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</si>
  <si>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</si>
  <si>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</si>
  <si>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</si>
  <si>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</si>
  <si>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</si>
  <si>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</si>
  <si>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</si>
  <si>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</si>
  <si>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</si>
  <si>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</si>
  <si>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</si>
  <si>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</si>
  <si>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</si>
  <si>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</si>
  <si>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</si>
  <si>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</si>
  <si>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</si>
  <si>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</si>
  <si>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</si>
  <si>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</si>
  <si>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</si>
  <si>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</si>
  <si>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</si>
  <si>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</si>
  <si>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</si>
  <si>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</si>
  <si>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</si>
  <si>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</si>
  <si>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</si>
  <si>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</si>
  <si>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</si>
  <si>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</si>
  <si>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</si>
  <si>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</si>
  <si>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</si>
  <si>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</si>
  <si>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</si>
  <si>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</si>
  <si>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</si>
  <si>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</si>
  <si>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</si>
  <si>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</si>
  <si>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</si>
  <si>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</si>
  <si>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</si>
  <si>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</si>
  <si>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</si>
  <si>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</si>
  <si>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</si>
  <si>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</si>
  <si>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</si>
  <si>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</si>
  <si>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</si>
  <si>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</si>
  <si>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</si>
  <si>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</si>
  <si>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</si>
  <si>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</si>
  <si>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</si>
  <si>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</si>
  <si>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</si>
  <si>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</si>
  <si>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</si>
  <si>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</si>
  <si>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</si>
  <si>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</si>
  <si>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</si>
  <si>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</si>
  <si>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</si>
  <si>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</si>
  <si>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</si>
  <si>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</si>
  <si>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</si>
  <si>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</si>
  <si>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</si>
  <si>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</si>
  <si>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</si>
  <si>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</si>
  <si>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</si>
  <si>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</si>
  <si>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</si>
  <si>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</si>
  <si>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</si>
  <si>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</si>
  <si>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</si>
  <si>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</si>
  <si>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</si>
  <si>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</si>
  <si>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</si>
  <si>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</si>
  <si>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</si>
  <si>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</si>
  <si>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</si>
  <si>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</si>
  <si>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</si>
  <si>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</si>
  <si>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</si>
  <si>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</si>
  <si>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</si>
  <si>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</si>
  <si>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</si>
  <si>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</si>
  <si>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</si>
  <si>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</si>
  <si>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</si>
  <si>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</si>
  <si>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</si>
  <si>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</si>
  <si>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</si>
  <si>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</si>
  <si>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</si>
  <si>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</si>
  <si>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</si>
  <si>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</si>
  <si>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</si>
  <si>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</si>
  <si>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</si>
  <si>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</si>
  <si>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</si>
  <si>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</si>
  <si>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</si>
  <si>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</si>
  <si>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</si>
  <si>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</si>
  <si>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</si>
  <si>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</si>
  <si>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</si>
  <si>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</si>
  <si>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</si>
  <si>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</si>
  <si>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</si>
  <si>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</si>
  <si>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</si>
  <si>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</si>
  <si>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</si>
  <si>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</si>
  <si>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</si>
  <si>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</si>
  <si>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</si>
  <si>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</si>
  <si>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</si>
  <si>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</si>
  <si>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</si>
  <si>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</si>
  <si>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</si>
  <si>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</si>
  <si>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</si>
  <si>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</si>
  <si>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</si>
  <si>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</si>
  <si>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</si>
  <si>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</si>
  <si>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</si>
  <si>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</si>
  <si>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</si>
  <si>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</si>
  <si>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</si>
  <si>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</si>
  <si>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</si>
  <si>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</si>
  <si>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</si>
  <si>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</si>
  <si>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</si>
  <si>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</si>
  <si>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</si>
  <si>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</si>
  <si>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</si>
  <si>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</si>
  <si>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</si>
  <si>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</si>
  <si>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</si>
  <si>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</si>
  <si>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</si>
  <si>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</si>
  <si>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</si>
  <si>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</si>
  <si>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</si>
  <si>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</si>
  <si>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</si>
  <si>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</si>
  <si>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</si>
  <si>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</si>
  <si>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</si>
  <si>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</si>
  <si>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</si>
  <si>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</si>
  <si>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</si>
  <si>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</si>
  <si>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</si>
  <si>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</si>
  <si>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</si>
  <si>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</si>
  <si>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</si>
  <si>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</si>
  <si>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</si>
  <si>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</si>
  <si>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</si>
  <si>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</si>
  <si>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</si>
  <si>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</si>
  <si>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</si>
  <si>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</si>
  <si>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</si>
  <si>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</si>
  <si>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</si>
  <si>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</si>
  <si>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</si>
  <si>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</si>
  <si>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</si>
  <si>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</si>
  <si>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</si>
  <si>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</si>
  <si>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</si>
  <si>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</si>
  <si>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</si>
  <si>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</si>
  <si>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</si>
  <si>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</si>
  <si>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</si>
  <si>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</si>
  <si>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</si>
  <si>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</si>
  <si>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</si>
  <si>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</si>
  <si>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</si>
  <si>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</si>
  <si>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</si>
  <si>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</si>
  <si>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</si>
  <si>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</si>
  <si>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</si>
  <si>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</si>
  <si>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</si>
  <si>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</si>
  <si>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</si>
  <si>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</si>
  <si>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</si>
  <si>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</si>
  <si>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</si>
  <si>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</si>
  <si>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</si>
  <si>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</si>
  <si>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</si>
  <si>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</si>
  <si>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</si>
  <si>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</si>
  <si>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</si>
  <si>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</si>
  <si>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</si>
  <si>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</si>
  <si>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</si>
  <si>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</si>
  <si>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</si>
  <si>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</si>
  <si>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</si>
  <si>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</si>
  <si>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</si>
  <si>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</si>
  <si>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</si>
  <si>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</si>
  <si>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</si>
  <si>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</si>
  <si>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</si>
  <si>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</si>
  <si>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</si>
  <si>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</si>
  <si>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</si>
  <si>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</si>
  <si>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</si>
  <si>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</si>
  <si>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</si>
  <si>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</si>
  <si>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</si>
  <si>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</si>
  <si>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</si>
  <si>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</si>
  <si>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</si>
  <si>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</si>
  <si>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</si>
  <si>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</si>
  <si>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</si>
  <si>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</si>
  <si>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</si>
  <si>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</si>
  <si>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</si>
  <si>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</si>
  <si>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</si>
  <si>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</si>
  <si>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</si>
  <si>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</si>
  <si>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</si>
  <si>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</si>
  <si>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</si>
  <si>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</si>
  <si>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</si>
  <si>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</si>
  <si>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</si>
  <si>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</si>
  <si>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</si>
  <si>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</si>
  <si>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</si>
  <si>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</si>
  <si>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</si>
  <si>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</si>
  <si>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</si>
  <si>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</si>
  <si>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</si>
  <si>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</si>
  <si>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</si>
  <si>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</si>
  <si>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</si>
  <si>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</si>
  <si>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</si>
  <si>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</si>
  <si>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</si>
  <si>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</si>
  <si>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</si>
  <si>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</si>
  <si>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</si>
  <si>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</si>
  <si>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</si>
  <si>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</si>
  <si>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</si>
  <si>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</si>
  <si>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</si>
  <si>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</si>
  <si>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</si>
  <si>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</si>
  <si>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</si>
  <si>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</si>
  <si>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</si>
  <si>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</si>
  <si>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</si>
  <si>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</si>
  <si>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</si>
  <si>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</si>
  <si>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</si>
  <si>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</si>
  <si>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</si>
  <si>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</si>
  <si>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</si>
  <si>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</si>
  <si>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</si>
  <si>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</si>
  <si>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</si>
  <si>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</si>
  <si>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</si>
  <si>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</si>
  <si>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</si>
  <si>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</si>
  <si>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</si>
  <si>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</si>
  <si>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</si>
  <si>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</si>
  <si>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</si>
  <si>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</si>
  <si>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</si>
  <si>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</si>
  <si>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</si>
  <si>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</si>
  <si>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</si>
  <si>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</si>
  <si>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</si>
  <si>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</si>
  <si>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</si>
  <si>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</si>
  <si>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</si>
  <si>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</si>
  <si>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</si>
  <si>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</si>
  <si>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</si>
  <si>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</si>
  <si>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</si>
  <si>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</si>
  <si>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</si>
  <si>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</si>
  <si>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</si>
  <si>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</si>
  <si>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</si>
  <si>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</si>
  <si>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</si>
  <si>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</si>
  <si>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</si>
  <si>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</si>
  <si>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</si>
  <si>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</si>
  <si>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</si>
  <si>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</si>
  <si>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</si>
  <si>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</si>
  <si>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</si>
  <si>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</si>
  <si>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</si>
  <si>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</si>
  <si>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</si>
  <si>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</si>
  <si>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</si>
  <si>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</si>
  <si>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</si>
  <si>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</si>
  <si>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</si>
  <si>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</si>
  <si>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</si>
  <si>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</si>
  <si>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</si>
  <si>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</si>
  <si>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</si>
  <si>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</si>
  <si>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</si>
  <si>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</si>
  <si>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</si>
  <si>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</si>
  <si>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</si>
  <si>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</si>
  <si>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</si>
  <si>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</si>
  <si>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</si>
  <si>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</si>
  <si>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</si>
  <si>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</si>
  <si>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</si>
  <si>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</si>
  <si>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</si>
  <si>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</si>
  <si>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</si>
  <si>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</si>
  <si>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</si>
  <si>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</si>
  <si>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</si>
  <si>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</si>
  <si>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</si>
  <si>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</si>
  <si>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</si>
  <si>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</si>
  <si>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</si>
  <si>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</si>
  <si>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</si>
  <si>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</si>
  <si>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</si>
  <si>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</si>
  <si>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</si>
  <si>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</si>
  <si>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</si>
  <si>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</si>
  <si>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</si>
  <si>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</si>
  <si>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</si>
  <si>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</si>
  <si>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</si>
  <si>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</si>
  <si>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</si>
  <si>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</si>
  <si>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</si>
  <si>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</si>
  <si>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</si>
  <si>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</si>
  <si>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</si>
  <si>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</si>
  <si>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</si>
  <si>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</si>
  <si>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</si>
  <si>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</si>
  <si>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</si>
  <si>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</si>
  <si>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</si>
  <si>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</si>
  <si>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</si>
  <si>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</si>
  <si>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</si>
  <si>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</si>
  <si>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</si>
  <si>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</si>
  <si>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</si>
  <si>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</si>
  <si>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</si>
  <si>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</si>
  <si>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</si>
  <si>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</si>
  <si>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</si>
  <si>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</si>
  <si>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</si>
  <si>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</si>
  <si>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</si>
  <si>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</si>
  <si>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</si>
  <si>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</si>
  <si>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</si>
  <si>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</si>
  <si>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</si>
  <si>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</si>
  <si>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</si>
  <si>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</si>
  <si>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</si>
  <si>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</si>
  <si>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</si>
  <si>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</si>
  <si>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</si>
  <si>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</si>
  <si>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</si>
  <si>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</si>
  <si>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</si>
  <si>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</si>
  <si>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</si>
  <si>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</si>
  <si>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</si>
  <si>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</si>
  <si>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</si>
  <si>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</si>
  <si>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</si>
  <si>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</si>
  <si>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</si>
  <si>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</si>
  <si>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</si>
  <si>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</si>
  <si>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</si>
  <si>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</si>
  <si>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</si>
  <si>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</si>
  <si>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</si>
  <si>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</si>
  <si>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</si>
  <si>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</si>
  <si>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</si>
  <si>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</si>
  <si>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</si>
  <si>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</si>
  <si>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</si>
  <si>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</si>
  <si>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</si>
  <si>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</si>
  <si>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</si>
  <si>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</si>
  <si>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</si>
  <si>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</si>
  <si>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</si>
  <si>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</si>
  <si>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</si>
  <si>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</si>
  <si>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</si>
  <si>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</si>
  <si>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</si>
  <si>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</si>
  <si>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</si>
  <si>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>Отчет о реализации 5+6-13-14</t>
  </si>
  <si>
    <t>Отчет о компенсации</t>
  </si>
  <si>
    <t>Отчет о выкупленных товарах/Выплаты</t>
  </si>
  <si>
    <t>УСН 1%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</si>
  <si>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</si>
  <si>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</si>
  <si>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</si>
  <si>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</si>
  <si>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</si>
  <si>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</si>
  <si>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</si>
  <si>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</si>
  <si>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</si>
  <si>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</si>
  <si>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</si>
  <si>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</si>
  <si>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</si>
  <si>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</si>
  <si>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</si>
  <si>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</si>
  <si>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</si>
  <si>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</si>
  <si>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</si>
  <si>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</si>
  <si>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</si>
  <si>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</si>
  <si>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</si>
  <si>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</si>
  <si>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</si>
  <si>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</si>
  <si>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</si>
  <si>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</si>
  <si>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</si>
  <si>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</si>
  <si>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</si>
  <si>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</si>
  <si>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</si>
  <si>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</si>
  <si>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</si>
  <si>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</si>
  <si>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</si>
  <si>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</si>
  <si>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</si>
  <si>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</si>
  <si>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</si>
  <si>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</si>
  <si>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</si>
  <si>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</si>
  <si>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</si>
  <si>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</si>
  <si>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</si>
  <si>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</si>
  <si>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</si>
  <si>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</si>
  <si>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</si>
  <si>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</si>
  <si>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</si>
  <si>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</si>
  <si>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</si>
  <si>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</si>
  <si>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</si>
  <si>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</si>
  <si>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</si>
  <si>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</si>
  <si>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</si>
  <si>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</si>
  <si>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</si>
  <si>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</si>
  <si>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</si>
  <si>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</si>
  <si>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</si>
  <si>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</si>
  <si>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</si>
  <si>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</si>
  <si>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</si>
  <si>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</si>
  <si>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</si>
  <si>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</si>
  <si>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</si>
  <si>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</si>
  <si>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</si>
  <si>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</si>
  <si>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</si>
  <si>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</si>
  <si>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</si>
  <si>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</si>
  <si>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</si>
  <si>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</si>
  <si>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</si>
  <si>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</si>
  <si>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</si>
  <si>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</si>
  <si>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</si>
  <si>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</si>
  <si>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</si>
  <si>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</si>
  <si>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</si>
  <si>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</si>
  <si>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</si>
  <si>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</si>
  <si>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</si>
  <si>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</si>
  <si>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</si>
  <si>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</si>
  <si>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</si>
  <si>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</si>
  <si>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</si>
  <si>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</si>
  <si>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</si>
  <si>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</si>
  <si>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</si>
  <si>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</si>
  <si>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</si>
  <si>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</si>
  <si>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</si>
  <si>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</si>
  <si>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</si>
  <si>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</si>
  <si>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</si>
  <si>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</si>
  <si>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</si>
  <si>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</si>
  <si>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</si>
  <si>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</si>
  <si>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</si>
  <si>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</si>
  <si>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</si>
  <si>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</si>
  <si>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</si>
  <si>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</si>
  <si>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</si>
  <si>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</si>
  <si>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</si>
  <si>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</si>
  <si>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</si>
  <si>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</si>
  <si>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</si>
  <si>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</si>
  <si>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</si>
  <si>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</si>
  <si>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</si>
  <si>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</si>
  <si>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</si>
  <si>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</si>
  <si>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</si>
  <si>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</si>
  <si>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</si>
  <si>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</si>
  <si>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</si>
  <si>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</si>
  <si>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</si>
  <si>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</si>
  <si>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</si>
  <si>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</si>
  <si>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</si>
  <si>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</si>
  <si>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</si>
  <si>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</si>
  <si>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</si>
  <si>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</si>
  <si>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</si>
  <si>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</si>
  <si>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</si>
  <si>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</si>
  <si>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</si>
  <si>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</si>
  <si>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</si>
  <si>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</si>
  <si>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</si>
  <si>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</si>
  <si>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</si>
  <si>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</si>
  <si>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</si>
  <si>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</si>
  <si>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</si>
  <si>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</si>
  <si>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</si>
  <si>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</si>
  <si>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</si>
  <si>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</si>
  <si>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</si>
  <si>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</si>
  <si>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</si>
  <si>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</si>
  <si>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</si>
  <si>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</si>
  <si>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</si>
  <si>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</si>
  <si>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</si>
  <si>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</si>
  <si>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</si>
  <si>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</si>
  <si>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</si>
  <si>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</si>
  <si>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</si>
  <si>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</si>
  <si>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</si>
  <si>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</si>
  <si>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</si>
  <si>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</si>
  <si>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</si>
  <si>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</si>
  <si>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</si>
  <si>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</si>
  <si>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</si>
  <si>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</si>
  <si>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</si>
  <si>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</si>
  <si>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</si>
  <si>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</si>
  <si>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</si>
  <si>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</si>
  <si>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</si>
  <si>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</si>
  <si>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</si>
  <si>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</si>
  <si>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</si>
  <si>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</si>
  <si>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</si>
  <si>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</si>
  <si>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</si>
  <si>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</si>
  <si>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</si>
  <si>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</si>
  <si>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</si>
  <si>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</si>
  <si>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</si>
  <si>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</si>
  <si>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</si>
  <si>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</si>
  <si>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</si>
  <si>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</si>
  <si>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</si>
  <si>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</si>
  <si>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</si>
  <si>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</si>
  <si>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</si>
  <si>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</si>
  <si>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</si>
  <si>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</si>
  <si>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</si>
  <si>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</si>
  <si>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</si>
  <si>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</si>
  <si>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</si>
  <si>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</si>
  <si>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</si>
  <si>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</si>
  <si>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</si>
  <si>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</si>
  <si>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</si>
  <si>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</si>
  <si>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</si>
  <si>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</si>
  <si>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</si>
  <si>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</si>
  <si>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</si>
  <si>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</si>
  <si>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</si>
  <si>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</si>
  <si>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</si>
  <si>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</si>
  <si>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</si>
  <si>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</si>
  <si>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</si>
  <si>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</si>
  <si>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</si>
  <si>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</si>
  <si>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</si>
  <si>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</si>
  <si>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</si>
  <si>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</si>
  <si>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</si>
  <si>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</si>
  <si>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</si>
  <si>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</si>
  <si>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</si>
  <si>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</si>
  <si>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</si>
  <si>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</si>
  <si>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</si>
  <si>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</si>
  <si>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</si>
  <si>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</si>
  <si>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</si>
  <si>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</si>
  <si>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</si>
  <si>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</si>
  <si>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</si>
  <si>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</si>
  <si>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</si>
  <si>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</si>
  <si>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</si>
  <si>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</si>
  <si>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</si>
  <si>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</si>
  <si>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</si>
  <si>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</si>
  <si>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</si>
  <si>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</si>
  <si>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</si>
  <si>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</si>
  <si>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</si>
  <si>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</si>
  <si>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</si>
  <si>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</si>
  <si>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</si>
  <si>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</si>
  <si>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</si>
  <si>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</si>
  <si>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</si>
  <si>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</si>
  <si>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</si>
  <si>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</si>
  <si>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</si>
  <si>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</si>
  <si>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</si>
  <si>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</si>
  <si>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</si>
  <si>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</si>
  <si>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</si>
  <si>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</si>
  <si>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</si>
  <si>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</si>
  <si>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</si>
  <si>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</si>
  <si>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</si>
  <si>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</si>
  <si>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</si>
  <si>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</si>
  <si>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</si>
  <si>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</si>
  <si>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</si>
  <si>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</si>
  <si>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</si>
  <si>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</si>
  <si>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</si>
  <si>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</si>
  <si>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</si>
  <si>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</si>
  <si>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</si>
  <si>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</si>
  <si>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</si>
  <si>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</si>
  <si>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</si>
  <si>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</si>
  <si>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</si>
  <si>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</si>
  <si>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</si>
  <si>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</si>
  <si>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</si>
  <si>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</si>
  <si>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</si>
  <si>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</si>
  <si>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</si>
  <si>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</si>
  <si>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</si>
  <si>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</si>
  <si>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</si>
  <si>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</si>
  <si>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</si>
  <si>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</si>
  <si>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</si>
  <si>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</si>
  <si>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</si>
  <si>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</si>
  <si>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</si>
  <si>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</si>
  <si>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</si>
  <si>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</si>
  <si>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</si>
  <si>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</si>
  <si>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</si>
  <si>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</si>
  <si>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</si>
  <si>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</si>
  <si>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</si>
  <si>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</si>
  <si>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</si>
  <si>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</si>
  <si>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</si>
  <si>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</si>
  <si>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</si>
  <si>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</si>
  <si>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</si>
  <si>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</si>
  <si>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</si>
  <si>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</si>
  <si>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</si>
  <si>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</si>
  <si>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</si>
  <si>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</si>
  <si>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</si>
  <si>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</si>
  <si>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</si>
  <si>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</si>
  <si>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</si>
  <si>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</si>
  <si>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</si>
  <si>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</si>
  <si>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</si>
  <si>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</si>
  <si>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</si>
  <si>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</si>
  <si>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</si>
  <si>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</si>
  <si>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</si>
  <si>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</si>
  <si>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</si>
  <si>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</si>
  <si>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</si>
  <si>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</si>
  <si>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</si>
  <si>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</si>
  <si>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</si>
  <si>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</si>
  <si>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</si>
  <si>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</si>
  <si>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</si>
  <si>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</si>
  <si>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</si>
  <si>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</si>
  <si>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</si>
  <si>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</si>
  <si>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</si>
  <si>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</si>
  <si>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</si>
  <si>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</si>
  <si>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</si>
  <si>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</si>
  <si>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</si>
  <si>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</si>
  <si>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</si>
  <si>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</si>
  <si>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</si>
  <si>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</si>
  <si>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</si>
  <si>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</si>
  <si>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</si>
  <si>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</si>
  <si>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</si>
  <si>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</si>
  <si>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</si>
  <si>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</si>
  <si>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</si>
  <si>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</si>
  <si>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</si>
  <si>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</si>
  <si>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</si>
  <si>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</si>
  <si>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</si>
  <si>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</si>
  <si>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</si>
  <si>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</si>
  <si>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</si>
  <si>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</si>
  <si>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</si>
  <si>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</si>
  <si>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</si>
  <si>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</si>
  <si>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</si>
  <si>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</si>
  <si>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</si>
  <si>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</si>
  <si>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</si>
  <si>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</si>
  <si>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</si>
  <si>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</si>
  <si>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</si>
  <si>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</si>
  <si>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</si>
  <si>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</si>
  <si>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</si>
  <si>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</si>
  <si>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</si>
  <si>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</si>
  <si>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</si>
  <si>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</si>
  <si>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</si>
  <si>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</si>
  <si>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</si>
  <si>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</si>
  <si>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</si>
  <si>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</si>
  <si>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</si>
  <si>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</si>
  <si>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</si>
  <si>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</si>
  <si>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</si>
  <si>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</si>
  <si>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</si>
  <si>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</si>
  <si>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</si>
  <si>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</si>
  <si>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</si>
  <si>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</si>
  <si>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</si>
  <si>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</si>
  <si>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</si>
  <si>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</si>
  <si>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</si>
  <si>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</si>
  <si>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</si>
  <si>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</si>
  <si>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</si>
  <si>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</si>
  <si>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</si>
  <si>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</si>
  <si>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</si>
  <si>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</si>
  <si>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</si>
  <si>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</si>
  <si>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</si>
  <si>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</si>
  <si>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</si>
  <si>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</si>
  <si>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</si>
  <si>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</si>
  <si>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</si>
  <si>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</si>
  <si>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</si>
  <si>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</si>
  <si>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</si>
  <si>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</si>
  <si>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</si>
  <si>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</si>
  <si>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</si>
  <si>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</si>
  <si>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</si>
  <si>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</si>
  <si>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</si>
  <si>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</si>
  <si>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</si>
  <si>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</si>
  <si>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</si>
  <si>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</si>
  <si>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</si>
  <si>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</si>
  <si>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</si>
  <si>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</si>
  <si>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</si>
  <si>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</si>
  <si>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</si>
  <si>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</si>
  <si>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</si>
  <si>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</si>
  <si>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</si>
  <si>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</si>
  <si>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</si>
  <si>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</si>
  <si>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</si>
  <si>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</si>
  <si>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</si>
  <si>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</si>
  <si>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</si>
  <si>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</si>
  <si>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</si>
  <si>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</si>
  <si>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</si>
  <si>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</si>
  <si>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</si>
  <si>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</si>
  <si>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</si>
  <si>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</si>
  <si>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</si>
  <si>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</si>
  <si>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</si>
  <si>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</si>
  <si>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</si>
  <si>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</si>
  <si>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</si>
  <si>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</si>
  <si>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</si>
  <si>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</si>
  <si>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</si>
  <si>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</si>
  <si>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</si>
  <si>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</si>
  <si>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</si>
  <si>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</si>
  <si>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</si>
  <si>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</si>
  <si>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</si>
  <si>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</si>
  <si>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</si>
  <si>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</si>
  <si>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</si>
  <si>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</si>
  <si>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</si>
  <si>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</si>
  <si>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</si>
  <si>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</si>
  <si>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</si>
  <si>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</si>
  <si>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</si>
  <si>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</si>
  <si>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</si>
  <si>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</si>
  <si>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</si>
  <si>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</si>
  <si>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</si>
  <si>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</si>
  <si>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</si>
  <si>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</si>
  <si>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</si>
  <si>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</si>
  <si>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</si>
  <si>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</si>
  <si>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</si>
  <si>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</si>
  <si>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</si>
  <si>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</si>
  <si>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</si>
  <si>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</si>
  <si>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</si>
  <si>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</si>
  <si>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</si>
  <si>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</si>
  <si>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</si>
  <si>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</si>
  <si>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</si>
  <si>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</si>
  <si>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</si>
  <si>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</si>
  <si>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</si>
  <si>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</si>
  <si>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</si>
  <si>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</si>
  <si>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</si>
  <si>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</si>
  <si>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</si>
  <si>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</si>
  <si>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</si>
  <si>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</si>
  <si>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</si>
  <si>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</si>
  <si>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</si>
  <si>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</si>
  <si>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</si>
  <si>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</si>
  <si>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</si>
  <si>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</si>
  <si>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</si>
  <si>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</si>
  <si>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</si>
  <si>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</si>
  <si>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</si>
  <si>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</si>
  <si>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</si>
  <si>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</si>
  <si>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</si>
  <si>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</si>
  <si>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</si>
  <si>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</si>
  <si>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</si>
  <si>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</si>
  <si>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</si>
  <si>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</si>
  <si>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</si>
  <si>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</si>
  <si>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</si>
  <si>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</si>
  <si>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</si>
  <si>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</si>
  <si>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</si>
  <si>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</si>
  <si>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</si>
  <si>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</si>
  <si>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</si>
  <si>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</si>
  <si>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</si>
  <si>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</si>
  <si>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</si>
  <si>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</si>
  <si>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</si>
  <si>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</si>
  <si>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</si>
  <si>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</si>
  <si>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</si>
  <si>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</si>
  <si>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</si>
  <si>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</si>
  <si>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</si>
  <si>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</si>
  <si>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</si>
  <si>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</si>
  <si>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</si>
  <si>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</si>
  <si>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</si>
  <si>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</si>
  <si>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</si>
  <si>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</si>
  <si>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</si>
  <si>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</si>
  <si>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</si>
  <si>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</si>
  <si>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</si>
  <si>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</si>
  <si>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</si>
  <si>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</si>
  <si>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</si>
  <si>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</si>
  <si>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</si>
  <si>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</si>
  <si>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</si>
  <si>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</si>
  <si>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</si>
  <si>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</si>
  <si>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</si>
  <si>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</si>
  <si>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</si>
  <si>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</si>
  <si>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</si>
  <si>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</si>
  <si>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</si>
  <si>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</si>
  <si>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</si>
  <si>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</si>
  <si>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</si>
  <si>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</si>
  <si>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</si>
  <si>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</si>
  <si>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</si>
  <si>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</si>
  <si>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</si>
  <si>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</si>
  <si>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</si>
  <si>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</si>
  <si>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</si>
  <si>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</si>
  <si>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</si>
  <si>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</si>
  <si>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</si>
  <si>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</si>
  <si>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</si>
  <si>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</si>
  <si>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</si>
  <si>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</si>
  <si>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</si>
  <si>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</si>
  <si>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</si>
  <si>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</si>
  <si>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</si>
  <si>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</si>
  <si>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</si>
  <si>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</si>
  <si>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</si>
  <si>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</si>
  <si>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</si>
  <si>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</si>
  <si>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</si>
  <si>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</si>
  <si>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</si>
  <si>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</si>
  <si>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</si>
  <si>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</si>
  <si>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</si>
  <si>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</si>
  <si>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</si>
  <si>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</si>
  <si>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</si>
  <si>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</si>
  <si>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</si>
  <si>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</si>
  <si>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</si>
  <si>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</si>
  <si>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</si>
  <si>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</si>
  <si>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</si>
  <si>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</si>
  <si>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</si>
  <si>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</si>
  <si>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</si>
  <si>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</si>
  <si>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</si>
  <si>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</si>
  <si>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</si>
  <si>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</si>
  <si>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</si>
  <si>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</si>
  <si>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</si>
  <si>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</si>
  <si>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</si>
  <si>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</si>
  <si>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</si>
  <si>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</si>
  <si>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</si>
  <si>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</si>
  <si>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</si>
  <si>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</si>
  <si>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</si>
  <si>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</si>
  <si>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</si>
  <si>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</si>
  <si>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</si>
  <si>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</si>
  <si>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</si>
  <si>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</si>
  <si>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</si>
  <si>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</si>
  <si>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</si>
  <si>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</si>
  <si>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</si>
  <si>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</si>
  <si>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</si>
  <si>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</si>
  <si>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</si>
  <si>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</si>
  <si>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</si>
  <si>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</si>
  <si>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</si>
  <si>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</si>
  <si>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</si>
  <si>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</si>
  <si>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</si>
  <si>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</si>
  <si>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</si>
  <si>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</si>
  <si>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</si>
  <si>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</si>
  <si>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</si>
  <si>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</si>
  <si>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</si>
  <si>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</si>
  <si>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</si>
  <si>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</si>
  <si>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</si>
  <si>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</si>
  <si>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</si>
  <si>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</si>
  <si>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</si>
  <si>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</si>
  <si>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</si>
  <si>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</si>
  <si>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</si>
  <si>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</si>
  <si>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</si>
  <si>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</si>
  <si>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</si>
  <si>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</si>
  <si>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</si>
  <si>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</si>
  <si>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</si>
  <si>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</si>
  <si>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</si>
  <si>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</si>
  <si>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</si>
  <si>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</si>
  <si>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</si>
  <si>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</si>
  <si>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</si>
  <si>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</si>
  <si>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</si>
  <si>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</si>
  <si>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</si>
  <si>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</si>
  <si>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</si>
  <si>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</si>
  <si>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</si>
  <si>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</si>
  <si>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</si>
  <si>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</si>
  <si>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</si>
  <si>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</si>
  <si>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</si>
  <si>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</si>
  <si>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</si>
  <si>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</si>
  <si>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</si>
  <si>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</si>
  <si>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</si>
  <si>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</si>
  <si>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</si>
  <si>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</si>
  <si>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</si>
  <si>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</si>
  <si>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</si>
  <si>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</si>
  <si>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</si>
  <si>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</si>
  <si>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</si>
  <si>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</si>
  <si>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</si>
  <si>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</si>
  <si>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</si>
  <si>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</si>
  <si>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</si>
  <si>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</si>
  <si>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</si>
  <si>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</si>
  <si>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</si>
  <si>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</si>
  <si>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</si>
  <si>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</si>
  <si>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</si>
  <si>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</si>
  <si>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</si>
  <si>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</si>
  <si>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</si>
  <si>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</si>
  <si>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</si>
  <si>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</si>
  <si>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</si>
  <si>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</si>
  <si>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</si>
  <si>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</si>
  <si>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</si>
  <si>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</si>
  <si>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</si>
  <si>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</si>
  <si>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</si>
  <si>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</si>
  <si>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</si>
  <si>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</si>
  <si>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</si>
  <si>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</si>
  <si>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</si>
  <si>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</si>
  <si>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</si>
  <si>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</si>
  <si>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</si>
  <si>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</si>
  <si>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</si>
  <si>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</si>
  <si>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</si>
  <si>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</si>
  <si>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</si>
  <si>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</si>
  <si>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</si>
  <si>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</si>
  <si>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</si>
  <si>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</si>
  <si>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</si>
  <si>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</si>
  <si>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</si>
  <si>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</si>
  <si>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</si>
  <si>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</si>
  <si>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</si>
  <si>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</si>
  <si>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</si>
  <si>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</si>
  <si>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</si>
  <si>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</si>
  <si>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</si>
  <si>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</si>
  <si>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</si>
  <si>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</si>
  <si>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</si>
  <si>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</si>
  <si>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 xml:space="preserve">Остаток на 09.03
</t>
  </si>
  <si>
    <t>02-08.03</t>
  </si>
  <si>
    <t>9 неделя</t>
  </si>
  <si>
    <t>Февраль</t>
  </si>
  <si>
    <t>Март</t>
  </si>
  <si>
    <t>февраль</t>
  </si>
  <si>
    <t>23.02-01.03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</si>
</sst>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5" formatCode="[$-419]d\ mmm;@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  <font>
      <sz val="10"/>
      <color theme="1"/>
      <name val="Verdana"/>
      <family val="2"/>
      <charset val="204"/>
    </font>
    <font>
      <b/>
      <sz val="10"/>
      <color rgb="FFFFFFFF"/>
      <name val="Verdana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5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0" fontId="46" fillId="21" borderId="44" xfId="0" applyFont="1" applyFill="1" applyBorder="1" applyAlignment="1">
      <alignment horizontal="center" vertical="center" wrapText="1"/>
    </xf>
    <xf numFmtId="0" fontId="46" fillId="21" borderId="45" xfId="0" applyFont="1" applyFill="1" applyBorder="1" applyAlignment="1">
      <alignment horizontal="center" vertical="center" wrapText="1"/>
    </xf>
    <xf numFmtId="0" fontId="47" fillId="22" borderId="45" xfId="0" applyFont="1" applyFill="1" applyBorder="1" applyAlignment="1">
      <alignment horizontal="center" vertical="center" wrapText="1"/>
    </xf>
    <xf numFmtId="2" fontId="46" fillId="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6" xfId="3" applyFont="1" applyFill="1" applyBorder="1" applyAlignment="1">
      <alignment horizontal="center" vertical="center" wrapText="1"/>
    </xf>
    <xf numFmtId="164" fontId="6" fillId="0" borderId="46" xfId="1" applyNumberFormat="1" applyFont="1" applyFill="1" applyBorder="1"/>
    <xf numFmtId="164" fontId="7" fillId="3" borderId="47" xfId="4" applyNumberFormat="1" applyFont="1" applyFill="1" applyBorder="1" applyAlignment="1">
      <alignment horizontal="center" vertical="center" wrapText="1"/>
    </xf>
    <xf numFmtId="164" fontId="6" fillId="0" borderId="47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49" fontId="36" fillId="2" borderId="2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  <xf numFmtId="0" fontId="48" fillId="0" borderId="0" xfId="3" applyFont="1" applyAlignment="1">
      <alignment horizontal="right" vertical="center"/>
    </xf>
    <xf numFmtId="0" fontId="48" fillId="0" borderId="0" xfId="3" applyFont="1" applyAlignment="1">
      <alignment vertical="center"/>
    </xf>
    <xf numFmtId="0" fontId="48" fillId="0" borderId="0" xfId="3" applyFont="1" applyAlignment="1">
      <alignment horizontal="center" vertical="center"/>
    </xf>
    <xf numFmtId="166" fontId="49" fillId="0" borderId="0" xfId="9" applyNumberFormat="1" applyFont="1" applyAlignment="1">
      <alignment horizontal="left" vertical="center"/>
    </xf>
    <xf numFmtId="166" fontId="49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9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9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2" fontId="34" fillId="12" borderId="30" xfId="0" applyNumberFormat="1" applyFont="1" applyFill="1" applyBorder="1" applyAlignment="1">
      <alignment vertical="center"/>
    </xf>
    <xf numFmtId="2" fontId="34" fillId="12" borderId="40" xfId="0" applyNumberFormat="1" applyFont="1" applyFill="1" applyBorder="1" applyAlignment="1">
      <alignment vertical="center"/>
    </xf>
    <xf numFmtId="175" fontId="36" fillId="0" borderId="28" xfId="6" applyNumberFormat="1" applyFont="1" applyFill="1" applyBorder="1" applyAlignment="1">
      <alignment horizontal="left"/>
    </xf>
    <xf numFmtId="49" fontId="36" fillId="2" borderId="48" xfId="0" applyNumberFormat="1" applyFont="1" applyFill="1" applyBorder="1" applyAlignment="1">
      <alignment horizontal="center" vertical="center"/>
    </xf>
    <xf numFmtId="49" fontId="36" fillId="2" borderId="49" xfId="0" applyNumberFormat="1" applyFont="1" applyFill="1" applyBorder="1" applyAlignment="1">
      <alignment horizontal="center" vertical="center"/>
    </xf>
    <xf numFmtId="4" fontId="36" fillId="15" borderId="28" xfId="6" applyNumberFormat="1" applyFont="1" applyFill="1" applyBorder="1"/>
    <xf numFmtId="4" fontId="36" fillId="15" borderId="38" xfId="6" applyNumberFormat="1" applyFont="1" applyFill="1" applyBorder="1"/>
    <xf numFmtId="4" fontId="36" fillId="15" borderId="6" xfId="6" applyNumberFormat="1" applyFont="1" applyFill="1" applyBorder="1"/>
    <xf numFmtId="0" fontId="7" fillId="23" borderId="3" xfId="3" applyFont="1" applyFill="1" applyBorder="1" applyAlignment="1">
      <alignment horizontal="center" vertical="center" wrapText="1"/>
    </xf>
    <xf numFmtId="164" fontId="6" fillId="23" borderId="0" xfId="7" applyNumberFormat="1" applyFont="1" applyFill="1"/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2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2122-1769-47C9-930F-F5199DFA6803}">
  <dimension ref="B1:G3"/>
  <sheetViews>
    <sheetView workbookViewId="0">
      <selection activeCell="G3" sqref="G3"/>
    </sheetView>
  </sheetViews>
  <sheetFormatPr defaultRowHeight="14.5"/>
  <cols>
    <col min="1" max="1" width="4.90625" customWidth="1"/>
    <col min="3" max="3" width="14.36328125" customWidth="1"/>
    <col min="4" max="4" width="14.7265625" customWidth="1"/>
    <col min="5" max="5" width="20.36328125" customWidth="1"/>
    <col min="6" max="6" width="12.08984375" customWidth="1"/>
    <col min="7" max="7" width="13.6328125" customWidth="1"/>
  </cols>
  <sheetData>
    <row r="1" spans="2:7" ht="15" thickBot="1"/>
    <row r="2" spans="2:7" ht="41" thickBot="1">
      <c r="B2" s="265" t="s">
        <v>359</v>
      </c>
      <c r="C2" s="265" t="s">
        <v>1738</v>
      </c>
      <c r="D2" s="266" t="s">
        <v>1739</v>
      </c>
      <c r="E2" s="266" t="s">
        <v>1740</v>
      </c>
      <c r="F2" s="267" t="s">
        <v>355</v>
      </c>
      <c r="G2" s="266" t="s">
        <v>1741</v>
      </c>
    </row>
    <row r="3" spans="2:7">
      <c r="B3" s="268" t="s">
        <v>1393</v>
      </c>
      <c r="C3" s="268">
        <v>337112.52999999997</v>
      </c>
      <c r="D3" s="269">
        <v>1115.3900000000001</v>
      </c>
      <c r="E3" s="269">
        <f>5135.4+4830.84</f>
        <v>9966.24</v>
      </c>
      <c r="F3" s="270">
        <f>C3+D3+E3</f>
        <v>348194.16</v>
      </c>
      <c r="G3" s="269">
        <f>F3*1%</f>
        <v>3481.9415999999997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1"/>
  <sheetViews>
    <sheetView zoomScale="60" zoomScaleNormal="60" workbookViewId="0">
      <pane xSplit="2" ySplit="2" topLeftCell="K6" activePane="bottomRight" state="frozen"/>
      <selection pane="topRight" activeCell="C1" sqref="C1"/>
      <selection pane="bottomLeft" activeCell="A3" sqref="A3"/>
      <selection pane="bottomRight" activeCell="Y22" sqref="Y22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01" t="s">
        <v>344</v>
      </c>
      <c r="B1" s="302"/>
      <c r="C1" s="302"/>
      <c r="D1" s="303" t="s">
        <v>345</v>
      </c>
      <c r="E1" s="305" t="s">
        <v>346</v>
      </c>
      <c r="F1" s="306"/>
      <c r="G1" s="307"/>
      <c r="H1" s="308" t="s">
        <v>101</v>
      </c>
      <c r="I1" s="308"/>
      <c r="J1" s="308"/>
      <c r="K1" s="309" t="s">
        <v>21</v>
      </c>
      <c r="L1" s="313" t="s">
        <v>347</v>
      </c>
      <c r="M1" s="313" t="s">
        <v>348</v>
      </c>
      <c r="N1" s="313" t="s">
        <v>349</v>
      </c>
      <c r="O1" s="313" t="s">
        <v>350</v>
      </c>
      <c r="P1" s="313" t="s">
        <v>27</v>
      </c>
      <c r="Q1" s="313" t="s">
        <v>351</v>
      </c>
      <c r="R1" s="316" t="s">
        <v>81</v>
      </c>
      <c r="S1" s="318" t="s">
        <v>1752</v>
      </c>
      <c r="T1" s="316" t="s">
        <v>352</v>
      </c>
      <c r="U1" s="318" t="s">
        <v>353</v>
      </c>
      <c r="V1" s="316" t="s">
        <v>1346</v>
      </c>
      <c r="W1" s="316" t="s">
        <v>1347</v>
      </c>
      <c r="X1" s="309" t="s">
        <v>354</v>
      </c>
      <c r="Y1" s="311" t="s">
        <v>1394</v>
      </c>
      <c r="Z1" s="297" t="s">
        <v>1395</v>
      </c>
      <c r="AA1" s="299" t="s">
        <v>356</v>
      </c>
      <c r="AB1" s="320" t="s">
        <v>357</v>
      </c>
      <c r="AC1" s="315" t="s">
        <v>35</v>
      </c>
      <c r="AD1" s="315" t="s">
        <v>36</v>
      </c>
      <c r="AE1" s="315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04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10"/>
      <c r="L2" s="314"/>
      <c r="M2" s="314"/>
      <c r="N2" s="314"/>
      <c r="O2" s="314"/>
      <c r="P2" s="314"/>
      <c r="Q2" s="314"/>
      <c r="R2" s="317"/>
      <c r="S2" s="319"/>
      <c r="T2" s="317"/>
      <c r="U2" s="319"/>
      <c r="V2" s="317"/>
      <c r="W2" s="317"/>
      <c r="X2" s="310"/>
      <c r="Y2" s="312"/>
      <c r="Z2" s="298"/>
      <c r="AA2" s="300"/>
      <c r="AB2" s="320"/>
      <c r="AC2" s="315"/>
      <c r="AD2" s="315"/>
      <c r="AE2" s="315"/>
    </row>
    <row r="3" spans="1:32" s="195" customFormat="1">
      <c r="A3" s="293" t="s">
        <v>364</v>
      </c>
      <c r="B3" s="187" t="s">
        <v>366</v>
      </c>
      <c r="C3" s="274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295">
        <f>SUM(Z3:Z7)</f>
        <v>49559.258400000137</v>
      </c>
      <c r="AB3" s="250">
        <f t="shared" ref="AB3:AB6" si="0">K3/J3</f>
        <v>7.4142547161981098E-2</v>
      </c>
      <c r="AC3" s="250">
        <f t="shared" ref="AC3:AC6" si="1">Z3/K3</f>
        <v>-3.9757540666794912E-2</v>
      </c>
      <c r="AD3" s="250">
        <f t="shared" ref="AD3:AD6" si="2">Z3/J3</f>
        <v>-2.9477253339322235E-3</v>
      </c>
      <c r="AE3" s="250">
        <f t="shared" ref="AE3:AE18" si="3">Q3/J3</f>
        <v>0.4360239278134152</v>
      </c>
    </row>
    <row r="4" spans="1:32" s="195" customFormat="1">
      <c r="A4" s="294"/>
      <c r="B4" s="187" t="s">
        <v>337</v>
      </c>
      <c r="C4" s="274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292"/>
      <c r="AB4" s="250">
        <f t="shared" si="0"/>
        <v>7.6568760823515589E-2</v>
      </c>
      <c r="AC4" s="250">
        <f t="shared" si="1"/>
        <v>1.8060493022193596</v>
      </c>
      <c r="AD4" s="250">
        <f t="shared" si="2"/>
        <v>0.13828695705711136</v>
      </c>
      <c r="AE4" s="250">
        <f t="shared" si="3"/>
        <v>0.21359179667516759</v>
      </c>
    </row>
    <row r="5" spans="1:32" s="195" customFormat="1">
      <c r="A5" s="294"/>
      <c r="B5" s="187" t="s">
        <v>51</v>
      </c>
      <c r="C5" s="274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292"/>
      <c r="AB5" s="250">
        <f t="shared" si="0"/>
        <v>7.2629975746843239E-2</v>
      </c>
      <c r="AC5" s="250">
        <f t="shared" si="1"/>
        <v>1.6770441087063392</v>
      </c>
      <c r="AD5" s="250">
        <f t="shared" si="2"/>
        <v>0.12180367294172777</v>
      </c>
      <c r="AE5" s="250">
        <f t="shared" si="3"/>
        <v>0.25624191561441334</v>
      </c>
    </row>
    <row r="6" spans="1:32" s="195" customFormat="1">
      <c r="A6" s="294"/>
      <c r="B6" s="187" t="s">
        <v>367</v>
      </c>
      <c r="C6" s="274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292"/>
      <c r="AB6" s="250">
        <f t="shared" si="0"/>
        <v>7.0468163490084126E-2</v>
      </c>
      <c r="AC6" s="250">
        <f t="shared" si="1"/>
        <v>0.77944410763020755</v>
      </c>
      <c r="AD6" s="250">
        <f t="shared" si="2"/>
        <v>5.4925994807868195E-2</v>
      </c>
      <c r="AE6" s="250">
        <f>Q6/J6</f>
        <v>0.26681527291602047</v>
      </c>
    </row>
    <row r="7" spans="1:32" s="195" customFormat="1">
      <c r="A7" s="348"/>
      <c r="B7" s="239" t="s">
        <v>339</v>
      </c>
      <c r="C7" s="275">
        <v>5</v>
      </c>
      <c r="D7" s="240">
        <f t="shared" si="9"/>
        <v>-6034.7099999999473</v>
      </c>
      <c r="E7" s="239">
        <f>'Юнит 26-31.01'!K$24</f>
        <v>200</v>
      </c>
      <c r="F7" s="239">
        <f>'Юнит 26-31.01'!P$24</f>
        <v>112</v>
      </c>
      <c r="G7" s="239">
        <f>'Юнит 26-31.01'!Q$24</f>
        <v>2</v>
      </c>
      <c r="H7" s="241">
        <f>'Юнит 26-31.01'!S$24</f>
        <v>200558.00000000006</v>
      </c>
      <c r="I7" s="242">
        <f>'Юнит 26-31.01'!T$24</f>
        <v>-3595</v>
      </c>
      <c r="J7" s="242">
        <f t="shared" si="4"/>
        <v>196963.00000000006</v>
      </c>
      <c r="K7" s="243">
        <f>'Юнит 26-31.01'!W$24</f>
        <v>13886.49</v>
      </c>
      <c r="L7" s="244">
        <f>'Юнит 26-31.01'!Z$24</f>
        <v>20843.549999999992</v>
      </c>
      <c r="M7" s="243">
        <f>'Юнит 26-31.01'!X$24</f>
        <v>84694.09</v>
      </c>
      <c r="N7" s="243"/>
      <c r="O7" s="245"/>
      <c r="P7" s="243"/>
      <c r="Q7" s="246">
        <f>'Юнит 26-31.01'!AA$24</f>
        <v>50770.67</v>
      </c>
      <c r="R7" s="244">
        <v>3661.19</v>
      </c>
      <c r="S7" s="244">
        <v>150</v>
      </c>
      <c r="T7" s="244">
        <v>43993.599999999999</v>
      </c>
      <c r="U7" s="246">
        <v>1115.3900000000001</v>
      </c>
      <c r="V7" s="244"/>
      <c r="W7" s="244"/>
      <c r="X7" s="244">
        <f t="shared" si="5"/>
        <v>752.83064761114429</v>
      </c>
      <c r="Y7" s="247">
        <f t="shared" si="6"/>
        <v>-19921.199999999946</v>
      </c>
      <c r="Z7" s="247">
        <f t="shared" si="7"/>
        <v>-20674.030647611089</v>
      </c>
      <c r="AA7" s="296"/>
      <c r="AB7" s="250">
        <f>(K7+K8)/(J7+J8)</f>
        <v>7.0282074177319923E-2</v>
      </c>
      <c r="AC7" s="250">
        <f>(Z7+Z8)/(K7+K8)</f>
        <v>-0.67496445136973127</v>
      </c>
      <c r="AD7" s="250">
        <f>(Z7+Z8)/(J7+J8)</f>
        <v>-4.7437901638221501E-2</v>
      </c>
      <c r="AE7" s="250">
        <f>(Q7+Q8)/(J7+J8)</f>
        <v>0.25406002134285766</v>
      </c>
      <c r="AF7" s="250"/>
    </row>
    <row r="8" spans="1:32" s="195" customFormat="1">
      <c r="A8" s="349" t="s">
        <v>2691</v>
      </c>
      <c r="B8" s="187" t="s">
        <v>1388</v>
      </c>
      <c r="C8" s="274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350">
        <f>'Юнит 01.02'!AD24</f>
        <v>122.77</v>
      </c>
      <c r="Y8" s="213">
        <f t="shared" ref="Y8:Y17" si="10">J8-SUM(L8:T8)-K8-V8+U8+W8</f>
        <v>9905.7700000000041</v>
      </c>
      <c r="Z8" s="213">
        <f t="shared" ref="Z8:Z17" si="11">Y8-X8</f>
        <v>9783.0000000000036</v>
      </c>
      <c r="AA8" s="291">
        <f>SUM(Z8:Z12)</f>
        <v>171819.27999999994</v>
      </c>
      <c r="AB8" s="250"/>
      <c r="AC8" s="250"/>
      <c r="AD8" s="250"/>
      <c r="AE8" s="250"/>
    </row>
    <row r="9" spans="1:32" s="195" customFormat="1">
      <c r="A9" s="294"/>
      <c r="B9" s="187" t="s">
        <v>1392</v>
      </c>
      <c r="C9" s="274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350">
        <f>'Юнит 02-08.02'!AD24</f>
        <v>1187.71</v>
      </c>
      <c r="Y9" s="213">
        <f t="shared" si="10"/>
        <v>20201.830000000013</v>
      </c>
      <c r="Z9" s="213">
        <f>Y9-X9</f>
        <v>19014.120000000014</v>
      </c>
      <c r="AA9" s="292"/>
      <c r="AB9" s="250">
        <f>K9/J9</f>
        <v>6.6026146834769303E-2</v>
      </c>
      <c r="AC9" s="250">
        <f>Z9/K9</f>
        <v>0.95798090700781813</v>
      </c>
      <c r="AD9" s="250">
        <f t="shared" ref="AD9:AD17" si="13">Z9/J9</f>
        <v>6.3251788031003675E-2</v>
      </c>
      <c r="AE9" s="250">
        <f t="shared" ref="AE9:AE17" si="14">Q9/J9</f>
        <v>0.22200332656930907</v>
      </c>
    </row>
    <row r="10" spans="1:32" s="195" customFormat="1">
      <c r="A10" s="294"/>
      <c r="B10" s="187" t="s">
        <v>1389</v>
      </c>
      <c r="C10" s="274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5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350">
        <f>'Юнит 09-15.02'!AD24</f>
        <v>1179.5700000000002</v>
      </c>
      <c r="Y10" s="213">
        <f>J10-SUM(L10:T10)-K10-V10+U10+W10</f>
        <v>47207.349999999969</v>
      </c>
      <c r="Z10" s="213">
        <f t="shared" si="11"/>
        <v>46027.77999999997</v>
      </c>
      <c r="AA10" s="292"/>
      <c r="AB10" s="250">
        <f t="shared" ref="AB9:AB17" si="16">K10/J10</f>
        <v>5.6032822773132623E-2</v>
      </c>
      <c r="AC10" s="250">
        <f>Z10/K10</f>
        <v>3.0071428804761466</v>
      </c>
      <c r="AD10" s="250">
        <f t="shared" si="13"/>
        <v>0.16849870407520745</v>
      </c>
      <c r="AE10" s="250">
        <f t="shared" si="14"/>
        <v>0.2235657334055732</v>
      </c>
    </row>
    <row r="11" spans="1:32" s="195" customFormat="1">
      <c r="A11" s="294"/>
      <c r="B11" s="187" t="s">
        <v>1390</v>
      </c>
      <c r="C11" s="274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7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350">
        <f>'Юнит 16-22.02'!$AD$24</f>
        <v>1601.92</v>
      </c>
      <c r="Y11" s="213">
        <f>J11-SUM(L11:T11)-K11-V11+U11+W11</f>
        <v>67526.27999999997</v>
      </c>
      <c r="Z11" s="213">
        <f t="shared" ref="Z11:Z13" si="18">Y11-X11</f>
        <v>65924.359999999971</v>
      </c>
      <c r="AA11" s="292"/>
      <c r="AB11" s="250">
        <f t="shared" si="16"/>
        <v>5.4130813609217177E-2</v>
      </c>
      <c r="AC11" s="250">
        <f t="shared" ref="AC11:AC17" si="19">Z11/K11</f>
        <v>3.4340862611254006</v>
      </c>
      <c r="AD11" s="250">
        <f t="shared" si="13"/>
        <v>0.18588988331895256</v>
      </c>
      <c r="AE11" s="250">
        <f t="shared" si="14"/>
        <v>0.22547461947541467</v>
      </c>
    </row>
    <row r="12" spans="1:32" s="195" customFormat="1">
      <c r="A12" s="348"/>
      <c r="B12" s="239" t="s">
        <v>1391</v>
      </c>
      <c r="C12" s="275">
        <v>9</v>
      </c>
      <c r="D12" s="240">
        <f t="shared" ref="D12:D13" si="20">J12-SUM(L12:T12)+U12+V12</f>
        <v>45285.039999999979</v>
      </c>
      <c r="E12" s="239">
        <f>'Юнит 23-28.02'!K$24</f>
        <v>159</v>
      </c>
      <c r="F12" s="239">
        <f>'Юнит 23-28.02'!P$24</f>
        <v>107</v>
      </c>
      <c r="G12" s="239">
        <f>'Юнит 23-28.02'!Q$24</f>
        <v>6</v>
      </c>
      <c r="H12" s="241">
        <f>'Юнит 23-28.02'!S$24</f>
        <v>262374</v>
      </c>
      <c r="I12" s="242">
        <f>'Юнит 23-28.02'!T$24</f>
        <v>-14100</v>
      </c>
      <c r="J12" s="242">
        <f t="shared" si="17"/>
        <v>248274</v>
      </c>
      <c r="K12" s="243">
        <f>'Юнит 23-28.02'!W$24</f>
        <v>13188.3</v>
      </c>
      <c r="L12" s="244">
        <f>'Юнит 23-28.02'!Z$24</f>
        <v>25365.950000000004</v>
      </c>
      <c r="M12" s="243">
        <f>'Юнит 23-28.02'!X$24</f>
        <v>106757.82</v>
      </c>
      <c r="N12" s="243"/>
      <c r="O12" s="245"/>
      <c r="P12" s="243"/>
      <c r="Q12" s="246">
        <f>'Юнит 23-28.02'!AA$24</f>
        <v>64457.72</v>
      </c>
      <c r="R12" s="244">
        <v>6407.47</v>
      </c>
      <c r="S12" s="244"/>
      <c r="T12" s="244"/>
      <c r="U12" s="246"/>
      <c r="V12" s="244"/>
      <c r="W12" s="244"/>
      <c r="X12" s="351">
        <f>'Юнит 23-28.02'!$AD$24</f>
        <v>1026.7200000000003</v>
      </c>
      <c r="Y12" s="247">
        <f t="shared" ref="Y12:Y13" si="21">J12-SUM(L12:T12)-K12-V12+U12+W12</f>
        <v>32096.73999999998</v>
      </c>
      <c r="Z12" s="247">
        <f t="shared" si="18"/>
        <v>31070.019999999979</v>
      </c>
      <c r="AA12" s="296"/>
      <c r="AB12" s="250">
        <f>(K12+K13)/(J12+J13)</f>
        <v>5.2676864176070447E-2</v>
      </c>
      <c r="AC12" s="250">
        <f>(Z12+Z13)/(K12+K13)</f>
        <v>2.2847297646490108</v>
      </c>
      <c r="AD12" s="250">
        <f>(Z12+Z13)/(J12+J13)</f>
        <v>0.12035239949144133</v>
      </c>
      <c r="AE12" s="250">
        <f>(Q12+Q13)/(J12+J13)</f>
        <v>0.26870709036971058</v>
      </c>
    </row>
    <row r="13" spans="1:32" s="195" customFormat="1">
      <c r="A13" s="276" t="s">
        <v>2692</v>
      </c>
      <c r="B13" s="347">
        <v>46082</v>
      </c>
      <c r="C13" s="274">
        <v>9</v>
      </c>
      <c r="D13" s="196">
        <f t="shared" si="20"/>
        <v>2695.3099999999977</v>
      </c>
      <c r="E13" s="187">
        <f>'Юнит 01.03'!K$24</f>
        <v>36</v>
      </c>
      <c r="F13" s="187">
        <f>'Юнит 01.03'!P$24</f>
        <v>13</v>
      </c>
      <c r="G13" s="187">
        <f>'Юнит 01.03'!Q$24</f>
        <v>1</v>
      </c>
      <c r="H13" s="188">
        <f>'Юнит 01.03'!S$24</f>
        <v>32560</v>
      </c>
      <c r="I13" s="189">
        <f>'Юнит 01.03'!T$24</f>
        <v>-2400</v>
      </c>
      <c r="J13" s="189">
        <f t="shared" si="17"/>
        <v>30160</v>
      </c>
      <c r="K13" s="190">
        <f>'Юнит 01.03'!W$24</f>
        <v>1478.73</v>
      </c>
      <c r="L13" s="191">
        <f>'Юнит 01.03'!Z$24</f>
        <v>3251.78</v>
      </c>
      <c r="M13" s="190">
        <f>'Юнит 01.03'!X$24</f>
        <v>12968.800000000001</v>
      </c>
      <c r="N13" s="190"/>
      <c r="O13" s="192"/>
      <c r="P13" s="190"/>
      <c r="Q13" s="193">
        <f>'Юнит 01.03'!AA$24</f>
        <v>10359.469999999999</v>
      </c>
      <c r="R13" s="191">
        <v>884.64</v>
      </c>
      <c r="S13" s="191"/>
      <c r="T13" s="191"/>
      <c r="U13" s="193"/>
      <c r="V13" s="191"/>
      <c r="W13" s="191">
        <v>1350</v>
      </c>
      <c r="X13" s="350">
        <f>'Юнит 01.03'!$AD$24</f>
        <v>126.39999999999999</v>
      </c>
      <c r="Y13" s="213">
        <f t="shared" si="21"/>
        <v>2566.5799999999977</v>
      </c>
      <c r="Z13" s="213">
        <f t="shared" si="18"/>
        <v>2440.1799999999976</v>
      </c>
      <c r="AA13" s="345"/>
      <c r="AB13" s="250"/>
      <c r="AC13" s="250"/>
      <c r="AD13" s="250"/>
      <c r="AE13" s="250"/>
    </row>
    <row r="14" spans="1:32" s="195" customFormat="1">
      <c r="A14" s="276"/>
      <c r="B14" s="187"/>
      <c r="C14" s="274"/>
      <c r="D14" s="196"/>
      <c r="E14" s="187"/>
      <c r="F14" s="187"/>
      <c r="G14" s="187"/>
      <c r="H14" s="188"/>
      <c r="I14" s="189"/>
      <c r="J14" s="189"/>
      <c r="K14" s="190"/>
      <c r="L14" s="191"/>
      <c r="M14" s="190"/>
      <c r="N14" s="190"/>
      <c r="O14" s="192"/>
      <c r="P14" s="190"/>
      <c r="Q14" s="193"/>
      <c r="R14" s="191"/>
      <c r="S14" s="191"/>
      <c r="T14" s="191"/>
      <c r="U14" s="193"/>
      <c r="V14" s="191"/>
      <c r="W14" s="191"/>
      <c r="X14" s="350"/>
      <c r="Y14" s="213"/>
      <c r="Z14" s="213"/>
      <c r="AA14" s="345"/>
      <c r="AB14" s="250"/>
      <c r="AC14" s="250"/>
      <c r="AD14" s="250"/>
      <c r="AE14" s="250"/>
    </row>
    <row r="15" spans="1:32" s="195" customFormat="1">
      <c r="A15" s="276"/>
      <c r="B15" s="336"/>
      <c r="C15" s="337"/>
      <c r="D15" s="338"/>
      <c r="E15" s="336"/>
      <c r="F15" s="336"/>
      <c r="G15" s="336"/>
      <c r="H15" s="339"/>
      <c r="I15" s="340"/>
      <c r="J15" s="340"/>
      <c r="K15" s="341"/>
      <c r="L15" s="342"/>
      <c r="M15" s="341"/>
      <c r="N15" s="341"/>
      <c r="O15" s="343"/>
      <c r="P15" s="341"/>
      <c r="Q15" s="344"/>
      <c r="R15" s="342"/>
      <c r="S15" s="342"/>
      <c r="T15" s="342"/>
      <c r="U15" s="344"/>
      <c r="V15" s="342"/>
      <c r="W15" s="342"/>
      <c r="X15" s="352"/>
      <c r="Y15" s="213"/>
      <c r="Z15" s="213"/>
      <c r="AA15" s="345"/>
      <c r="AB15" s="250"/>
      <c r="AC15" s="250"/>
      <c r="AD15" s="250"/>
      <c r="AE15" s="250"/>
    </row>
    <row r="16" spans="1:32" s="195" customFormat="1">
      <c r="A16" s="276"/>
      <c r="B16" s="336"/>
      <c r="C16" s="337"/>
      <c r="D16" s="338"/>
      <c r="E16" s="336"/>
      <c r="F16" s="336"/>
      <c r="G16" s="336"/>
      <c r="H16" s="339"/>
      <c r="I16" s="340"/>
      <c r="J16" s="340"/>
      <c r="K16" s="341"/>
      <c r="L16" s="342"/>
      <c r="M16" s="341"/>
      <c r="N16" s="341"/>
      <c r="O16" s="343"/>
      <c r="P16" s="341"/>
      <c r="Q16" s="344"/>
      <c r="R16" s="342"/>
      <c r="S16" s="342"/>
      <c r="T16" s="342"/>
      <c r="U16" s="344"/>
      <c r="V16" s="342"/>
      <c r="W16" s="342"/>
      <c r="X16" s="352"/>
      <c r="Y16" s="213"/>
      <c r="Z16" s="213"/>
      <c r="AA16" s="345"/>
      <c r="AB16" s="250"/>
      <c r="AC16" s="250"/>
      <c r="AD16" s="250"/>
      <c r="AE16" s="250"/>
    </row>
    <row r="17" spans="1:32" s="195" customFormat="1" ht="14" thickBot="1">
      <c r="A17" s="236"/>
      <c r="B17" s="239"/>
      <c r="C17" s="275"/>
      <c r="D17" s="240"/>
      <c r="E17" s="239"/>
      <c r="F17" s="239"/>
      <c r="G17" s="239"/>
      <c r="H17" s="241"/>
      <c r="I17" s="242"/>
      <c r="J17" s="242"/>
      <c r="K17" s="243"/>
      <c r="L17" s="244"/>
      <c r="M17" s="243"/>
      <c r="N17" s="243"/>
      <c r="O17" s="245"/>
      <c r="P17" s="243"/>
      <c r="Q17" s="246"/>
      <c r="R17" s="244"/>
      <c r="S17" s="244"/>
      <c r="T17" s="244"/>
      <c r="U17" s="246"/>
      <c r="V17" s="244"/>
      <c r="W17" s="244"/>
      <c r="X17" s="351"/>
      <c r="Y17" s="213">
        <f t="shared" si="10"/>
        <v>0</v>
      </c>
      <c r="Z17" s="213">
        <f t="shared" si="11"/>
        <v>0</v>
      </c>
      <c r="AA17" s="346"/>
      <c r="AB17" s="250" t="e">
        <f t="shared" si="16"/>
        <v>#DIV/0!</v>
      </c>
      <c r="AC17" s="250" t="e">
        <f t="shared" si="19"/>
        <v>#DIV/0!</v>
      </c>
      <c r="AD17" s="250" t="e">
        <f t="shared" si="13"/>
        <v>#DIV/0!</v>
      </c>
      <c r="AE17" s="250" t="e">
        <f t="shared" si="14"/>
        <v>#DIV/0!</v>
      </c>
    </row>
    <row r="18" spans="1:32" s="202" customFormat="1" ht="14" thickBot="1">
      <c r="A18" s="198" t="s">
        <v>355</v>
      </c>
      <c r="B18" s="199"/>
      <c r="C18" s="200"/>
      <c r="D18" s="201">
        <f t="shared" ref="D18:AA18" si="22">SUM(D3:D17)</f>
        <v>363469.32000000007</v>
      </c>
      <c r="E18" s="249">
        <f t="shared" si="22"/>
        <v>1797</v>
      </c>
      <c r="F18" s="249">
        <f t="shared" si="22"/>
        <v>1136</v>
      </c>
      <c r="G18" s="249">
        <f t="shared" si="22"/>
        <v>46</v>
      </c>
      <c r="H18" s="201">
        <f t="shared" si="22"/>
        <v>2244443</v>
      </c>
      <c r="I18" s="201">
        <f t="shared" si="22"/>
        <v>-93991</v>
      </c>
      <c r="J18" s="201">
        <f t="shared" si="22"/>
        <v>2150452</v>
      </c>
      <c r="K18" s="201">
        <f>SUM(K3:K17)</f>
        <v>137838.56999999998</v>
      </c>
      <c r="L18" s="201">
        <f t="shared" si="22"/>
        <v>217501.02999999997</v>
      </c>
      <c r="M18" s="201">
        <f t="shared" si="22"/>
        <v>924694.3600000001</v>
      </c>
      <c r="N18" s="201">
        <f t="shared" si="22"/>
        <v>0</v>
      </c>
      <c r="O18" s="201">
        <f t="shared" si="22"/>
        <v>0</v>
      </c>
      <c r="P18" s="201">
        <f t="shared" si="22"/>
        <v>0</v>
      </c>
      <c r="Q18" s="201">
        <f t="shared" si="22"/>
        <v>529453.5199999999</v>
      </c>
      <c r="R18" s="201">
        <f t="shared" si="22"/>
        <v>44504.259999999995</v>
      </c>
      <c r="S18" s="201">
        <f t="shared" si="22"/>
        <v>425</v>
      </c>
      <c r="T18" s="201">
        <f t="shared" si="22"/>
        <v>78519.899999999994</v>
      </c>
      <c r="U18" s="201">
        <f t="shared" si="22"/>
        <v>1115.3900000000001</v>
      </c>
      <c r="V18" s="201">
        <f t="shared" si="22"/>
        <v>7000</v>
      </c>
      <c r="W18" s="201">
        <f t="shared" si="22"/>
        <v>20915</v>
      </c>
      <c r="X18" s="201">
        <f t="shared" si="22"/>
        <v>8727.0316000000003</v>
      </c>
      <c r="Y18" s="201">
        <f t="shared" si="22"/>
        <v>232545.75000000006</v>
      </c>
      <c r="Z18" s="201">
        <f t="shared" si="22"/>
        <v>223818.71840000007</v>
      </c>
      <c r="AA18" s="248">
        <f t="shared" si="22"/>
        <v>221378.53840000008</v>
      </c>
      <c r="AB18" s="235">
        <f>K18/J18</f>
        <v>6.4097487411948734E-2</v>
      </c>
      <c r="AC18" s="235">
        <f>Z18/K18</f>
        <v>1.6237742338737271</v>
      </c>
      <c r="AD18" s="235">
        <f>Z18/J18</f>
        <v>0.10407984851556792</v>
      </c>
      <c r="AE18" s="235">
        <f t="shared" si="3"/>
        <v>0.24620569071060405</v>
      </c>
    </row>
    <row r="19" spans="1:32">
      <c r="H19" s="206" t="s">
        <v>365</v>
      </c>
      <c r="J19" s="207"/>
      <c r="M19" s="207"/>
      <c r="R19" s="207"/>
      <c r="S19" s="207"/>
      <c r="T19" s="207"/>
      <c r="X19" s="207"/>
      <c r="Y19" s="207"/>
    </row>
    <row r="20" spans="1:32" s="204" customFormat="1">
      <c r="A20" s="208"/>
      <c r="B20" s="208"/>
      <c r="D20" s="209"/>
      <c r="E20" s="209"/>
      <c r="F20" s="209"/>
      <c r="G20" s="209"/>
      <c r="I20" s="210">
        <f>-I18/H18</f>
        <v>4.1877205168498376E-2</v>
      </c>
      <c r="J20" s="211"/>
      <c r="K20" s="234">
        <f>K18/$J$18</f>
        <v>6.4097487411948734E-2</v>
      </c>
      <c r="L20" s="234">
        <f>L18/$J$18</f>
        <v>0.10114200642469581</v>
      </c>
      <c r="M20" s="234">
        <f>M18/$J$18</f>
        <v>0.43000000000000005</v>
      </c>
      <c r="N20" s="234"/>
      <c r="O20" s="234"/>
      <c r="P20" s="234"/>
      <c r="Q20" s="234">
        <f>Q18/$J$18</f>
        <v>0.24620569071060405</v>
      </c>
      <c r="R20" s="234">
        <f t="shared" ref="R20:W20" si="23">R18/$J$18</f>
        <v>2.0695304987044583E-2</v>
      </c>
      <c r="S20" s="234">
        <f t="shared" si="23"/>
        <v>1.9763286974087309E-4</v>
      </c>
      <c r="T20" s="234">
        <f t="shared" si="23"/>
        <v>3.651320745592089E-2</v>
      </c>
      <c r="U20" s="234">
        <f t="shared" si="23"/>
        <v>5.186770037182881E-4</v>
      </c>
      <c r="V20" s="234">
        <f t="shared" si="23"/>
        <v>3.2551296192614388E-3</v>
      </c>
      <c r="W20" s="234">
        <f t="shared" si="23"/>
        <v>9.7258622838361421E-3</v>
      </c>
      <c r="X20" s="234">
        <f>X18/$J$18</f>
        <v>4.058231292770078E-3</v>
      </c>
      <c r="Y20" s="234"/>
      <c r="Z20" s="210">
        <f>Z18/K18</f>
        <v>1.6237742338737271</v>
      </c>
      <c r="AA20" s="182" t="s">
        <v>35</v>
      </c>
      <c r="AB20" s="235">
        <f>Z18/J18</f>
        <v>0.10407984851556792</v>
      </c>
      <c r="AC20" s="212"/>
      <c r="AD20" s="212"/>
      <c r="AE20" s="212"/>
    </row>
    <row r="22" spans="1:32" s="256" customFormat="1">
      <c r="A22" s="252" t="s">
        <v>1393</v>
      </c>
      <c r="B22" s="252"/>
      <c r="C22" s="253"/>
      <c r="D22" s="254">
        <f>SUM(D3:D7)</f>
        <v>123225.19000000013</v>
      </c>
      <c r="E22" s="251">
        <f>SUM(E3:E7)</f>
        <v>803</v>
      </c>
      <c r="F22" s="251">
        <f t="shared" ref="F22:AA22" si="24">SUM(F3:F7)</f>
        <v>544</v>
      </c>
      <c r="G22" s="251">
        <f t="shared" si="24"/>
        <v>15</v>
      </c>
      <c r="H22" s="254">
        <f t="shared" si="24"/>
        <v>936447</v>
      </c>
      <c r="I22" s="254">
        <f t="shared" si="24"/>
        <v>-25467</v>
      </c>
      <c r="J22" s="254">
        <f t="shared" si="24"/>
        <v>910980</v>
      </c>
      <c r="K22" s="254">
        <f t="shared" si="24"/>
        <v>66570.989999999991</v>
      </c>
      <c r="L22" s="254">
        <f t="shared" si="24"/>
        <v>98630.239999999976</v>
      </c>
      <c r="M22" s="254">
        <f t="shared" si="24"/>
        <v>391721.39999999991</v>
      </c>
      <c r="N22" s="254">
        <f t="shared" si="24"/>
        <v>0</v>
      </c>
      <c r="O22" s="254">
        <f t="shared" si="24"/>
        <v>0</v>
      </c>
      <c r="P22" s="254">
        <f t="shared" si="24"/>
        <v>0</v>
      </c>
      <c r="Q22" s="254">
        <f t="shared" si="24"/>
        <v>239309.32999999996</v>
      </c>
      <c r="R22" s="254">
        <f t="shared" si="24"/>
        <v>16975.23</v>
      </c>
      <c r="S22" s="254">
        <f t="shared" si="24"/>
        <v>250</v>
      </c>
      <c r="T22" s="254">
        <f t="shared" si="24"/>
        <v>48984</v>
      </c>
      <c r="U22" s="254">
        <f t="shared" si="24"/>
        <v>1115.3900000000001</v>
      </c>
      <c r="V22" s="254">
        <f t="shared" si="24"/>
        <v>7000</v>
      </c>
      <c r="W22" s="254">
        <f t="shared" si="24"/>
        <v>10387</v>
      </c>
      <c r="X22" s="254">
        <f>SUM(X3:X7)</f>
        <v>3481.9416000000006</v>
      </c>
      <c r="Y22" s="255">
        <f>SUM(Y3:Y7)</f>
        <v>53041.200000000135</v>
      </c>
      <c r="Z22" s="255">
        <f>SUM(Z3:Z7)</f>
        <v>49559.258400000137</v>
      </c>
      <c r="AA22" s="255">
        <f t="shared" si="24"/>
        <v>49559.258400000137</v>
      </c>
      <c r="AB22" s="234"/>
      <c r="AD22" s="257"/>
      <c r="AE22" s="257"/>
      <c r="AF22" s="257"/>
    </row>
    <row r="23" spans="1:32" s="204" customFormat="1">
      <c r="A23" s="208"/>
      <c r="B23" s="208"/>
      <c r="D23" s="209"/>
      <c r="E23" s="209"/>
      <c r="F23" s="209"/>
      <c r="G23" s="209"/>
      <c r="I23" s="258">
        <f>-I22/H22</f>
        <v>2.7195345812416505E-2</v>
      </c>
      <c r="J23" s="259"/>
      <c r="K23" s="259">
        <f>K22/$J$22</f>
        <v>7.307623658038595E-2</v>
      </c>
      <c r="L23" s="259">
        <f>L22/$J$22</f>
        <v>0.10826828250894638</v>
      </c>
      <c r="M23" s="259">
        <f>M22/$J$22</f>
        <v>0.42999999999999988</v>
      </c>
      <c r="N23" s="259"/>
      <c r="O23" s="259"/>
      <c r="P23" s="259"/>
      <c r="Q23" s="259">
        <f>Q22/$J$22</f>
        <v>0.2626943840699027</v>
      </c>
      <c r="R23" s="259">
        <f>R22/$J$22</f>
        <v>1.8634031482579201E-2</v>
      </c>
      <c r="S23" s="259">
        <f>S22/$J$22</f>
        <v>2.7442973501064786E-4</v>
      </c>
      <c r="T23" s="259">
        <f>T22/$J$22</f>
        <v>5.3770664559046305E-2</v>
      </c>
      <c r="U23" s="259"/>
      <c r="V23" s="259">
        <f>V22/$J$22</f>
        <v>7.6840325802981406E-3</v>
      </c>
      <c r="W23" s="259">
        <f>W22/$J$22</f>
        <v>1.1402006630222398E-2</v>
      </c>
      <c r="X23" s="259">
        <f>X22/$J$22</f>
        <v>3.8221932424422058E-3</v>
      </c>
      <c r="Y23" s="259">
        <f>Y22/J22</f>
        <v>5.8224329842587255E-2</v>
      </c>
      <c r="Z23" s="259">
        <f>Z22/J22</f>
        <v>5.4402136600145048E-2</v>
      </c>
      <c r="AA23" s="259">
        <f>AA22/J22</f>
        <v>5.4402136600145048E-2</v>
      </c>
      <c r="AB23" s="260"/>
      <c r="AC23" s="212"/>
      <c r="AD23" s="212"/>
      <c r="AE23" s="212"/>
    </row>
    <row r="25" spans="1:32" s="204" customFormat="1">
      <c r="A25" s="208" t="s">
        <v>1737</v>
      </c>
      <c r="B25" s="208"/>
      <c r="D25" s="209"/>
      <c r="E25" s="209"/>
      <c r="F25" s="209"/>
      <c r="G25" s="209"/>
      <c r="I25" s="258"/>
      <c r="J25" s="259"/>
      <c r="K25" s="259">
        <f>(K7+K8)/($J$7+$J$8)</f>
        <v>7.0282074177319923E-2</v>
      </c>
      <c r="L25" s="259">
        <f>(L7+L8)/($J$7+$J$8)</f>
        <v>0.10463693185530408</v>
      </c>
      <c r="M25" s="259">
        <f t="shared" ref="M25:Z25" si="25">(M7+M8)/($J$7+$J$8)</f>
        <v>0.42999999999999983</v>
      </c>
      <c r="N25" s="259">
        <f t="shared" si="25"/>
        <v>0</v>
      </c>
      <c r="O25" s="259">
        <f t="shared" si="25"/>
        <v>0</v>
      </c>
      <c r="P25" s="259">
        <f t="shared" si="25"/>
        <v>0</v>
      </c>
      <c r="Q25" s="259">
        <f t="shared" si="25"/>
        <v>0.25406002134285766</v>
      </c>
      <c r="R25" s="259">
        <f>(R7+S7+T7+R8+S8+T8)/($J$7+$J$8)</f>
        <v>0.21054563669229256</v>
      </c>
      <c r="S25" s="259"/>
      <c r="T25" s="259"/>
      <c r="U25" s="259">
        <f t="shared" si="25"/>
        <v>4.8582877801250073E-3</v>
      </c>
      <c r="V25" s="259">
        <f t="shared" si="25"/>
        <v>0</v>
      </c>
      <c r="W25" s="259">
        <f t="shared" si="25"/>
        <v>2.1042315482283244E-2</v>
      </c>
      <c r="X25" s="259">
        <f t="shared" si="25"/>
        <v>3.8138408328555612E-3</v>
      </c>
      <c r="Y25" s="259">
        <f t="shared" si="25"/>
        <v>-4.362406080536594E-2</v>
      </c>
      <c r="Z25" s="259">
        <f t="shared" si="25"/>
        <v>-4.7437901638221501E-2</v>
      </c>
      <c r="AA25" s="259"/>
      <c r="AB25" s="260"/>
      <c r="AC25" s="212"/>
      <c r="AD25" s="212"/>
      <c r="AE25" s="212"/>
    </row>
    <row r="26" spans="1:32" s="204" customFormat="1">
      <c r="A26" s="208" t="s">
        <v>1736</v>
      </c>
      <c r="B26" s="208"/>
      <c r="D26" s="209"/>
      <c r="E26" s="209"/>
      <c r="F26" s="209"/>
      <c r="G26" s="209"/>
      <c r="I26" s="258"/>
      <c r="J26" s="259"/>
      <c r="K26" s="259">
        <f>K9/$J$9</f>
        <v>6.6026146834769303E-2</v>
      </c>
      <c r="L26" s="259">
        <f>L9/$J$9</f>
        <v>0.10353457968796775</v>
      </c>
      <c r="M26" s="259">
        <f>M9/$J$9</f>
        <v>0.43</v>
      </c>
      <c r="N26" s="259"/>
      <c r="O26" s="259"/>
      <c r="P26" s="259"/>
      <c r="Q26" s="259">
        <f>Q9/$J$9</f>
        <v>0.22200332656930907</v>
      </c>
      <c r="R26" s="259">
        <f>(R9+S9+T9)/$J$9</f>
        <v>0.11123315924287283</v>
      </c>
      <c r="S26" s="259"/>
      <c r="T26" s="259"/>
      <c r="U26" s="259"/>
      <c r="V26" s="259">
        <f>V9/$J$9</f>
        <v>0</v>
      </c>
      <c r="W26" s="259">
        <f>W9/$J$9</f>
        <v>0</v>
      </c>
      <c r="X26" s="259">
        <f>X9/$J$9</f>
        <v>3.9509996340773759E-3</v>
      </c>
      <c r="Y26" s="259">
        <f>Y9/J9</f>
        <v>6.7202787665081046E-2</v>
      </c>
      <c r="Z26" s="259">
        <f>Z9/J9</f>
        <v>6.3251788031003675E-2</v>
      </c>
      <c r="AA26" s="259"/>
      <c r="AB26" s="260"/>
      <c r="AC26" s="212"/>
      <c r="AD26" s="212"/>
      <c r="AE26" s="212"/>
    </row>
    <row r="27" spans="1:32">
      <c r="A27" s="208" t="s">
        <v>2027</v>
      </c>
      <c r="B27" s="208"/>
      <c r="D27" s="209"/>
      <c r="E27" s="209"/>
      <c r="F27" s="209"/>
      <c r="G27" s="209"/>
      <c r="H27" s="204"/>
      <c r="I27" s="258"/>
      <c r="J27" s="259"/>
      <c r="K27" s="259">
        <f>K10/$J$10</f>
        <v>5.6032822773132623E-2</v>
      </c>
      <c r="L27" s="259">
        <f>L10/$J$10</f>
        <v>8.8563170842424321E-2</v>
      </c>
      <c r="M27" s="259">
        <f>M10/$J$10</f>
        <v>0.43</v>
      </c>
      <c r="N27" s="259"/>
      <c r="O27" s="259"/>
      <c r="P27" s="259"/>
      <c r="Q27" s="259">
        <f>Q10/$J$10</f>
        <v>0.2235657334055732</v>
      </c>
      <c r="R27" s="259">
        <f>(R10+S10+T10)/$J$10</f>
        <v>2.902139374148863E-2</v>
      </c>
      <c r="S27" s="259"/>
      <c r="T27" s="259"/>
      <c r="U27" s="259"/>
      <c r="V27" s="259">
        <f>V10/$J$10</f>
        <v>0</v>
      </c>
      <c r="W27" s="259">
        <f>W10/$J$10</f>
        <v>0</v>
      </c>
      <c r="X27" s="259">
        <f>X10/$J$10</f>
        <v>4.3181751621736396E-3</v>
      </c>
      <c r="Y27" s="259">
        <f>Y10/J10</f>
        <v>0.17281687923738109</v>
      </c>
      <c r="Z27" s="259">
        <f>Z10/J10</f>
        <v>0.16849870407520745</v>
      </c>
    </row>
    <row r="28" spans="1:32">
      <c r="A28" s="208" t="s">
        <v>2373</v>
      </c>
      <c r="B28" s="208"/>
      <c r="D28" s="209"/>
      <c r="E28" s="209"/>
      <c r="F28" s="209"/>
      <c r="G28" s="209"/>
      <c r="H28" s="204"/>
      <c r="I28" s="258"/>
      <c r="J28" s="259"/>
      <c r="K28" s="259">
        <f>K11/$J$11</f>
        <v>5.4130813609217177E-2</v>
      </c>
      <c r="L28" s="259">
        <f>L11/$J$11</f>
        <v>8.9548728013038495E-2</v>
      </c>
      <c r="M28" s="259">
        <f>M11/$J$11</f>
        <v>0.43</v>
      </c>
      <c r="N28" s="259"/>
      <c r="O28" s="259"/>
      <c r="P28" s="259"/>
      <c r="Q28" s="259">
        <f>Q11/$J$11</f>
        <v>0.22547461947541467</v>
      </c>
      <c r="R28" s="259">
        <f>(R11+S11+T11)/$J$11</f>
        <v>2.2696381139289762E-2</v>
      </c>
      <c r="S28" s="259"/>
      <c r="T28" s="259"/>
      <c r="U28" s="259"/>
      <c r="V28" s="259">
        <f>V11/$J$11</f>
        <v>0</v>
      </c>
      <c r="W28" s="259">
        <f>W11/$J$11</f>
        <v>1.2257431437900757E-2</v>
      </c>
      <c r="X28" s="259">
        <f>X11/$J$11</f>
        <v>4.5170058819880331E-3</v>
      </c>
      <c r="Y28" s="259">
        <f>Y11/J11</f>
        <v>0.19040688920094059</v>
      </c>
      <c r="Z28" s="259">
        <f>Z11/J11</f>
        <v>0.18588988331895256</v>
      </c>
    </row>
    <row r="29" spans="1:32">
      <c r="A29" s="208" t="s">
        <v>2690</v>
      </c>
      <c r="B29" s="208"/>
      <c r="D29" s="209"/>
      <c r="E29" s="209"/>
      <c r="F29" s="209"/>
      <c r="G29" s="209"/>
      <c r="H29" s="204"/>
      <c r="I29" s="258"/>
      <c r="J29" s="259"/>
      <c r="K29" s="259">
        <f>(K12+K13)/($J$12+$J$13)</f>
        <v>5.2676864176070447E-2</v>
      </c>
      <c r="L29" s="259">
        <f t="shared" ref="L29:Z29" si="26">(L12+L13)/($J$12+$J$13)</f>
        <v>0.10278101812278674</v>
      </c>
      <c r="M29" s="259">
        <f t="shared" si="26"/>
        <v>0.43000000000000005</v>
      </c>
      <c r="N29" s="259">
        <f t="shared" si="26"/>
        <v>0</v>
      </c>
      <c r="O29" s="259">
        <f t="shared" si="26"/>
        <v>0</v>
      </c>
      <c r="P29" s="259">
        <f t="shared" si="26"/>
        <v>0</v>
      </c>
      <c r="Q29" s="259">
        <f t="shared" si="26"/>
        <v>0.26870709036971058</v>
      </c>
      <c r="R29" s="259">
        <f>(R12+R13)/($J$12+$J$13)</f>
        <v>2.6189725392732212E-2</v>
      </c>
      <c r="S29" s="259"/>
      <c r="T29" s="259"/>
      <c r="U29" s="259"/>
      <c r="V29" s="259">
        <f t="shared" si="26"/>
        <v>0</v>
      </c>
      <c r="W29" s="259">
        <f t="shared" si="26"/>
        <v>4.8485457954129162E-3</v>
      </c>
      <c r="X29" s="259">
        <f t="shared" si="26"/>
        <v>4.1414482426715138E-3</v>
      </c>
      <c r="Y29" s="259">
        <f t="shared" si="26"/>
        <v>0.12449384773411286</v>
      </c>
      <c r="Z29" s="259">
        <f>(Z12+Z13)/($J$12+$J$13)</f>
        <v>0.12035239949144133</v>
      </c>
    </row>
    <row r="31" spans="1:32" s="256" customFormat="1">
      <c r="A31" s="252" t="s">
        <v>2693</v>
      </c>
      <c r="B31" s="252"/>
      <c r="C31" s="253"/>
      <c r="D31" s="254">
        <f>SUM(D8:D12)</f>
        <v>237548.81999999995</v>
      </c>
      <c r="E31" s="251">
        <f t="shared" ref="E31:AA31" si="27">SUM(E8:E12)</f>
        <v>958</v>
      </c>
      <c r="F31" s="251">
        <f t="shared" si="27"/>
        <v>579</v>
      </c>
      <c r="G31" s="251">
        <f t="shared" si="27"/>
        <v>30</v>
      </c>
      <c r="H31" s="254">
        <f t="shared" si="27"/>
        <v>1275436</v>
      </c>
      <c r="I31" s="254">
        <f t="shared" si="27"/>
        <v>-66124</v>
      </c>
      <c r="J31" s="254">
        <f>SUM(J8:J12)</f>
        <v>1209312</v>
      </c>
      <c r="K31" s="254">
        <f t="shared" si="27"/>
        <v>69788.849999999991</v>
      </c>
      <c r="L31" s="254">
        <f t="shared" si="27"/>
        <v>115619.00999999998</v>
      </c>
      <c r="M31" s="254">
        <f t="shared" si="27"/>
        <v>520004.16000000003</v>
      </c>
      <c r="N31" s="254">
        <f t="shared" si="27"/>
        <v>0</v>
      </c>
      <c r="O31" s="254">
        <f t="shared" si="27"/>
        <v>0</v>
      </c>
      <c r="P31" s="254">
        <f t="shared" si="27"/>
        <v>0</v>
      </c>
      <c r="Q31" s="254">
        <f t="shared" si="27"/>
        <v>279784.71999999997</v>
      </c>
      <c r="R31" s="254">
        <f>SUM(R8:R12)</f>
        <v>26644.39</v>
      </c>
      <c r="S31" s="254">
        <f>SUM(S8:S12)</f>
        <v>175</v>
      </c>
      <c r="T31" s="254">
        <f t="shared" si="27"/>
        <v>29535.9</v>
      </c>
      <c r="U31" s="254">
        <f t="shared" si="27"/>
        <v>0</v>
      </c>
      <c r="V31" s="254">
        <f t="shared" si="27"/>
        <v>0</v>
      </c>
      <c r="W31" s="254">
        <f t="shared" si="27"/>
        <v>9178</v>
      </c>
      <c r="X31" s="254">
        <f>SUM(X8:X12)</f>
        <v>5118.6900000000005</v>
      </c>
      <c r="Y31" s="255">
        <f t="shared" si="27"/>
        <v>176937.96999999994</v>
      </c>
      <c r="Z31" s="255">
        <f>SUM(Z8:Z12)</f>
        <v>171819.27999999994</v>
      </c>
      <c r="AA31" s="255">
        <f t="shared" si="27"/>
        <v>171819.27999999994</v>
      </c>
      <c r="AB31" s="234"/>
      <c r="AD31" s="257"/>
      <c r="AE31" s="257"/>
      <c r="AF31" s="257"/>
    </row>
  </sheetData>
  <mergeCells count="29">
    <mergeCell ref="AA8:AA12"/>
    <mergeCell ref="A8:A12"/>
    <mergeCell ref="Q1:Q2"/>
    <mergeCell ref="AC1:AC2"/>
    <mergeCell ref="AD1:AD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A3:A7"/>
    <mergeCell ref="AA3:AA7"/>
    <mergeCell ref="Z1:Z2"/>
    <mergeCell ref="AA1:AA2"/>
    <mergeCell ref="A1:C1"/>
    <mergeCell ref="D1:D2"/>
    <mergeCell ref="E1:G1"/>
    <mergeCell ref="H1:J1"/>
    <mergeCell ref="K1:K2"/>
    <mergeCell ref="Y1:Y2"/>
    <mergeCell ref="L1:L2"/>
    <mergeCell ref="M1:M2"/>
    <mergeCell ref="N1:N2"/>
    <mergeCell ref="O1:O2"/>
    <mergeCell ref="P1:P2"/>
  </mergeCells>
  <conditionalFormatting sqref="J2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8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8">
    <cfRule type="dataBar" priority="6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8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6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6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6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5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5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5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4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4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4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3:AC17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3:AD17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3:AE17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3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3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7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7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2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7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7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7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7"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7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7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7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7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7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7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7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7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7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7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7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7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7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7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7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2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5:L16 L11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5:M16 M11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1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5:L16 L11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5:M16 M11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5:J16 J11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5:J16 J11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5:J16 J11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5:L16 L11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5:M16 M11">
    <cfRule type="dataBar" priority="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5:L16 L11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5:M16 M11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5:J16 J11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5:J16 J11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5:L16 L11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5:M16 M11">
    <cfRule type="dataBar" priority="1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5:J16 J11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5:L16 L11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5:M16 M11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5:L16 L11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5:M16 M11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5:J16 J11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4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{DCE61A68-05A9-4FA1-A44C-2782B6BF9DBC}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{F47FB051-EE14-4A0B-8D22-7EC32DECE05E}</x14:id>
        </ext>
      </extLst>
    </cfRule>
  </conditionalFormatting>
  <conditionalFormatting sqref="M14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{C59B5AC0-D985-43FC-B334-BE663346B195}</x14:id>
        </ext>
      </extLst>
    </cfRule>
    <cfRule type="dataBar" priority="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{0200F6FC-A360-48B6-8136-C04DA3A12BD0}</x14:id>
        </ext>
      </extLst>
    </cfRule>
  </conditionalFormatting>
  <conditionalFormatting sqref="L1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{F4B255AB-90C2-4FEB-8692-968C75C9FE9B}</x14:id>
        </ext>
      </extLst>
    </cfRule>
  </conditionalFormatting>
  <conditionalFormatting sqref="M1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{61648A32-9BF4-40D8-96A9-A3E9413111AD}</x14:id>
        </ext>
      </extLst>
    </cfRule>
  </conditionalFormatting>
  <conditionalFormatting sqref="J14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{C917E884-18F7-44FC-8697-3F2D58984201}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{3FA2FAE3-A3F3-43C1-BAD6-681EBEA184BD}</x14:id>
        </ext>
      </extLst>
    </cfRule>
  </conditionalFormatting>
  <conditionalFormatting sqref="J14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{4684BAC4-BABA-4B12-8DCE-F972AE2BF6D6}</x14:id>
        </ext>
      </extLst>
    </cfRule>
  </conditionalFormatting>
  <conditionalFormatting sqref="J14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{AD93F3E5-5346-4AD3-95B2-41A6BCF28883}</x14:id>
        </ext>
      </extLst>
    </cfRule>
  </conditionalFormatting>
  <conditionalFormatting sqref="L1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{A63EDEE2-DF19-410D-802F-6FD7BD0D96E0}</x14:id>
        </ext>
      </extLst>
    </cfRule>
  </conditionalFormatting>
  <conditionalFormatting sqref="M14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{E56838EC-7E3C-4C3B-8B52-FDAAC104A078}</x14:id>
        </ext>
      </extLst>
    </cfRule>
  </conditionalFormatting>
  <conditionalFormatting sqref="L1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{989FF743-A71A-45D8-82D3-902C6137605C}</x14:id>
        </ext>
      </extLst>
    </cfRule>
  </conditionalFormatting>
  <conditionalFormatting sqref="M14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{946AD6E2-6A68-4219-997D-AD5F613D5EC7}</x14:id>
        </ext>
      </extLst>
    </cfRule>
  </conditionalFormatting>
  <conditionalFormatting sqref="J14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{363EFCB1-C020-42D4-8ABD-C75DC9F1476B}</x14:id>
        </ext>
      </extLst>
    </cfRule>
  </conditionalFormatting>
  <conditionalFormatting sqref="J14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{FBC7138C-D0C2-45E7-9819-0CD4AAD5DFB1}</x14:id>
        </ext>
      </extLst>
    </cfRule>
  </conditionalFormatting>
  <conditionalFormatting sqref="L14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{FE46847E-6F1D-4AB2-B0BC-3103EFF67190}</x14:id>
        </ext>
      </extLst>
    </cfRule>
  </conditionalFormatting>
  <conditionalFormatting sqref="M14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{8E1D4C1D-3E8D-4B0F-81BA-BDE9FC2105BE}</x14:id>
        </ext>
      </extLst>
    </cfRule>
  </conditionalFormatting>
  <conditionalFormatting sqref="J14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{BF8969FC-5F4A-405D-B14E-CBB379A5E81C}</x14:id>
        </ext>
      </extLst>
    </cfRule>
  </conditionalFormatting>
  <conditionalFormatting sqref="L14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{971E3F4C-7E9A-45D5-8C37-AFF18679FE9D}</x14:id>
        </ext>
      </extLst>
    </cfRule>
  </conditionalFormatting>
  <conditionalFormatting sqref="M14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{2436C707-2FB9-4AF3-90C0-C6DB5F624264}</x14:id>
        </ext>
      </extLst>
    </cfRule>
  </conditionalFormatting>
  <conditionalFormatting sqref="L14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{050E3A28-D433-46C2-A4C6-501A3412BFC7}</x14:id>
        </ext>
      </extLst>
    </cfRule>
  </conditionalFormatting>
  <conditionalFormatting sqref="M1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{7FE8E2AA-678E-452B-AE84-561717AB692C}</x14:id>
        </ext>
      </extLst>
    </cfRule>
  </conditionalFormatting>
  <conditionalFormatting sqref="J14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{18DE6DA8-36AD-4F28-ADE1-296C0280E36E}</x14:id>
        </ext>
      </extLst>
    </cfRule>
  </conditionalFormatting>
  <conditionalFormatting sqref="L12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AC18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AD18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AE18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AC13:AC17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AD13:AD17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AE13:AE17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 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M15:M16 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J15:J16 J11</xm:sqref>
        </x14:conditionalFormatting>
        <x14:conditionalFormatting xmlns:xm="http://schemas.microsoft.com/office/excel/2006/main">
          <x14:cfRule type="dataBar" id="{DCE61A68-05A9-4FA1-A44C-2782B6BF9D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7FB051-EE14-4A0B-8D22-7EC32DECE0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59B5AC0-D985-43FC-B334-BE663346B1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200F6FC-A360-48B6-8136-C04DA3A12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F4B255AB-90C2-4FEB-8692-968C75C9F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1648A32-9BF4-40D8-96A9-A3E9413111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917E884-18F7-44FC-8697-3F2D589842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A2FAE3-A3F3-43C1-BAD6-681EBEA184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4684BAC4-BABA-4B12-8DCE-F972AE2BF6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93F3E5-5346-4AD3-95B2-41A6BCF28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63EDEE2-DF19-410D-802F-6FD7BD0D9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838EC-7E3C-4C3B-8B52-FDAAC104A0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989FF743-A71A-45D8-82D3-902C61376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46AD6E2-6A68-4219-997D-AD5F613D5E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3EFCB1-C020-42D4-8ABD-C75DC9F14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BC7138C-D0C2-45E7-9819-0CD4AAD5DF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E46847E-6F1D-4AB2-B0BC-3103EFF671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E1D4C1D-3E8D-4B0F-81BA-BDE9FC2105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BF8969FC-5F4A-405D-B14E-CBB379A5E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71E3F4C-7E9A-45D5-8C37-AFF18679FE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2436C707-2FB9-4AF3-90C0-C6DB5F6242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50E3A28-D433-46C2-A4C6-501A3412BF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FE8E2AA-678E-452B-AE84-561717AB69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8DE6DA8-36AD-4F28-ADE1-296C0280E3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279" priority="4" operator="equal">
      <formula>"C"</formula>
    </cfRule>
    <cfRule type="cellIs" dxfId="278" priority="5" operator="equal">
      <formula>"B"</formula>
    </cfRule>
    <cfRule type="cellIs" dxfId="277" priority="6" operator="equal">
      <formula>"A"</formula>
    </cfRule>
  </conditionalFormatting>
  <conditionalFormatting sqref="M22:M41 D22:D41 K22:K41 F22:G41">
    <cfRule type="cellIs" dxfId="276" priority="1" operator="equal">
      <formula>"C"</formula>
    </cfRule>
    <cfRule type="cellIs" dxfId="275" priority="2" operator="equal">
      <formula>"B"</formula>
    </cfRule>
    <cfRule type="cellIs" dxfId="274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46628.355243928941</v>
      </c>
      <c r="D4" s="222">
        <f>C4/C$18</f>
        <v>0.20687653505403703</v>
      </c>
      <c r="E4" s="222">
        <f>D4</f>
        <v>0.20687653505403703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42824.912276058167</v>
      </c>
      <c r="D5" s="222">
        <f>C5/C$18</f>
        <v>0.19000175792856258</v>
      </c>
      <c r="E5" s="222">
        <f>D5+E4</f>
        <v>0.39687829298259958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27510.867615840762</v>
      </c>
      <c r="D6" s="222">
        <f t="shared" ref="D6:D17" si="2">C6/C$18</f>
        <v>0.12205776804525983</v>
      </c>
      <c r="E6" s="222">
        <f t="shared" ref="E6:E11" si="3">D6+E5</f>
        <v>0.51893606102785939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17588.554565710852</v>
      </c>
      <c r="D7" s="222">
        <f t="shared" si="2"/>
        <v>7.8035332924098394E-2</v>
      </c>
      <c r="E7" s="222">
        <f t="shared" si="3"/>
        <v>0.59697139395195775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15500.323153941046</v>
      </c>
      <c r="D8" s="222">
        <f t="shared" si="2"/>
        <v>6.8770453719203317E-2</v>
      </c>
      <c r="E8" s="222">
        <f t="shared" si="3"/>
        <v>0.66574184767116107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14713.909260954848</v>
      </c>
      <c r="D9" s="222">
        <f t="shared" si="2"/>
        <v>6.528136257609414E-2</v>
      </c>
      <c r="E9" s="222">
        <f t="shared" si="3"/>
        <v>0.73102321024725525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14360.069532221889</v>
      </c>
      <c r="D10" s="222">
        <f t="shared" si="2"/>
        <v>6.3711477971291022E-2</v>
      </c>
      <c r="E10" s="222">
        <f t="shared" si="3"/>
        <v>0.79473468821854631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13248.860262623253</v>
      </c>
      <c r="D11" s="222">
        <f t="shared" si="2"/>
        <v>5.8781363618942636E-2</v>
      </c>
      <c r="E11" s="222">
        <f t="shared" si="3"/>
        <v>0.85351605183748891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9305.910509332778</v>
      </c>
      <c r="D12" s="222">
        <f t="shared" si="2"/>
        <v>4.1287635208715062E-2</v>
      </c>
      <c r="E12" s="222">
        <f>D12+E5</f>
        <v>0.43816592819131461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7970.4739776576371</v>
      </c>
      <c r="D13" s="222">
        <f t="shared" si="2"/>
        <v>3.5362689303755121E-2</v>
      </c>
      <c r="E13" s="222">
        <f t="shared" ref="E13:E16" si="7">D13+E12</f>
        <v>0.47352861749506975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4092.0660465086239</v>
      </c>
      <c r="D14" s="222">
        <f t="shared" si="2"/>
        <v>1.8155314303611385E-2</v>
      </c>
      <c r="E14" s="222">
        <f t="shared" si="7"/>
        <v>0.49168393179868114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4044.8306999261126</v>
      </c>
      <c r="D15" s="222">
        <f t="shared" si="2"/>
        <v>1.7945744723428976E-2</v>
      </c>
      <c r="E15" s="222">
        <f t="shared" si="7"/>
        <v>0.50962967652211011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4064.9458550833747</v>
      </c>
      <c r="D16" s="222">
        <f t="shared" si="2"/>
        <v>1.803498985290522E-2</v>
      </c>
      <c r="E16" s="222">
        <f t="shared" si="7"/>
        <v>0.5276646663750153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3538.1107512118256</v>
      </c>
      <c r="D17" s="222">
        <f t="shared" si="2"/>
        <v>1.5697574770095271E-2</v>
      </c>
      <c r="E17" s="222">
        <f>D17+E14</f>
        <v>0.50738150656877645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225392.18975100011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73" priority="4" operator="equal">
      <formula>"C"</formula>
    </cfRule>
    <cfRule type="cellIs" dxfId="272" priority="5" operator="equal">
      <formula>"B"</formula>
    </cfRule>
    <cfRule type="cellIs" dxfId="271" priority="6" operator="equal">
      <formula>"A"</formula>
    </cfRule>
  </conditionalFormatting>
  <conditionalFormatting sqref="M22:M41 D22:D41 K22:K41 F22:G41">
    <cfRule type="cellIs" dxfId="270" priority="1" operator="equal">
      <formula>"C"</formula>
    </cfRule>
    <cfRule type="cellIs" dxfId="269" priority="2" operator="equal">
      <formula>"B"</formula>
    </cfRule>
    <cfRule type="cellIs" dxfId="26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67" priority="4" operator="equal">
      <formula>"C"</formula>
    </cfRule>
    <cfRule type="cellIs" dxfId="266" priority="5" operator="equal">
      <formula>"B"</formula>
    </cfRule>
    <cfRule type="cellIs" dxfId="265" priority="6" operator="equal">
      <formula>"A"</formula>
    </cfRule>
  </conditionalFormatting>
  <conditionalFormatting sqref="M22:M41 D22:D41 K22:K41 F22:G41">
    <cfRule type="cellIs" dxfId="264" priority="1" operator="equal">
      <formula>"C"</formula>
    </cfRule>
    <cfRule type="cellIs" dxfId="263" priority="2" operator="equal">
      <formula>"B"</formula>
    </cfRule>
    <cfRule type="cellIs" dxfId="26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61" priority="4" operator="equal">
      <formula>"C"</formula>
    </cfRule>
    <cfRule type="cellIs" dxfId="260" priority="5" operator="equal">
      <formula>"B"</formula>
    </cfRule>
    <cfRule type="cellIs" dxfId="259" priority="6" operator="equal">
      <formula>"A"</formula>
    </cfRule>
  </conditionalFormatting>
  <conditionalFormatting sqref="M22:M41 D22:D41 K22:K41 F22:G41">
    <cfRule type="cellIs" dxfId="258" priority="1" operator="equal">
      <formula>"C"</formula>
    </cfRule>
    <cfRule type="cellIs" dxfId="257" priority="2" operator="equal">
      <formula>"B"</formula>
    </cfRule>
    <cfRule type="cellIs" dxfId="25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255" priority="4" operator="equal">
      <formula>"C"</formula>
    </cfRule>
    <cfRule type="cellIs" dxfId="254" priority="5" operator="equal">
      <formula>"B"</formula>
    </cfRule>
    <cfRule type="cellIs" dxfId="253" priority="6" operator="equal">
      <formula>"A"</formula>
    </cfRule>
  </conditionalFormatting>
  <conditionalFormatting sqref="M22:M41 D22:D41 K22:K41 F22:G41">
    <cfRule type="cellIs" dxfId="252" priority="1" operator="equal">
      <formula>"C"</formula>
    </cfRule>
    <cfRule type="cellIs" dxfId="251" priority="2" operator="equal">
      <formula>"B"</formula>
    </cfRule>
    <cfRule type="cellIs" dxfId="25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49" priority="4" operator="equal">
      <formula>"C"</formula>
    </cfRule>
    <cfRule type="cellIs" dxfId="248" priority="5" operator="equal">
      <formula>"B"</formula>
    </cfRule>
    <cfRule type="cellIs" dxfId="247" priority="6" operator="equal">
      <formula>"A"</formula>
    </cfRule>
  </conditionalFormatting>
  <conditionalFormatting sqref="M22:M41 D22:D41 K22:K41 F22:G41">
    <cfRule type="cellIs" dxfId="246" priority="1" operator="equal">
      <formula>"C"</formula>
    </cfRule>
    <cfRule type="cellIs" dxfId="245" priority="2" operator="equal">
      <formula>"B"</formula>
    </cfRule>
    <cfRule type="cellIs" dxfId="24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43" priority="4" operator="equal">
      <formula>"C"</formula>
    </cfRule>
    <cfRule type="cellIs" dxfId="242" priority="5" operator="equal">
      <formula>"B"</formula>
    </cfRule>
    <cfRule type="cellIs" dxfId="241" priority="6" operator="equal">
      <formula>"A"</formula>
    </cfRule>
  </conditionalFormatting>
  <conditionalFormatting sqref="M22:M41 D22:D41 K22:K41 F22:G41">
    <cfRule type="cellIs" dxfId="240" priority="1" operator="equal">
      <formula>"C"</formula>
    </cfRule>
    <cfRule type="cellIs" dxfId="239" priority="2" operator="equal">
      <formula>"B"</formula>
    </cfRule>
    <cfRule type="cellIs" dxfId="23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37" priority="4" operator="equal">
      <formula>"C"</formula>
    </cfRule>
    <cfRule type="cellIs" dxfId="236" priority="5" operator="equal">
      <formula>"B"</formula>
    </cfRule>
    <cfRule type="cellIs" dxfId="235" priority="6" operator="equal">
      <formula>"A"</formula>
    </cfRule>
  </conditionalFormatting>
  <conditionalFormatting sqref="M22:M41 D22:D41 K22:K41 F22:G41">
    <cfRule type="cellIs" dxfId="234" priority="1" operator="equal">
      <formula>"C"</formula>
    </cfRule>
    <cfRule type="cellIs" dxfId="233" priority="2" operator="equal">
      <formula>"B"</formula>
    </cfRule>
    <cfRule type="cellIs" dxfId="23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31" priority="4" operator="equal">
      <formula>"C"</formula>
    </cfRule>
    <cfRule type="cellIs" dxfId="230" priority="5" operator="equal">
      <formula>"B"</formula>
    </cfRule>
    <cfRule type="cellIs" dxfId="229" priority="6" operator="equal">
      <formula>"A"</formula>
    </cfRule>
  </conditionalFormatting>
  <conditionalFormatting sqref="M22:M41 D22:D41 K22:K41 F22:G41">
    <cfRule type="cellIs" dxfId="228" priority="1" operator="equal">
      <formula>"C"</formula>
    </cfRule>
    <cfRule type="cellIs" dxfId="227" priority="2" operator="equal">
      <formula>"B"</formula>
    </cfRule>
    <cfRule type="cellIs" dxfId="22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25" priority="4" operator="equal">
      <formula>"C"</formula>
    </cfRule>
    <cfRule type="cellIs" dxfId="224" priority="5" operator="equal">
      <formula>"B"</formula>
    </cfRule>
    <cfRule type="cellIs" dxfId="223" priority="6" operator="equal">
      <formula>"A"</formula>
    </cfRule>
  </conditionalFormatting>
  <conditionalFormatting sqref="M22:M41 D22:D41 K22:K41 F22:G41">
    <cfRule type="cellIs" dxfId="222" priority="1" operator="equal">
      <formula>"C"</formula>
    </cfRule>
    <cfRule type="cellIs" dxfId="221" priority="2" operator="equal">
      <formula>"B"</formula>
    </cfRule>
    <cfRule type="cellIs" dxfId="22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19" priority="4" operator="equal">
      <formula>"C"</formula>
    </cfRule>
    <cfRule type="cellIs" dxfId="218" priority="5" operator="equal">
      <formula>"B"</formula>
    </cfRule>
    <cfRule type="cellIs" dxfId="217" priority="6" operator="equal">
      <formula>"A"</formula>
    </cfRule>
  </conditionalFormatting>
  <conditionalFormatting sqref="M22:M41 D22:D41 K22:K41 F22:G41">
    <cfRule type="cellIs" dxfId="216" priority="1" operator="equal">
      <formula>"C"</formula>
    </cfRule>
    <cfRule type="cellIs" dxfId="215" priority="2" operator="equal">
      <formula>"B"</formula>
    </cfRule>
    <cfRule type="cellIs" dxfId="21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21" t="s">
        <v>1072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24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13" priority="4" operator="equal">
      <formula>"C"</formula>
    </cfRule>
    <cfRule type="cellIs" dxfId="212" priority="5" operator="equal">
      <formula>"B"</formula>
    </cfRule>
    <cfRule type="cellIs" dxfId="211" priority="6" operator="equal">
      <formula>"A"</formula>
    </cfRule>
  </conditionalFormatting>
  <conditionalFormatting sqref="M22:M41 D22:D41 K22:K41 F22:G41">
    <cfRule type="cellIs" dxfId="210" priority="1" operator="equal">
      <formula>"C"</formula>
    </cfRule>
    <cfRule type="cellIs" dxfId="209" priority="2" operator="equal">
      <formula>"B"</formula>
    </cfRule>
    <cfRule type="cellIs" dxfId="20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U9" activePane="bottomRight" state="frozen"/>
      <selection pane="topRight" activeCell="C1" sqref="C1"/>
      <selection pane="bottomLeft" activeCell="A3" sqref="A3"/>
      <selection pane="bottomRight" activeCell="Y29" sqref="Y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327"/>
      <c r="J1" s="328"/>
      <c r="K1" s="329"/>
      <c r="N1" s="327" t="s">
        <v>2685</v>
      </c>
      <c r="O1" s="328">
        <v>1</v>
      </c>
      <c r="P1" s="329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/>
      <c r="AE1" s="273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02-08.03'!H:H,'Отчет 02-08.03'!D:D,"Выручка",'Отчет 02-08.03'!E:E,B3)</f>
        <v>0</v>
      </c>
      <c r="Q3" s="39">
        <f ca="1">SUMIFS('Отчет 02-08.03'!H:H,'Отчет 02-08.03'!D:D,"Возврат выручки",'Отчет 02-08.03'!E:E,B3)</f>
        <v>0</v>
      </c>
      <c r="R3" s="40">
        <f t="shared" ref="R3:R7" ca="1" si="1">P3-Q3</f>
        <v>0</v>
      </c>
      <c r="S3" s="41">
        <f ca="1">SUMIFS('Отчет 02-08.03'!P:P,'Отчет 02-08.03'!C:C,"Продажи",'Отчет 02-08.03'!E:E,B3)</f>
        <v>0</v>
      </c>
      <c r="T3" s="42">
        <f ca="1">SUMIFS('Отчет 02-08.03'!P:P,'Отчет 02-08.03'!C:C,"Возвраты",'Отчет 02-08.03'!E:E,B3)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02-08.03'!P:P,'Отчет 02-08.03'!C:C,"Вознаграждение Ozon",'Отчет 02-08.03'!E:E,B3)</f>
        <v>0</v>
      </c>
      <c r="Y3" s="45">
        <f t="shared" ref="Y3:Y16" ca="1" si="5">IF(U3=0,0,X3/U3)</f>
        <v>0</v>
      </c>
      <c r="Z3" s="42">
        <f ca="1">-SUMIFS('Отчет 02-08.03'!P:P,'Отчет 02-08.03'!C:C,"Услуги доставки",'Отчет 02-08.03'!E:E,B3)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7" ca="1" si="6">U3-W3-X3-Z3-AA3-AB3-AC3-AD3</f>
        <v>#DIV/0!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 t="e">
        <f ca="1">_xlfn.IFS(R3=0,AE3,R3&lt;0,AE3/-R3,R3&gt;0,AE3/R3)</f>
        <v>#DIV/0!</v>
      </c>
      <c r="AM3" s="50">
        <f t="shared" ref="AM3:AM7" ca="1" si="12">IF(AG3=0,0,AL3/AG3)</f>
        <v>0</v>
      </c>
      <c r="AN3" s="51" t="e">
        <f t="shared" ref="AN3:AN7" ca="1" si="13">IF(AH3=0,0,AL3/AH3)</f>
        <v>#DIV/0!</v>
      </c>
      <c r="AP3" s="53" t="e">
        <f t="shared" ref="AP3:AP7" ca="1" si="14">AL3*C3</f>
        <v>#DIV/0!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02-08.03'!H:H,'Отчет 02-08.03'!D:D,"Выручка",'Отчет 02-08.03'!E:E,B4)</f>
        <v>0</v>
      </c>
      <c r="Q4" s="39">
        <f ca="1">SUMIFS('Отчет 02-08.03'!H:H,'Отчет 02-08.03'!D:D,"Возврат выручки",'Отчет 02-08.03'!E:E,B4)</f>
        <v>0</v>
      </c>
      <c r="R4" s="40">
        <f t="shared" ca="1" si="1"/>
        <v>0</v>
      </c>
      <c r="S4" s="41">
        <f ca="1">SUMIFS('Отчет 02-08.03'!P:P,'Отчет 02-08.03'!C:C,"Продажи",'Отчет 02-08.03'!E:E,B4)</f>
        <v>0</v>
      </c>
      <c r="T4" s="42">
        <f ca="1">SUMIFS('Отчет 02-08.03'!P:P,'Отчет 02-08.03'!C:C,"Возвраты",'Отчет 02-08.03'!E:E,B4)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02-08.03'!P:P,'Отчет 02-08.03'!C:C,"Вознаграждение Ozon",'Отчет 02-08.03'!E:E,B4)</f>
        <v>0</v>
      </c>
      <c r="Y4" s="45">
        <f t="shared" ca="1" si="5"/>
        <v>0</v>
      </c>
      <c r="Z4" s="42">
        <f ca="1">-SUMIFS('Отчет 02-08.03'!P:P,'Отчет 02-08.03'!C:C,"Услуги доставки",'Отчет 02-08.03'!E:E,B4)</f>
        <v>0</v>
      </c>
      <c r="AA4" s="32"/>
      <c r="AB4" s="42"/>
      <c r="AC4" s="42"/>
      <c r="AD4" s="46" t="e">
        <f t="shared" ref="AD4:AD16" ca="1" si="17">U4*1%/$AE$1</f>
        <v>#DIV/0!</v>
      </c>
      <c r="AE4" s="47" t="e">
        <f t="shared" ca="1" si="6"/>
        <v>#DIV/0!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 t="e">
        <f t="array" aca="1" ref="AL4" ca="1">_xlfn.IFS(R4=0,AE4,R4&lt;0,AE4/-R4,R4&gt;0,AE4/R4)</f>
        <v>#DIV/0!</v>
      </c>
      <c r="AM4" s="50">
        <f t="shared" ca="1" si="12"/>
        <v>0</v>
      </c>
      <c r="AN4" s="51" t="e">
        <f t="shared" ca="1" si="13"/>
        <v>#DIV/0!</v>
      </c>
      <c r="AP4" s="53" t="e">
        <f t="shared" ca="1" si="14"/>
        <v>#DIV/0!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02-08.03'!H:H,'Отчет 02-08.03'!D:D,"Выручка",'Отчет 02-08.03'!E:E,B5)</f>
        <v>0</v>
      </c>
      <c r="Q5" s="39">
        <f ca="1">SUMIFS('Отчет 02-08.03'!H:H,'Отчет 02-08.03'!D:D,"Возврат выручки",'Отчет 02-08.03'!E:E,B5)</f>
        <v>0</v>
      </c>
      <c r="R5" s="40">
        <f t="shared" ca="1" si="1"/>
        <v>0</v>
      </c>
      <c r="S5" s="41">
        <f ca="1">SUMIFS('Отчет 02-08.03'!P:P,'Отчет 02-08.03'!C:C,"Продажи",'Отчет 02-08.03'!E:E,B5)</f>
        <v>0</v>
      </c>
      <c r="T5" s="42">
        <f ca="1">SUMIFS('Отчет 02-08.03'!P:P,'Отчет 02-08.03'!C:C,"Возвраты",'Отчет 02-08.03'!E:E,B5)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02-08.03'!P:P,'Отчет 02-08.03'!C:C,"Вознаграждение Ozon",'Отчет 02-08.03'!E:E,B5)</f>
        <v>0</v>
      </c>
      <c r="Y5" s="45">
        <f t="shared" ca="1" si="5"/>
        <v>0</v>
      </c>
      <c r="Z5" s="42">
        <f ca="1">-SUMIFS('Отчет 02-08.03'!P:P,'Отчет 02-08.03'!C:C,"Услуги доставки",'Отчет 02-08.03'!E:E,B5)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6"/>
        <v>#DIV/0!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 t="e">
        <f t="array" aca="1" ref="AL5" ca="1">_xlfn.IFS(R5=0,AE5,R5&lt;0,AE5/-R5,R5&gt;0,AE5/R5)</f>
        <v>#DIV/0!</v>
      </c>
      <c r="AM5" s="50">
        <f t="shared" ca="1" si="12"/>
        <v>0</v>
      </c>
      <c r="AN5" s="51" t="e">
        <f t="shared" ca="1" si="13"/>
        <v>#DIV/0!</v>
      </c>
      <c r="AP5" s="53" t="e">
        <f t="shared" ca="1" si="14"/>
        <v>#DIV/0!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02-08.03'!H:H,'Отчет 02-08.03'!D:D,"Выручка",'Отчет 02-08.03'!E:E,B6)</f>
        <v>0</v>
      </c>
      <c r="Q6" s="39">
        <f ca="1">SUMIFS('Отчет 02-08.03'!H:H,'Отчет 02-08.03'!D:D,"Возврат выручки",'Отчет 02-08.03'!E:E,B6)</f>
        <v>0</v>
      </c>
      <c r="R6" s="40">
        <f t="shared" ca="1" si="1"/>
        <v>0</v>
      </c>
      <c r="S6" s="41">
        <f ca="1">SUMIFS('Отчет 02-08.03'!P:P,'Отчет 02-08.03'!C:C,"Продажи",'Отчет 02-08.03'!E:E,B6)</f>
        <v>0</v>
      </c>
      <c r="T6" s="42">
        <f ca="1">SUMIFS('Отчет 02-08.03'!P:P,'Отчет 02-08.03'!C:C,"Возвраты",'Отчет 02-08.03'!E:E,B6)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02-08.03'!P:P,'Отчет 02-08.03'!C:C,"Вознаграждение Ozon",'Отчет 02-08.03'!E:E,B6)</f>
        <v>0</v>
      </c>
      <c r="Y6" s="45">
        <f t="shared" ca="1" si="5"/>
        <v>0</v>
      </c>
      <c r="Z6" s="42">
        <f ca="1">-SUMIFS('Отчет 02-08.03'!P:P,'Отчет 02-08.03'!C:C,"Услуги доставки",'Отчет 02-08.03'!E:E,B6)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6"/>
        <v>#DIV/0!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 t="e">
        <f t="array" aca="1" ref="AL6" ca="1">_xlfn.IFS(R6=0,AE6,R6&lt;0,AE6/-R6,R6&gt;0,AE6/R6)</f>
        <v>#DIV/0!</v>
      </c>
      <c r="AM6" s="50">
        <f t="shared" ca="1" si="12"/>
        <v>0</v>
      </c>
      <c r="AN6" s="51" t="e">
        <f t="shared" ca="1" si="13"/>
        <v>#DIV/0!</v>
      </c>
      <c r="AP6" s="53" t="e">
        <f t="shared" ca="1" si="14"/>
        <v>#DIV/0!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02-08.03'!H:H,'Отчет 02-08.03'!D:D,"Выручка",'Отчет 02-08.03'!E:E,B7)</f>
        <v>0</v>
      </c>
      <c r="Q7" s="39">
        <f ca="1">SUMIFS('Отчет 02-08.03'!H:H,'Отчет 02-08.03'!D:D,"Возврат выручки",'Отчет 02-08.03'!E:E,B7)</f>
        <v>0</v>
      </c>
      <c r="R7" s="40">
        <f t="shared" ca="1" si="1"/>
        <v>0</v>
      </c>
      <c r="S7" s="41">
        <f ca="1">SUMIFS('Отчет 02-08.03'!P:P,'Отчет 02-08.03'!C:C,"Продажи",'Отчет 02-08.03'!E:E,B7)</f>
        <v>0</v>
      </c>
      <c r="T7" s="42">
        <f ca="1">SUMIFS('Отчет 02-08.03'!P:P,'Отчет 02-08.03'!C:C,"Возвраты",'Отчет 02-08.03'!E:E,B7)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02-08.03'!P:P,'Отчет 02-08.03'!C:C,"Вознаграждение Ozon",'Отчет 02-08.03'!E:E,B7)</f>
        <v>0</v>
      </c>
      <c r="Y7" s="45">
        <f t="shared" ca="1" si="5"/>
        <v>0</v>
      </c>
      <c r="Z7" s="42">
        <f ca="1">-SUMIFS('Отчет 02-08.03'!P:P,'Отчет 02-08.03'!C:C,"Услуги доставки",'Отчет 02-08.03'!E:E,B7)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6"/>
        <v>#DIV/0!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 t="e">
        <f t="array" aca="1" ref="AL7" ca="1">_xlfn.IFS(R7=0,AE7,R7&lt;0,AE7/-R7,R7&gt;0,AE7/R7)</f>
        <v>#DIV/0!</v>
      </c>
      <c r="AM7" s="50">
        <f t="shared" ca="1" si="12"/>
        <v>0</v>
      </c>
      <c r="AN7" s="51" t="e">
        <f t="shared" ca="1" si="13"/>
        <v>#DIV/0!</v>
      </c>
      <c r="AP7" s="53" t="e">
        <f t="shared" ca="1" si="14"/>
        <v>#DIV/0!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02-08.03'!H:H,'Отчет 02-08.03'!D:D,"Выручка",'Отчет 02-08.03'!E:E,B8)</f>
        <v>0</v>
      </c>
      <c r="Q8" s="39">
        <f ca="1">SUMIFS('Отчет 02-08.03'!H:H,'Отчет 02-08.03'!D:D,"Возврат выручки",'Отчет 02-08.03'!E:E,B8)</f>
        <v>0</v>
      </c>
      <c r="R8" s="40">
        <f ca="1">P8-Q8</f>
        <v>0</v>
      </c>
      <c r="S8" s="41">
        <f ca="1">SUMIFS('Отчет 02-08.03'!P:P,'Отчет 02-08.03'!C:C,"Продажи",'Отчет 02-08.03'!E:E,B8)</f>
        <v>0</v>
      </c>
      <c r="T8" s="42">
        <f ca="1">SUMIFS('Отчет 02-08.03'!P:P,'Отчет 02-08.03'!C:C,"Возвраты",'Отчет 02-08.03'!E:E,B8)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02-08.03'!P:P,'Отчет 02-08.03'!C:C,"Вознаграждение Ozon",'Отчет 02-08.03'!E:E,B8)</f>
        <v>0</v>
      </c>
      <c r="Y8" s="45">
        <f t="shared" ca="1" si="5"/>
        <v>0</v>
      </c>
      <c r="Z8" s="42">
        <f ca="1">-SUMIFS('Отчет 02-08.03'!P:P,'Отчет 02-08.03'!C:C,"Услуги доставки",'Отчет 02-08.03'!E:E,B8)</f>
        <v>0</v>
      </c>
      <c r="AA8" s="32"/>
      <c r="AB8" s="55"/>
      <c r="AC8" s="42"/>
      <c r="AD8" s="46" t="e">
        <f t="shared" ca="1" si="17"/>
        <v>#DIV/0!</v>
      </c>
      <c r="AE8" s="47" t="e">
        <f ca="1">U8-W8-X8-Z8-AA8-AB8-AC8-AD8</f>
        <v>#DIV/0!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 t="e">
        <f t="array" aca="1" ref="AL8" ca="1">_xlfn.IFS(R8=0,AE8,R8&lt;0,AE8/-R8,R8&gt;0,AE8/R8)</f>
        <v>#DIV/0!</v>
      </c>
      <c r="AM8" s="50">
        <f ca="1">IF(AG8=0,0,AL8/AG8)</f>
        <v>0</v>
      </c>
      <c r="AN8" s="51" t="e">
        <f ca="1">IF(AH8=0,0,AL8/AH8)</f>
        <v>#DIV/0!</v>
      </c>
      <c r="AP8" s="53" t="e">
        <f ca="1">AL8*C8</f>
        <v>#DIV/0!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02-08.03'!H:H,'Отчет 02-08.03'!D:D,"Выручка",'Отчет 02-08.03'!E:E,B9)</f>
        <v>0</v>
      </c>
      <c r="Q9" s="39">
        <f ca="1">SUMIFS('Отчет 02-08.03'!H:H,'Отчет 02-08.03'!D:D,"Возврат выручки",'Отчет 02-08.03'!E:E,B9)</f>
        <v>0</v>
      </c>
      <c r="R9" s="40">
        <f t="shared" ref="R9:R16" ca="1" si="18">P9-Q9</f>
        <v>0</v>
      </c>
      <c r="S9" s="41">
        <f ca="1">SUMIFS('Отчет 02-08.03'!P:P,'Отчет 02-08.03'!C:C,"Продажи",'Отчет 02-08.03'!E:E,B9)</f>
        <v>0</v>
      </c>
      <c r="T9" s="42">
        <f ca="1">SUMIFS('Отчет 02-08.03'!P:P,'Отчет 02-08.03'!C:C,"Возвраты",'Отчет 02-08.03'!E:E,B9)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02-08.03'!P:P,'Отчет 02-08.03'!C:C,"Вознаграждение Ozon",'Отчет 02-08.03'!E:E,B9)</f>
        <v>0</v>
      </c>
      <c r="Y9" s="45">
        <f t="shared" ca="1" si="5"/>
        <v>0</v>
      </c>
      <c r="Z9" s="42">
        <f ca="1">-SUMIFS('Отчет 02-08.03'!P:P,'Отчет 02-08.03'!C:C,"Услуги доставки",'Отчет 02-08.03'!E:E,B9)</f>
        <v>0</v>
      </c>
      <c r="AA9" s="32"/>
      <c r="AB9" s="55"/>
      <c r="AC9" s="42"/>
      <c r="AD9" s="46" t="e">
        <f t="shared" ca="1" si="17"/>
        <v>#DIV/0!</v>
      </c>
      <c r="AE9" s="47" t="e">
        <f t="shared" ref="AE9:AE16" ca="1" si="21">U9-W9-X9-Z9-AA9-AB9-AC9-AD9</f>
        <v>#DIV/0!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 t="e">
        <f t="array" aca="1" ref="AL9" ca="1">_xlfn.IFS(R9=0,AE9,R9&lt;0,AE9/-R9,R9&gt;0,AE9/R9)</f>
        <v>#DIV/0!</v>
      </c>
      <c r="AM9" s="50">
        <f t="shared" ref="AM9:AM16" ca="1" si="27">IF(AG9=0,0,AL9/AG9)</f>
        <v>0</v>
      </c>
      <c r="AN9" s="51" t="e">
        <f t="shared" ref="AN9:AN16" ca="1" si="28">IF(AH9=0,0,AL9/AH9)</f>
        <v>#DIV/0!</v>
      </c>
      <c r="AP9" s="53" t="e">
        <f t="shared" ref="AP9:AP16" ca="1" si="29">AL9*C9</f>
        <v>#DIV/0!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02-08.03'!H:H,'Отчет 02-08.03'!D:D,"Выручка",'Отчет 02-08.03'!E:E,B10)</f>
        <v>0</v>
      </c>
      <c r="Q10" s="39">
        <f ca="1">SUMIFS('Отчет 02-08.03'!H:H,'Отчет 02-08.03'!D:D,"Возврат выручки",'Отчет 02-08.03'!E:E,B10)</f>
        <v>0</v>
      </c>
      <c r="R10" s="40">
        <f t="shared" ca="1" si="18"/>
        <v>0</v>
      </c>
      <c r="S10" s="41">
        <f ca="1">SUMIFS('Отчет 02-08.03'!P:P,'Отчет 02-08.03'!C:C,"Продажи",'Отчет 02-08.03'!E:E,B10)</f>
        <v>0</v>
      </c>
      <c r="T10" s="42">
        <f ca="1">SUMIFS('Отчет 02-08.03'!P:P,'Отчет 02-08.03'!C:C,"Возвраты",'Отчет 02-08.03'!E:E,B10)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02-08.03'!P:P,'Отчет 02-08.03'!C:C,"Вознаграждение Ozon",'Отчет 02-08.03'!E:E,B10)</f>
        <v>0</v>
      </c>
      <c r="Y10" s="45">
        <f t="shared" ca="1" si="5"/>
        <v>0</v>
      </c>
      <c r="Z10" s="42">
        <f ca="1">-SUMIFS('Отчет 02-08.03'!P:P,'Отчет 02-08.03'!C:C,"Услуги доставки",'Отчет 02-08.03'!E:E,B10)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21"/>
        <v>#DIV/0!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 t="e">
        <f t="array" aca="1" ref="AL10" ca="1">_xlfn.IFS(R10=0,AE10,R10&lt;0,AE10/-R10,R10&gt;0,AE10/R10)</f>
        <v>#DIV/0!</v>
      </c>
      <c r="AM10" s="50">
        <f t="shared" ca="1" si="27"/>
        <v>0</v>
      </c>
      <c r="AN10" s="51" t="e">
        <f t="shared" ca="1" si="28"/>
        <v>#DIV/0!</v>
      </c>
      <c r="AP10" s="53" t="e">
        <f t="shared" ca="1" si="29"/>
        <v>#DIV/0!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02-08.03'!H:H,'Отчет 02-08.03'!D:D,"Выручка",'Отчет 02-08.03'!E:E,B11)</f>
        <v>0</v>
      </c>
      <c r="Q11" s="39">
        <f ca="1">SUMIFS('Отчет 02-08.03'!H:H,'Отчет 02-08.03'!D:D,"Возврат выручки",'Отчет 02-08.03'!E:E,B11)</f>
        <v>0</v>
      </c>
      <c r="R11" s="40">
        <f t="shared" ca="1" si="18"/>
        <v>0</v>
      </c>
      <c r="S11" s="41">
        <f ca="1">SUMIFS('Отчет 02-08.03'!P:P,'Отчет 02-08.03'!C:C,"Продажи",'Отчет 02-08.03'!E:E,B11)</f>
        <v>0</v>
      </c>
      <c r="T11" s="42">
        <f ca="1">SUMIFS('Отчет 02-08.03'!P:P,'Отчет 02-08.03'!C:C,"Возвраты",'Отчет 02-08.03'!E:E,B11)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02-08.03'!P:P,'Отчет 02-08.03'!C:C,"Вознаграждение Ozon",'Отчет 02-08.03'!E:E,B11)</f>
        <v>0</v>
      </c>
      <c r="Y11" s="45">
        <f t="shared" ca="1" si="5"/>
        <v>0</v>
      </c>
      <c r="Z11" s="42">
        <f ca="1">-SUMIFS('Отчет 02-08.03'!P:P,'Отчет 02-08.03'!C:C,"Услуги доставки",'Отчет 02-08.03'!E:E,B11)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21"/>
        <v>#DIV/0!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 t="e">
        <f t="array" aca="1" ref="AL11" ca="1">_xlfn.IFS(R11=0,AE11,R11&lt;0,AE11/-R11,R11&gt;0,AE11/R11)</f>
        <v>#DIV/0!</v>
      </c>
      <c r="AM11" s="50">
        <f t="shared" ca="1" si="27"/>
        <v>0</v>
      </c>
      <c r="AN11" s="51" t="e">
        <f t="shared" ca="1" si="28"/>
        <v>#DIV/0!</v>
      </c>
      <c r="AP11" s="53" t="e">
        <f t="shared" ca="1" si="29"/>
        <v>#DIV/0!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02-08.03'!H:H,'Отчет 02-08.03'!D:D,"Выручка",'Отчет 02-08.03'!E:E,B12)</f>
        <v>0</v>
      </c>
      <c r="Q12" s="39">
        <f ca="1">SUMIFS('Отчет 02-08.03'!H:H,'Отчет 02-08.03'!D:D,"Возврат выручки",'Отчет 02-08.03'!E:E,B12)</f>
        <v>0</v>
      </c>
      <c r="R12" s="40">
        <f t="shared" ca="1" si="18"/>
        <v>0</v>
      </c>
      <c r="S12" s="41">
        <f ca="1">SUMIFS('Отчет 02-08.03'!P:P,'Отчет 02-08.03'!C:C,"Продажи",'Отчет 02-08.03'!E:E,B12)</f>
        <v>0</v>
      </c>
      <c r="T12" s="42">
        <f ca="1">SUMIFS('Отчет 02-08.03'!P:P,'Отчет 02-08.03'!C:C,"Возвраты",'Отчет 02-08.03'!E:E,B12)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02-08.03'!P:P,'Отчет 02-08.03'!C:C,"Вознаграждение Ozon",'Отчет 02-08.03'!E:E,B12)</f>
        <v>0</v>
      </c>
      <c r="Y12" s="45">
        <f t="shared" ca="1" si="5"/>
        <v>0</v>
      </c>
      <c r="Z12" s="42">
        <f ca="1">-SUMIFS('Отчет 02-08.03'!P:P,'Отчет 02-08.03'!C:C,"Услуги доставки",'Отчет 02-08.03'!E:E,B12)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21"/>
        <v>#DIV/0!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 t="e">
        <f t="array" aca="1" ref="AL12" ca="1">_xlfn.IFS(R12=0,AE12,R12&lt;0,AE12/-R12,R12&gt;0,AE12/R12)</f>
        <v>#DIV/0!</v>
      </c>
      <c r="AM12" s="50">
        <f t="shared" ca="1" si="27"/>
        <v>0</v>
      </c>
      <c r="AN12" s="51" t="e">
        <f t="shared" ca="1" si="28"/>
        <v>#DIV/0!</v>
      </c>
      <c r="AP12" s="53" t="e">
        <f t="shared" ca="1" si="29"/>
        <v>#DIV/0!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02-08.03'!H:H,'Отчет 02-08.03'!D:D,"Выручка",'Отчет 02-08.03'!E:E,B13)</f>
        <v>0</v>
      </c>
      <c r="Q13" s="39">
        <f ca="1">SUMIFS('Отчет 02-08.03'!H:H,'Отчет 02-08.03'!D:D,"Возврат выручки",'Отчет 02-08.03'!E:E,B13)</f>
        <v>0</v>
      </c>
      <c r="R13" s="40">
        <f t="shared" ca="1" si="18"/>
        <v>0</v>
      </c>
      <c r="S13" s="41">
        <f ca="1">SUMIFS('Отчет 02-08.03'!P:P,'Отчет 02-08.03'!C:C,"Продажи",'Отчет 02-08.03'!E:E,B13)</f>
        <v>0</v>
      </c>
      <c r="T13" s="42">
        <f ca="1">SUMIFS('Отчет 02-08.03'!P:P,'Отчет 02-08.03'!C:C,"Возвраты",'Отчет 02-08.03'!E:E,B13)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02-08.03'!P:P,'Отчет 02-08.03'!C:C,"Вознаграждение Ozon",'Отчет 02-08.03'!E:E,B13)</f>
        <v>0</v>
      </c>
      <c r="Y13" s="45">
        <f t="shared" ca="1" si="5"/>
        <v>0</v>
      </c>
      <c r="Z13" s="42">
        <f ca="1">-SUMIFS('Отчет 02-08.03'!P:P,'Отчет 02-08.03'!C:C,"Услуги доставки",'Отчет 02-08.03'!E:E,B13)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21"/>
        <v>#DIV/0!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 t="e">
        <f t="array" aca="1" ref="AL13" ca="1">_xlfn.IFS(R13=0,AE13,R13&lt;0,AE13/-R13,R13&gt;0,AE13/R13)</f>
        <v>#DIV/0!</v>
      </c>
      <c r="AM13" s="50">
        <f t="shared" ca="1" si="27"/>
        <v>0</v>
      </c>
      <c r="AN13" s="51" t="e">
        <f t="shared" ca="1" si="28"/>
        <v>#DIV/0!</v>
      </c>
      <c r="AP13" s="53" t="e">
        <f t="shared" ca="1" si="29"/>
        <v>#DIV/0!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02-08.03'!H:H,'Отчет 02-08.03'!D:D,"Выручка",'Отчет 02-08.03'!E:E,B14)</f>
        <v>0</v>
      </c>
      <c r="Q14" s="39">
        <f ca="1">SUMIFS('Отчет 02-08.03'!H:H,'Отчет 02-08.03'!D:D,"Возврат выручки",'Отчет 02-08.03'!E:E,B14)</f>
        <v>0</v>
      </c>
      <c r="R14" s="40">
        <f t="shared" ca="1" si="18"/>
        <v>0</v>
      </c>
      <c r="S14" s="41">
        <f ca="1">SUMIFS('Отчет 02-08.03'!P:P,'Отчет 02-08.03'!C:C,"Продажи",'Отчет 02-08.03'!E:E,B14)</f>
        <v>0</v>
      </c>
      <c r="T14" s="42">
        <f ca="1">SUMIFS('Отчет 02-08.03'!P:P,'Отчет 02-08.03'!C:C,"Возвраты",'Отчет 02-08.03'!E:E,B14)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02-08.03'!P:P,'Отчет 02-08.03'!C:C,"Вознаграждение Ozon",'Отчет 02-08.03'!E:E,B14)</f>
        <v>0</v>
      </c>
      <c r="Y14" s="45">
        <f t="shared" ca="1" si="5"/>
        <v>0</v>
      </c>
      <c r="Z14" s="42">
        <f ca="1">-SUMIFS('Отчет 02-08.03'!P:P,'Отчет 02-08.03'!C:C,"Услуги доставки",'Отчет 02-08.03'!E:E,B14)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21"/>
        <v>#DIV/0!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 t="e">
        <f t="array" aca="1" ref="AL14" ca="1">_xlfn.IFS(R14=0,AE14,R14&lt;0,AE14/-R14,R14&gt;0,AE14/R14)</f>
        <v>#DIV/0!</v>
      </c>
      <c r="AM14" s="50">
        <f t="shared" ca="1" si="27"/>
        <v>0</v>
      </c>
      <c r="AN14" s="51" t="e">
        <f t="shared" ca="1" si="28"/>
        <v>#DIV/0!</v>
      </c>
      <c r="AP14" s="53" t="e">
        <f t="shared" ca="1" si="29"/>
        <v>#DIV/0!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02-08.03'!H:H,'Отчет 02-08.03'!D:D,"Выручка",'Отчет 02-08.03'!E:E,B15)</f>
        <v>0</v>
      </c>
      <c r="Q15" s="39">
        <f ca="1">SUMIFS('Отчет 02-08.03'!H:H,'Отчет 02-08.03'!D:D,"Возврат выручки",'Отчет 02-08.03'!E:E,B15)</f>
        <v>0</v>
      </c>
      <c r="R15" s="40">
        <f t="shared" ca="1" si="18"/>
        <v>0</v>
      </c>
      <c r="S15" s="41">
        <f ca="1">SUMIFS('Отчет 02-08.03'!P:P,'Отчет 02-08.03'!C:C,"Продажи",'Отчет 02-08.03'!E:E,B15)</f>
        <v>0</v>
      </c>
      <c r="T15" s="42">
        <f ca="1">SUMIFS('Отчет 02-08.03'!P:P,'Отчет 02-08.03'!C:C,"Возвраты",'Отчет 02-08.03'!E:E,B15)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02-08.03'!P:P,'Отчет 02-08.03'!C:C,"Вознаграждение Ozon",'Отчет 02-08.03'!E:E,B15)</f>
        <v>0</v>
      </c>
      <c r="Y15" s="45">
        <f t="shared" ca="1" si="5"/>
        <v>0</v>
      </c>
      <c r="Z15" s="42">
        <f ca="1">-SUMIFS('Отчет 02-08.03'!P:P,'Отчет 02-08.03'!C:C,"Услуги доставки",'Отчет 02-08.03'!E:E,B15)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21"/>
        <v>#DIV/0!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 t="e">
        <f t="array" aca="1" ref="AL15" ca="1">_xlfn.IFS(R15=0,AE15,R15&lt;0,AE15/-R15,R15&gt;0,AE15/R15)</f>
        <v>#DIV/0!</v>
      </c>
      <c r="AM15" s="50">
        <f t="shared" ca="1" si="27"/>
        <v>0</v>
      </c>
      <c r="AN15" s="51" t="e">
        <f t="shared" ca="1" si="28"/>
        <v>#DIV/0!</v>
      </c>
      <c r="AP15" s="53" t="e">
        <f t="shared" ca="1" si="29"/>
        <v>#DIV/0!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02-08.03'!H:H,'Отчет 02-08.03'!D:D,"Выручка",'Отчет 02-08.03'!E:E,B16)</f>
        <v>0</v>
      </c>
      <c r="Q16" s="39">
        <f ca="1">SUMIFS('Отчет 02-08.03'!H:H,'Отчет 02-08.03'!D:D,"Возврат выручки",'Отчет 02-08.03'!E:E,B16)</f>
        <v>0</v>
      </c>
      <c r="R16" s="40">
        <f t="shared" ca="1" si="18"/>
        <v>0</v>
      </c>
      <c r="S16" s="41">
        <f ca="1">SUMIFS('Отчет 02-08.03'!P:P,'Отчет 02-08.03'!C:C,"Продажи",'Отчет 02-08.03'!E:E,B16)</f>
        <v>0</v>
      </c>
      <c r="T16" s="42">
        <f ca="1">SUMIFS('Отчет 02-08.03'!P:P,'Отчет 02-08.03'!C:C,"Возвраты",'Отчет 02-08.03'!E:E,B16)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02-08.03'!P:P,'Отчет 02-08.03'!C:C,"Вознаграждение Ozon",'Отчет 02-08.03'!E:E,B16)</f>
        <v>0</v>
      </c>
      <c r="Y16" s="45">
        <f t="shared" ca="1" si="5"/>
        <v>0</v>
      </c>
      <c r="Z16" s="42">
        <f ca="1">-SUMIFS('Отчет 02-08.03'!P:P,'Отчет 02-08.03'!C:C,"Услуги доставки",'Отчет 02-08.03'!E:E,B16)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21"/>
        <v>#DIV/0!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 t="e">
        <f t="array" aca="1" ref="AL16" ca="1">_xlfn.IFS(R16=0,AE16,R16&lt;0,AE16/-R16,R16&gt;0,AE16/R16)</f>
        <v>#DIV/0!</v>
      </c>
      <c r="AM16" s="50">
        <f t="shared" ca="1" si="27"/>
        <v>0</v>
      </c>
      <c r="AN16" s="51" t="e">
        <f t="shared" ca="1" si="28"/>
        <v>#DIV/0!</v>
      </c>
      <c r="AP16" s="53" t="e">
        <f t="shared" ca="1" si="29"/>
        <v>#DIV/0!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 t="e">
        <f ca="1">SUM(AD3:AD16)</f>
        <v>#DIV/0!</v>
      </c>
      <c r="AE18" s="74" t="e">
        <f ca="1">SUM(AE3:AE16)</f>
        <v>#DIV/0!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 t="e">
        <f ca="1">SUM(AP3:AP16)</f>
        <v>#DIV/0!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 t="e">
        <f ca="1">AD18+AD22</f>
        <v>#DIV/0!</v>
      </c>
      <c r="AE24" s="126" t="e">
        <f ca="1">AE18+AE22</f>
        <v>#DIV/0!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 t="e">
        <f ca="1">SUM(AP3:AP20)</f>
        <v>#DIV/0!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1"/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1"/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 t="e">
        <f ca="1">AP24-K31-K33</f>
        <v>#DIV/0!</v>
      </c>
      <c r="L32" s="161" t="e">
        <f ca="1"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28 V30:V1048576">
    <cfRule type="cellIs" dxfId="20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X10" sqref="X1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2687</v>
      </c>
      <c r="C1" s="3"/>
      <c r="D1" s="4"/>
      <c r="E1" s="4"/>
      <c r="F1" s="4"/>
      <c r="G1" s="4"/>
      <c r="I1" s="327"/>
      <c r="J1" s="328"/>
      <c r="K1" s="329"/>
      <c r="N1" s="327" t="s">
        <v>2685</v>
      </c>
      <c r="O1" s="328">
        <v>1</v>
      </c>
      <c r="P1" s="329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>
        <f>12549+91</f>
        <v>12640</v>
      </c>
      <c r="AE1" s="273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331">
        <v>150</v>
      </c>
      <c r="AB26" s="141"/>
      <c r="AC26" s="6"/>
      <c r="AD26" s="330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331">
        <v>1464</v>
      </c>
      <c r="AB27" s="141"/>
      <c r="AC27" s="6"/>
      <c r="AD27" s="330" t="s">
        <v>2503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AE29" sqref="AE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90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82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8" t="s">
        <v>17</v>
      </c>
      <c r="T2" s="13" t="s">
        <v>18</v>
      </c>
      <c r="U2" s="283" t="s">
        <v>19</v>
      </c>
      <c r="V2" s="20" t="s">
        <v>20</v>
      </c>
      <c r="W2" s="21" t="s">
        <v>21</v>
      </c>
      <c r="X2" s="280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9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77">
        <f t="shared" ref="R3:R7" si="3">P3-Q3</f>
        <v>13</v>
      </c>
      <c r="S3" s="279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84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81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81">
        <f>'Юнит 01.02'!Z3+'Юнит 02-08.02'!Z3+'Юнит 09-15.02'!Z3+'Юнит 16-22.02'!Z3+'Юнит 23-28.02'!Z3</f>
        <v>3642.16</v>
      </c>
      <c r="AA3" s="281">
        <f>'Юнит 01.02'!AA3+'Юнит 02-08.02'!AA3+'Юнит 09-15.02'!AA3+'Юнит 16-22.02'!AA3+'Юнит 23-28.02'!AA3</f>
        <v>7624.5466740000002</v>
      </c>
      <c r="AB3" s="281">
        <f>'Юнит 01.02'!AB3+'Юнит 02-08.02'!AB3+'Юнит 09-15.02'!AB3+'Юнит 16-22.02'!AB3+'Юнит 23-28.02'!AB3</f>
        <v>0</v>
      </c>
      <c r="AC3" s="281">
        <f>'Юнит 01.02'!AC3+'Юнит 02-08.02'!AC3+'Юнит 09-15.02'!AC3+'Юнит 16-22.02'!AC3+'Юнит 23-28.02'!AC3</f>
        <v>0</v>
      </c>
      <c r="AD3" s="281">
        <f>'Юнит 01.02'!AD3+'Юнит 02-08.02'!AD3+'Юнит 09-15.02'!AD3+'Юнит 16-22.02'!AD3+'Юнит 23-28.02'!AD3</f>
        <v>129.22262607388922</v>
      </c>
      <c r="AE3" s="47">
        <f t="shared" ref="AE3:AE7" si="8">U3-W3-X3-Z3-AA3-AB3-AC3-AD3</f>
        <v>4044.8306999261126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311.14082307123942</v>
      </c>
      <c r="AM3" s="50">
        <f t="shared" ref="AM3:AM7" si="14">IF(AG3=0,0,AL3/AG3)</f>
        <v>0.13327284019525906</v>
      </c>
      <c r="AN3" s="51">
        <f t="shared" ref="AN3:AN7" si="15">IF(AH3=0,0,AL3/AH3)</f>
        <v>2.176114303197926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77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84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55">
        <f>'Юнит 01.02'!AD4+'Юнит 02-08.02'!AD4+'Юнит 09-15.02'!AD4+'Юнит 16-22.02'!AD4+'Юнит 23-28.02'!AD4</f>
        <v>149.36725634235898</v>
      </c>
      <c r="AE4" s="47">
        <f t="shared" si="8"/>
        <v>7970.4739776576371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498.15462360360232</v>
      </c>
      <c r="AM4" s="50">
        <f t="shared" si="14"/>
        <v>0.22607425623036184</v>
      </c>
      <c r="AN4" s="51">
        <f t="shared" si="15"/>
        <v>4.0470763149208082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77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84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55">
        <f>'Юнит 01.02'!AD5+'Юнит 02-08.02'!AD5+'Юнит 09-15.02'!AD5+'Юнит 16-22.02'!AD5+'Юнит 23-28.02'!AD5</f>
        <v>114.2771297881732</v>
      </c>
      <c r="AE5" s="47">
        <f t="shared" si="8"/>
        <v>3538.1107512118256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294.84256260098545</v>
      </c>
      <c r="AM5" s="50">
        <f t="shared" si="14"/>
        <v>0.13226582247520843</v>
      </c>
      <c r="AN5" s="51">
        <f t="shared" si="15"/>
        <v>2.3953413161181691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77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84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55">
        <f>'Юнит 01.02'!AD6+'Юнит 02-08.02'!AD6+'Юнит 09-15.02'!AD6+'Юнит 16-22.02'!AD6+'Юнит 23-28.02'!AD6</f>
        <v>270.34505105895448</v>
      </c>
      <c r="AE6" s="47">
        <f t="shared" si="8"/>
        <v>15500.323153941046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534.49390186003609</v>
      </c>
      <c r="AM6" s="50">
        <f t="shared" si="14"/>
        <v>0.24352432292130471</v>
      </c>
      <c r="AN6" s="51">
        <f t="shared" si="15"/>
        <v>4.3423015830695917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77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84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55">
        <f>'Юнит 01.02'!AD7+'Юнит 02-08.02'!AD7+'Юнит 09-15.02'!AD7+'Юнит 16-22.02'!AD7+'Юнит 23-28.02'!AD7</f>
        <v>613.50245328916913</v>
      </c>
      <c r="AE7" s="47">
        <f t="shared" si="8"/>
        <v>17588.554565710852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274.82116508923207</v>
      </c>
      <c r="AM7" s="50">
        <f t="shared" si="14"/>
        <v>0.12325200811267276</v>
      </c>
      <c r="AN7" s="51">
        <f t="shared" si="15"/>
        <v>2.344090456237053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77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84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55">
        <f>'Юнит 01.02'!AD8+'Юнит 02-08.02'!AD8+'Юнит 09-15.02'!AD8+'Юнит 16-22.02'!AD8+'Юнит 23-28.02'!AD8</f>
        <v>544.61876415927145</v>
      </c>
      <c r="AE8" s="47">
        <f>U8-W8-X8-Z8-AA8-AB8-AC8-AD8</f>
        <v>27510.867615840762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474.32530372139246</v>
      </c>
      <c r="AM8" s="50">
        <f>IF(AG8=0,0,AL8/AG8)</f>
        <v>0.21260330460464261</v>
      </c>
      <c r="AN8" s="51">
        <f>IF(AH8=0,0,AL8/AH8)</f>
        <v>2.7919554047995319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7">K9/7</f>
        <v>0</v>
      </c>
      <c r="O9" s="38">
        <f t="shared" ref="O9:O16" si="18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77">
        <f t="shared" ref="R9:R16" si="19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84">
        <f t="shared" ref="U9:U16" si="20">S9+T9</f>
        <v>33624</v>
      </c>
      <c r="V9" s="43">
        <f t="shared" si="5"/>
        <v>2.7804239104548701E-2</v>
      </c>
      <c r="W9" s="44">
        <f t="shared" ref="W9:W16" si="21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55">
        <f>'Юнит 01.02'!AD9+'Юнит 02-08.02'!AD9+'Юнит 09-15.02'!AD9+'Юнит 16-22.02'!AD9+'Юнит 23-28.02'!AD9</f>
        <v>144.60673349137497</v>
      </c>
      <c r="AE9" s="47">
        <f t="shared" ref="AE9:AE16" si="22">U9-W9-X9-Z9-AA9-AB9-AC9-AD9</f>
        <v>4092.0660465086239</v>
      </c>
      <c r="AF9" s="46"/>
      <c r="AG9" s="48">
        <f t="shared" ref="AG9:AG16" si="23">IF(R9=0,0,U9/R9)</f>
        <v>2241.6</v>
      </c>
      <c r="AH9" s="49">
        <f t="shared" ref="AH9:AH16" si="24">H9</f>
        <v>123</v>
      </c>
      <c r="AI9" s="49">
        <f t="shared" ref="AI9:AI16" si="25">IF(R9=0,0,X9/R9)</f>
        <v>963.88800000000003</v>
      </c>
      <c r="AJ9" s="49">
        <f t="shared" ref="AJ9:AJ16" si="26">IF(P9=0,Z9/1,Z9/P9)</f>
        <v>287.66222222222228</v>
      </c>
      <c r="AK9" s="49">
        <f t="shared" ref="AK9:AK16" si="27">IF(P9=0,0,AA9/P9)</f>
        <v>439.22706777777773</v>
      </c>
      <c r="AL9" s="49">
        <f t="array" ref="AL9">_xlfn.IFS(R9=0,AE9,R9&lt;0,AE9/-R9,R9&gt;0,AE9/R9)</f>
        <v>272.80440310057492</v>
      </c>
      <c r="AM9" s="50">
        <f t="shared" ref="AM9:AM16" si="28">IF(AG9=0,0,AL9/AG9)</f>
        <v>0.12170075084786533</v>
      </c>
      <c r="AN9" s="51">
        <f t="shared" ref="AN9:AN16" si="29">IF(AH9=0,0,AL9/AH9)</f>
        <v>2.2179219764274385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7"/>
        <v>0</v>
      </c>
      <c r="O10" s="38">
        <f t="shared" si="18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77">
        <f t="shared" si="19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84">
        <f t="shared" si="20"/>
        <v>60184</v>
      </c>
      <c r="V10" s="43">
        <f t="shared" si="5"/>
        <v>4.9767140324415864E-2</v>
      </c>
      <c r="W10" s="44">
        <f t="shared" si="21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55">
        <f>'Юнит 01.02'!AD10+'Юнит 02-08.02'!AD10+'Юнит 09-15.02'!AD10+'Юнит 16-22.02'!AD10+'Юнит 23-28.02'!AD10</f>
        <v>255.10240477811223</v>
      </c>
      <c r="AE10" s="47">
        <f t="shared" si="22"/>
        <v>14360.069532221889</v>
      </c>
      <c r="AF10" s="46"/>
      <c r="AG10" s="48">
        <f t="shared" si="23"/>
        <v>2149.4285714285716</v>
      </c>
      <c r="AH10" s="49">
        <f t="shared" si="24"/>
        <v>123</v>
      </c>
      <c r="AI10" s="49">
        <f t="shared" si="25"/>
        <v>924.25428571428563</v>
      </c>
      <c r="AJ10" s="49">
        <f t="shared" si="26"/>
        <v>202.49250000000004</v>
      </c>
      <c r="AK10" s="49">
        <f t="shared" si="27"/>
        <v>377.7113593928571</v>
      </c>
      <c r="AL10" s="49">
        <f t="array" ref="AL10">_xlfn.IFS(R10=0,AE10,R10&lt;0,AE10/-R10,R10&gt;0,AE10/R10)</f>
        <v>512.85962615078176</v>
      </c>
      <c r="AM10" s="50">
        <f t="shared" si="28"/>
        <v>0.23860277702083424</v>
      </c>
      <c r="AN10" s="51">
        <f t="shared" si="29"/>
        <v>4.1695904565104209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7"/>
        <v>0</v>
      </c>
      <c r="O11" s="38">
        <f t="shared" si="18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77">
        <f t="shared" si="19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84">
        <f t="shared" si="20"/>
        <v>223470.00000000003</v>
      </c>
      <c r="V11" s="43">
        <f t="shared" si="5"/>
        <v>0.18479102167182665</v>
      </c>
      <c r="W11" s="44">
        <f t="shared" si="21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55">
        <f>'Юнит 01.02'!AD11+'Юнит 02-08.02'!AD11+'Юнит 09-15.02'!AD11+'Юнит 16-22.02'!AD11+'Юнит 23-28.02'!AD11</f>
        <v>937.46643907110069</v>
      </c>
      <c r="AE11" s="47">
        <f t="shared" si="22"/>
        <v>46628.355243928941</v>
      </c>
      <c r="AF11" s="46"/>
      <c r="AG11" s="48">
        <f t="shared" si="23"/>
        <v>2128.2857142857147</v>
      </c>
      <c r="AH11" s="49">
        <f t="shared" si="24"/>
        <v>123</v>
      </c>
      <c r="AI11" s="49">
        <f t="shared" si="25"/>
        <v>915.16285714285709</v>
      </c>
      <c r="AJ11" s="49">
        <f t="shared" si="26"/>
        <v>195.47366972477059</v>
      </c>
      <c r="AK11" s="49">
        <f t="shared" si="27"/>
        <v>418.26099373394499</v>
      </c>
      <c r="AL11" s="49">
        <f t="array" ref="AL11">_xlfn.IFS(R11=0,AE11,R11&lt;0,AE11/-R11,R11&gt;0,AE11/R11)</f>
        <v>444.07957375170423</v>
      </c>
      <c r="AM11" s="50">
        <f t="shared" si="28"/>
        <v>0.20865599518471803</v>
      </c>
      <c r="AN11" s="51">
        <f t="shared" si="29"/>
        <v>3.6104030386317416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7"/>
        <v>0</v>
      </c>
      <c r="O12" s="38">
        <f t="shared" si="18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77">
        <f t="shared" si="19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84">
        <f t="shared" si="20"/>
        <v>54824</v>
      </c>
      <c r="V12" s="43">
        <f t="shared" si="5"/>
        <v>4.533486809028605E-2</v>
      </c>
      <c r="W12" s="44">
        <f t="shared" si="21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55">
        <f>'Юнит 01.02'!AD12+'Юнит 02-08.02'!AD12+'Юнит 09-15.02'!AD12+'Юнит 16-22.02'!AD12+'Юнит 23-28.02'!AD12</f>
        <v>233.76536891662786</v>
      </c>
      <c r="AE12" s="47">
        <f t="shared" si="22"/>
        <v>4064.9458550833747</v>
      </c>
      <c r="AF12" s="46"/>
      <c r="AG12" s="48">
        <f t="shared" si="23"/>
        <v>2284.3333333333335</v>
      </c>
      <c r="AH12" s="49">
        <f t="shared" si="24"/>
        <v>117</v>
      </c>
      <c r="AI12" s="49">
        <f t="shared" si="25"/>
        <v>982.26333333333332</v>
      </c>
      <c r="AJ12" s="49">
        <f t="shared" si="26"/>
        <v>229.47000000000003</v>
      </c>
      <c r="AK12" s="49">
        <f t="shared" si="27"/>
        <v>776.48703233333333</v>
      </c>
      <c r="AL12" s="49">
        <f t="array" ref="AL12">_xlfn.IFS(R12=0,AE12,R12&lt;0,AE12/-R12,R12&gt;0,AE12/R12)</f>
        <v>169.37274396180729</v>
      </c>
      <c r="AM12" s="50">
        <f t="shared" si="28"/>
        <v>7.4145371645326405E-2</v>
      </c>
      <c r="AN12" s="51">
        <f t="shared" si="29"/>
        <v>1.4476302902718572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7"/>
        <v>0</v>
      </c>
      <c r="O13" s="38">
        <f t="shared" si="18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77">
        <f t="shared" si="19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84">
        <f t="shared" si="20"/>
        <v>84912.000000000015</v>
      </c>
      <c r="V13" s="43">
        <f t="shared" si="5"/>
        <v>7.021513058664762E-2</v>
      </c>
      <c r="W13" s="44">
        <f t="shared" si="21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55">
        <f>'Юнит 01.02'!AD13+'Юнит 02-08.02'!AD13+'Юнит 09-15.02'!AD13+'Юнит 16-22.02'!AD13+'Юнит 23-28.02'!AD13</f>
        <v>364.83371337675692</v>
      </c>
      <c r="AE13" s="47">
        <f t="shared" si="22"/>
        <v>13248.860262623253</v>
      </c>
      <c r="AF13" s="46"/>
      <c r="AG13" s="48">
        <f t="shared" si="23"/>
        <v>2294.9189189189192</v>
      </c>
      <c r="AH13" s="49">
        <f t="shared" si="24"/>
        <v>123</v>
      </c>
      <c r="AI13" s="49">
        <f t="shared" si="25"/>
        <v>986.81513513513528</v>
      </c>
      <c r="AJ13" s="49">
        <f t="shared" si="26"/>
        <v>254.61076923076928</v>
      </c>
      <c r="AK13" s="49">
        <f t="shared" si="27"/>
        <v>520.64938523076933</v>
      </c>
      <c r="AL13" s="49">
        <f t="array" ref="AL13">_xlfn.IFS(R13=0,AE13,R13&lt;0,AE13/-R13,R13&gt;0,AE13/R13)</f>
        <v>358.07730439522305</v>
      </c>
      <c r="AM13" s="50">
        <f t="shared" si="28"/>
        <v>0.15603048170603981</v>
      </c>
      <c r="AN13" s="51">
        <f t="shared" si="29"/>
        <v>2.9111975967091306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7"/>
        <v>0</v>
      </c>
      <c r="O14" s="38">
        <f t="shared" si="18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77">
        <f t="shared" si="19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84">
        <f t="shared" si="20"/>
        <v>47880</v>
      </c>
      <c r="V14" s="43">
        <f t="shared" si="5"/>
        <v>3.9592760180995473E-2</v>
      </c>
      <c r="W14" s="44">
        <f t="shared" si="21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55">
        <f>'Юнит 01.02'!AD14+'Юнит 02-08.02'!AD14+'Юнит 09-15.02'!AD14+'Юнит 16-22.02'!AD14+'Юнит 23-28.02'!AD14</f>
        <v>203.00061366721781</v>
      </c>
      <c r="AE14" s="47">
        <f t="shared" si="22"/>
        <v>9305.910509332778</v>
      </c>
      <c r="AG14" s="48">
        <f t="shared" si="23"/>
        <v>2176.3636363636365</v>
      </c>
      <c r="AH14" s="49">
        <f t="shared" si="24"/>
        <v>123</v>
      </c>
      <c r="AI14" s="49">
        <f t="shared" si="25"/>
        <v>935.83636363636367</v>
      </c>
      <c r="AJ14" s="49">
        <f t="shared" si="26"/>
        <v>176.55478260869566</v>
      </c>
      <c r="AK14" s="49">
        <f t="shared" si="27"/>
        <v>478.95342943478261</v>
      </c>
      <c r="AL14" s="49">
        <f t="array" ref="AL14">_xlfn.IFS(R14=0,AE14,R14&lt;0,AE14/-R14,R14&gt;0,AE14/R14)</f>
        <v>422.99593224239902</v>
      </c>
      <c r="AM14" s="50">
        <f t="shared" si="28"/>
        <v>0.19435903319408476</v>
      </c>
      <c r="AN14" s="51">
        <f t="shared" si="29"/>
        <v>3.4389913190438945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7"/>
        <v>0</v>
      </c>
      <c r="O15" s="38">
        <f t="shared" si="18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77">
        <f t="shared" si="19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84">
        <f t="shared" si="20"/>
        <v>195684</v>
      </c>
      <c r="V15" s="43">
        <f>U15/$U$24</f>
        <v>0.16181432087004843</v>
      </c>
      <c r="W15" s="44">
        <f t="shared" si="21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55">
        <f>'Юнит 01.02'!AD15+'Юнит 02-08.02'!AD15+'Юнит 09-15.02'!AD15+'Юнит 16-22.02'!AD15+'Юнит 23-28.02'!AD15</f>
        <v>812.39949094184021</v>
      </c>
      <c r="AE15" s="47">
        <f t="shared" si="22"/>
        <v>42824.912276058167</v>
      </c>
      <c r="AF15" s="46"/>
      <c r="AG15" s="48">
        <f t="shared" si="23"/>
        <v>2150.3736263736264</v>
      </c>
      <c r="AH15" s="49">
        <f t="shared" si="24"/>
        <v>123</v>
      </c>
      <c r="AI15" s="49">
        <f t="shared" si="25"/>
        <v>924.66065934065932</v>
      </c>
      <c r="AJ15" s="49">
        <f t="shared" si="26"/>
        <v>196.45814432989687</v>
      </c>
      <c r="AK15" s="49">
        <f t="shared" si="27"/>
        <v>388.17657972164943</v>
      </c>
      <c r="AL15" s="49">
        <f t="array" ref="AL15">_xlfn.IFS(R15=0,AE15,R15&lt;0,AE15/-R15,R15&gt;0,AE15/R15)</f>
        <v>470.60343160503481</v>
      </c>
      <c r="AM15" s="50">
        <f t="shared" si="28"/>
        <v>0.21884728580802809</v>
      </c>
      <c r="AN15" s="51">
        <f t="shared" si="29"/>
        <v>3.826044159390527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7"/>
        <v>0</v>
      </c>
      <c r="O16" s="38">
        <f t="shared" si="18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77">
        <f t="shared" si="19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84">
        <f t="shared" si="20"/>
        <v>80624</v>
      </c>
      <c r="V16" s="43">
        <f>U16/$U$24</f>
        <v>6.6669312799343752E-2</v>
      </c>
      <c r="W16" s="44">
        <f t="shared" si="21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55">
        <f>'Юнит 01.02'!AD16+'Юнит 02-08.02'!AD16+'Юнит 09-15.02'!AD16+'Юнит 16-22.02'!AD16+'Юнит 23-28.02'!AD16</f>
        <v>346.18195504515307</v>
      </c>
      <c r="AE16" s="47">
        <f t="shared" si="22"/>
        <v>14713.909260954848</v>
      </c>
      <c r="AF16" s="46"/>
      <c r="AG16" s="48">
        <f t="shared" si="23"/>
        <v>2303.542857142857</v>
      </c>
      <c r="AH16" s="49">
        <f t="shared" si="24"/>
        <v>117</v>
      </c>
      <c r="AI16" s="49">
        <f t="shared" si="25"/>
        <v>990.52342857142855</v>
      </c>
      <c r="AJ16" s="49">
        <f t="shared" si="26"/>
        <v>207.52108108108109</v>
      </c>
      <c r="AK16" s="49">
        <f t="shared" si="27"/>
        <v>516.81915632432435</v>
      </c>
      <c r="AL16" s="49">
        <f t="array" ref="AL16">_xlfn.IFS(R16=0,AE16,R16&lt;0,AE16/-R16,R16&gt;0,AE16/R16)</f>
        <v>420.39740745585277</v>
      </c>
      <c r="AM16" s="50">
        <f t="shared" si="28"/>
        <v>0.18250036293107322</v>
      </c>
      <c r="AN16" s="51">
        <f t="shared" si="29"/>
        <v>3.5931402346654084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84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2219.0921477654897</v>
      </c>
      <c r="AH17" s="58">
        <f t="shared" si="31"/>
        <v>127.26</v>
      </c>
      <c r="AI17" s="58">
        <f t="shared" si="31"/>
        <v>954.20962353916059</v>
      </c>
      <c r="AJ17" s="58">
        <f t="shared" si="31"/>
        <v>204.62106644910321</v>
      </c>
      <c r="AK17" s="58">
        <f t="shared" si="31"/>
        <v>489.59195275482114</v>
      </c>
      <c r="AL17" s="58">
        <f t="shared" si="31"/>
        <v>387.58241501184716</v>
      </c>
      <c r="AM17" s="59">
        <f t="shared" si="31"/>
        <v>0.17564109614971896</v>
      </c>
      <c r="AN17" s="59">
        <f t="shared" si="31"/>
        <v>3.0552814011790832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2">SUM(P3:P16)</f>
        <v>579</v>
      </c>
      <c r="Q18" s="64">
        <f t="shared" si="32"/>
        <v>30</v>
      </c>
      <c r="R18" s="64">
        <f t="shared" si="32"/>
        <v>549</v>
      </c>
      <c r="S18" s="70">
        <f t="shared" si="32"/>
        <v>1275436</v>
      </c>
      <c r="T18" s="64">
        <f t="shared" si="32"/>
        <v>-66124</v>
      </c>
      <c r="U18" s="285">
        <f t="shared" si="32"/>
        <v>1209312</v>
      </c>
      <c r="V18" s="71">
        <f t="shared" si="32"/>
        <v>1.0000000000000002</v>
      </c>
      <c r="W18" s="64">
        <f t="shared" si="32"/>
        <v>69788.850000000006</v>
      </c>
      <c r="X18" s="64">
        <f t="shared" si="32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5118.6899999999996</v>
      </c>
      <c r="AE18" s="74">
        <f>SUM(AE3:AE16)</f>
        <v>225392.18975100014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84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84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84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8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87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5">S18+S22</f>
        <v>1275436</v>
      </c>
      <c r="T24" s="118">
        <f t="shared" si="35"/>
        <v>-66124</v>
      </c>
      <c r="U24" s="121">
        <f t="shared" si="35"/>
        <v>1209312</v>
      </c>
      <c r="V24" s="122">
        <f t="shared" si="35"/>
        <v>1.0000000000000002</v>
      </c>
      <c r="W24" s="118">
        <f t="shared" si="35"/>
        <v>69788.850000000006</v>
      </c>
      <c r="X24" s="118">
        <f t="shared" si="35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5118.6899999999996</v>
      </c>
      <c r="AE24" s="126">
        <f>AE18+AE22</f>
        <v>225392.18975100014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8"/>
      <c r="X25" s="139"/>
      <c r="Z25" s="137"/>
      <c r="AA25" s="334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Сводная!Z31+Сводная!R31+Сводная!S31+Сводная!T31+Сводная!V31-Сводная!U31-Сводная!W31+(AA24-AA25)</f>
        <v>225392.18975099988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9"/>
      <c r="X26" s="144"/>
      <c r="Y26" s="135"/>
      <c r="Z26" s="145"/>
      <c r="AA26" s="335">
        <f>'Юнит 01.02'!AA26+'Юнит 02-08.02'!AA26+'Юнит 09-15.02'!AA26+'Юнит 16-22.02'!AA26+'Юнит 23-28.02'!AA26</f>
        <v>4200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9"/>
      <c r="X27" s="144"/>
      <c r="Y27" s="135"/>
      <c r="Z27" s="147"/>
      <c r="AA27" s="335">
        <f>'Юнит 01.02'!AA27+'Юнит 02-08.02'!AA27+'Юнит 09-15.02'!AA27+'Юнит 16-22.02'!AA27+'Юнит 23-28.02'!AA27</f>
        <v>2196</v>
      </c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9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6" sqref="I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2694</v>
      </c>
      <c r="C1" s="3"/>
      <c r="D1" s="4"/>
      <c r="E1" s="4"/>
      <c r="F1" s="4"/>
      <c r="G1" s="4"/>
      <c r="I1" s="327"/>
      <c r="J1" s="328"/>
      <c r="K1" s="329"/>
      <c r="N1" s="327" t="s">
        <v>2685</v>
      </c>
      <c r="O1" s="328">
        <v>7</v>
      </c>
      <c r="P1" s="329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/>
      <c r="AE1" s="273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40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40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40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40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40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40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40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40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40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40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40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40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40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40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64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96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1">
        <f>'Юнит 23-28.02'!AA26+'Юнит 01.03'!AA26</f>
        <v>1050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1">
        <f>'Юнит 23-28.02'!AA27+'Юнит 01.03'!AA27</f>
        <v>3660</v>
      </c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>
        <f>101799+873</f>
        <v>102672</v>
      </c>
      <c r="AE1" s="273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6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1">
        <f>150*6</f>
        <v>900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1">
        <v>2196</v>
      </c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1048576">
    <cfRule type="cellIs" dxfId="15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>
        <f>158948+1244</f>
        <v>160192</v>
      </c>
      <c r="AE1" s="273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332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3">
        <v>1050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3"/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>
        <f>116986+971</f>
        <v>117957</v>
      </c>
      <c r="AE1" s="273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332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3">
        <v>1050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1"/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>
        <f>117846+925</f>
        <v>118771</v>
      </c>
      <c r="AE1" s="273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332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3">
        <v>1050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1"/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7" t="s">
        <v>1351</v>
      </c>
      <c r="O1" s="238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1" t="s">
        <v>2026</v>
      </c>
      <c r="AB1" s="8"/>
      <c r="AC1" s="8"/>
      <c r="AD1" s="272">
        <f>12163+114</f>
        <v>12277</v>
      </c>
      <c r="AE1" s="273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31">
        <v>150</v>
      </c>
      <c r="AB26" s="141"/>
      <c r="AC26" s="6"/>
      <c r="AD26" s="330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31"/>
      <c r="AB27" s="141"/>
      <c r="AC27" s="6"/>
      <c r="AD27" s="330" t="s">
        <v>2503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S6" activePane="bottomRight" state="frozen"/>
      <selection pane="topRight" activeCell="C1" sqref="C1"/>
      <selection pane="bottomLeft" activeCell="A3" sqref="A3"/>
      <selection pane="bottomRight" activeCell="AE25" sqref="AE2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5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354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1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354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1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354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1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354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1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354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1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354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1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354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1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354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1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354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1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354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1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354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1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354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1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354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1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354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1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3">
        <f>AVERAGE(AR3:AR16)</f>
        <v>0.76142857142857168</v>
      </c>
      <c r="AS17" s="262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4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Сводная!Z22+Сводная!R22+Сводная!S22+Сводная!T22+Сводная!V22-Сводная!U22-Сводная!W22-(AA26-AA25)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28 V30:V1048576">
    <cfRule type="cellIs" dxfId="88" priority="21" operator="greaterThan">
      <formula>0.23</formula>
    </cfRule>
  </conditionalFormatting>
  <conditionalFormatting sqref="AM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dimension ref="A1"/>
  <sheetViews>
    <sheetView workbookViewId="0">
      <selection activeCell="G7" sqref="G7"/>
    </sheetView>
  </sheetViews>
  <sheetFormatPr defaultRowHeight="14.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2645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2645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2645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2645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2646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2646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2646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2646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2646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2647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2647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2647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2647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2647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2648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2649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2649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2649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2649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2649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2650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2650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2650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2650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2650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2651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2652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2653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2653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2654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2654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2654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2654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2654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2653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2653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2653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2655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2656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2656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2656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2656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2656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2656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2657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2657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2657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2657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2657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2337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2337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2337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2658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2658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2658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2658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2658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2659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2659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2659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2659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2659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2660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2660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2660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2660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2660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2661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2662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2662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2662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2662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2662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2662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2662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2663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2663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2663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2663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2663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2664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2664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2664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2664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2664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2664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2665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2665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2665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2665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2665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2665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2666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2666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2666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2666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2666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2666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2667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2667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2667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2667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2667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2667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2666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2667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2668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2669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2669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2669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2669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2670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2670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2670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2670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2670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2670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2671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2671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2671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2671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2671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2671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2672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2672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2672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2672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2672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2672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2671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2673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2673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2673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2673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2673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2673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2672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2674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2674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2674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2674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2674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2289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2289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2289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2675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1941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1941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1941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2676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2677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2677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2677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2677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2677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2677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2678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2677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2679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2679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2679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2679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2679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2679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2680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2680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2680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2680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2680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2680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2679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2679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2679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2679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2681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2514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2682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2683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2503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2464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2261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2267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2268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2265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2375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2375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2375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2375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2375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2376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2377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2377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2377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2377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2377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2376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2376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2378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2378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2378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2378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2379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2379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2379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2380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2380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2380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2381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2382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2383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2383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2383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2383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2383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2384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2384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2384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2384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2384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2385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2385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2385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2386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2386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2386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2386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2386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2386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2387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2387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2387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2387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2387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2387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2388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2388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2388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2388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2388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2388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2386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2387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2388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2389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2389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2389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2389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2389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2390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2390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2390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2390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2390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2391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2391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2391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2391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2391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2392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2392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2392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2392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2392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2393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2393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2393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2393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2393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2393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2394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2394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2394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2394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2394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2394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2393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2395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2395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2394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2395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2395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2395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2396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2396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2396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2396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2396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2396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2397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2397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2398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2398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2397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2397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2397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2398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2398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2398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2399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2399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2399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2399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2399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2399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2399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2400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2400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2401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2401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2401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2401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2401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2401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2400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2400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2400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2402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2402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2402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2402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2402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2402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2403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2403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2403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2403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2403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2403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2404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2404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2404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2404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2404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2404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2405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2405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2405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2405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2405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2405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2406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2406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2406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2406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2406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2407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2407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2407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2407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2407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2408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2408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2408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2408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2408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2408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2409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2409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2409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2409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2409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2410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2410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2410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2410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2410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2410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2411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2411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2411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2411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2411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2410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2412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2413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2413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2414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2414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2415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2415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2415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2415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2415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2415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2413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2413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2413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2414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2414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2414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2416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2416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1941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1941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1941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1941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2416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2416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2416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2417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2417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2417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2417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2417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2417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1829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2418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2418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2419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2419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2419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2419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2419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2419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2418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2418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2418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2419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2420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2420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2420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2420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2420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2420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2420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2421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2421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2421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2421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2421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2421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2421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2422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2422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2422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2422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2422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2422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2422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2423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2423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2423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2423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2423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2423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2234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2424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2268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2266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2261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2267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2260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2262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2263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2265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2264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2425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2425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2425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2425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2425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2426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2426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2426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2427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2427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2427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2427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2427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2428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2428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2428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2428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2428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2428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2429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2429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2429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2430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2430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2430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2430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2430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2431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2431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2431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2431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2431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2432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2433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2433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2433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2433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2433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2433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2433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2434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2434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2434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2434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2434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2434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2434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2435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2435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2435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2435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2435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2436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2436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2436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2436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2436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2436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2437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2436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2438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2438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2438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2438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2438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2439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2439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2439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2439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2439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2440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2440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2440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2440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2440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2440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2441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2441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2441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2441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2441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2441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2440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2442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2442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2442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2442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2442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2442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2443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2443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2443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2443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2443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2443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2443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2444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2444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2445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2445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2445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2445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2445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2445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2444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2444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2444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2446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2155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2155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2155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2447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2447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2447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2447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2447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2447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2448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2449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2449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2449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2449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2449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2447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2450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2450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2450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2450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2450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2450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2450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2451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2452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2452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2452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2452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2452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2452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2453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2453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2453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2453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2453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2453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2454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2454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2454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2454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2454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2454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2455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2455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2455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2455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2455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2455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2452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2456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2456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2456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2456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2456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2456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2453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2454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2457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2458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2458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2458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2458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2458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2458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2458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2459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2459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2459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2459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2459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2459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2460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2459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2461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2462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2462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2463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2463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2463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2462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2462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2462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2017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2017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2017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2464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2263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2265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2266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2260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2268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2262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2264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2261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2267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2465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2465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2465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2466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2466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2466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2466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2466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2467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2467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2467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2467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2467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2203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2203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2203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2468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2468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2468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2468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2468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2469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2470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2470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2470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2470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2470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2470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2471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2471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2472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2472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2472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2472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2472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2472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2471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2471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2472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2473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2474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2474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2475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2475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2476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2476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2475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2475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2475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2474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2474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2474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2476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2476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2476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2477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2477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2477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2477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2477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2477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2478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2478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2478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2478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2478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2478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2479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2479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2480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2480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2479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2479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2479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2480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2480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2478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2481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2289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2289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2289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2289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2289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2482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2482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2482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2483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2484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2484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2484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2484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2484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2485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2485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2485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2485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2485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2486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2487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2487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2487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2487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2487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2487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2488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2489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2489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2489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2489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2489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2489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2490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2490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2490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2490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2490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2490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2489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2491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2492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2492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2492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2492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2492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2493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2493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2493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2493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2493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2493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2494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2494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2494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2494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2494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2495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2495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2496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2496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2496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2496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2496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2496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2495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2495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2495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2496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2497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2497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2497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2497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2497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2497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2497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2498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2498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2498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2498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2498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2498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2499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2499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2499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2499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2499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2499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2500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2498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2499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2501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2501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2502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2502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2502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2502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2502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2502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2501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2501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2501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2499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2499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2499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2499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2502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2499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2503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2464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2268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2260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2265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2266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2261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2267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2504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2504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2505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2505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2505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2505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2504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2504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2504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2506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2506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2506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2506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2506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2507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2507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2507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2507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2507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2508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2508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2508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2509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2509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2509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2509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2509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2509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2509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2510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2510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2510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2510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2510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2511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2512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2512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2512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2512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2512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2513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2513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2513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2513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2513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2514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2337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2337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2337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2337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2515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2515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2515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2515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2515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2515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2337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2516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2516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2516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2516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2516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2517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2517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2517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2517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2517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2518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2518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2519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2519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2518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2518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2518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2519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2519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2519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2520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2520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2520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2520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2520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2521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2521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2521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2521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2521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2522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2522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2522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2522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2522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2522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2523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2523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2523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2523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2523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2523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2524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2524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2524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2524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2524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2524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2523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2525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2525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2525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2525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2525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2525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2525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2526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2526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2526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2527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2527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2527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2527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2527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2527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2528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2528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2528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2528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2528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2528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2529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2529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2529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2529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2529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2529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2530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2530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2530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2530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2530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2530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2527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2531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2531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2531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2531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2531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2530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2532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2533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2534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2535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2536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2537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2537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2537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2537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2537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2538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2538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2538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2538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2538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2538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2539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2539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2540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2540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2540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2540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2540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2540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2538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2539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2539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2539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2541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2541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2541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2541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2541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2541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2542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2542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2542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2542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2542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2542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2543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2543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2543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2543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2543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2543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2544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2544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2544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2544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2544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2544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2545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2545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2541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2546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2547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2548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2548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2548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2548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2548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2548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2545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2545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2545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2543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2548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2549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2549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2549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2550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2550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2550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2550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2550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2550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2551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2551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2551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2551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2551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2546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2552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2553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2553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2553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2554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2554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2553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2553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2554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2554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2554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2503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2464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2266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2261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2267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2260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2268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2265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2555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2555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2555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2555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2555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2556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2556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2557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2557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2558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2558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2558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2557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2557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2557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2558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2558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2559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2560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2560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2560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2560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2560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2561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2561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2561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2561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2561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2562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2340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2563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2563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2563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2563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2564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2564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2564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2564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2564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2565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2565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2565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2565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2565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2565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2566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2566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2566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2566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2566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2565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2567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2567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2567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2567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2568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2569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2569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2569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2569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2569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2569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2570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2570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2570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2570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2570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2571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2571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2571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2571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2571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2571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2569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2572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2572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2572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2572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2572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2572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2572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2573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2573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2573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2573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2573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2573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2573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2574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2574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2574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2574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2574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2574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2575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2575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2575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2575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2575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2575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2576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2576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2576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2576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2576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2575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2577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2577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2577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2577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2578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2579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2579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2579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2579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2579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2579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2579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2580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2580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2580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2580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2580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2581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2581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2581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2581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2581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2581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2578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2581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2582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2582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2582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2582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2582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2582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2583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2583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2583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2583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2583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2584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2584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2584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2584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2584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2584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2582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2584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2585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2585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2585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2585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2585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2585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2586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2587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2587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2587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2587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2587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2588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2587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2589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2589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2589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2589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2589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2590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2590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2590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2590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2590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2591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2591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2592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2592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2591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2591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2591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2593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2593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2593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2593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2593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2593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2592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2592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2592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2587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2587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2587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2587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2587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2594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2594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2594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2594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2594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2594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2595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2595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2595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2595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2595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2595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2596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2596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2596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2596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2596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2596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2595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2597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2597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2597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2597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2597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2597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2597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2598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2599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2599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2599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2599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2599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2600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2600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2600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2600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2600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2600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2601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2601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2601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2601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2601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2601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2600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2601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2602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2603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2604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2605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2605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2605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2605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2605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2503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2464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2268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2265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2261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2267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2606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2606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2606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2606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2607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2607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2607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2607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2607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1763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2608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2608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2608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2608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2608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2609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2609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2609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2609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2609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2610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2610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2610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2610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2610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2611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2611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2611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2611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2611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2612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2612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2612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2612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2612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2613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2614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2614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2614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2614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2614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2614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2614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2615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2615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2615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2615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2615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2615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2615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2616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2616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2616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2616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2616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2617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2617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2617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2617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2617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2617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2618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2618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2618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2618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2618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2618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2617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2618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2619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2619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2619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2619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2619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2620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2620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2620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2620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2620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2620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2621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2621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2621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2621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2621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2620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2622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2622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2622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2622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2622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2622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2623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2623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2623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2623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2623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2623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2622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2623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2624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2625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2625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2625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2625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2625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2625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1766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1766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1766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1766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2625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1766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2626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2627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2627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2627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2627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2627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2627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2628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2628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2628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2628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2628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2629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2630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2627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2631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2631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2631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2631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2631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2631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2631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2632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2633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2634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2634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2634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2634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2634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2634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2634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2635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2635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2635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2635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2635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2636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2636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2636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2636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2636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2636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2637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2637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2637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2637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2637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2638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2638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2638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2638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2638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2638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2639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2638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2640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2640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2640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2640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2641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2641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2641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2641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2641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2642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2552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2643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2643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2644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2644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2644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2644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2644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2643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2643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2643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2503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2464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2268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2267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2265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2261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2028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2028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2028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2028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2028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2029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2029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2030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2030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2030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2029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2029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2029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2030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2030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2031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2031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2031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2031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2031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1962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2032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2033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2033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2033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2033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2033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2034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2034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2034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2034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2034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2035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2035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2035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2035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2035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2035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2036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2035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2037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2037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2037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2037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2037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2037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2037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2038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2038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2038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2038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2038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2038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2039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2039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2039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2039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2039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2039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2040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2041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2041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2041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2041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2041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2041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2042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2042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2042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2042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2042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2041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2043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2043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2043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2043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2043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2043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2044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2044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2044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2044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2044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2044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2045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2045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2045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2045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2045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2046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2046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2046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2046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2046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2046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2047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2046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2048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2049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2049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2049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2049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2049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2050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2050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2050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2050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2050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2050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2051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2052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2052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2052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2052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2052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2052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2053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2053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2053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2053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2053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2053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1791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1791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1791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2054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2054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2054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2054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2054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2054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2052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2055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2055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2055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2055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2055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2055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1970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1970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1970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2056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2056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2056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2056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2056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2056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2057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2057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2057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2057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2057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2057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2058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2058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2058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2058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2058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2058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2059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2060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2060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2061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2061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2060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2060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2060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2062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2061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2061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2058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2057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2063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2063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2063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2063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2063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2063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2064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2064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2064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2064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2064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2065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2065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2065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2065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2065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2065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2066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2066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2066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2066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2066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2066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2063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2066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2067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2067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2067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2067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2067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2067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2067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2068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2068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2068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2068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2068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2068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1840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1840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1840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2069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2069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2069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2069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2069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2069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2069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2070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2070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2071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2071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2071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2071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2071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2070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2070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2070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2072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2073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2073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2073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2073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2073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2074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2074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2074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2074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2074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2075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2075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2075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2075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2075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2076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2076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2077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2077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2077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2077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2077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2076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2076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2076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2078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2078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2078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2078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2078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2078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2079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2079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2079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2079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2079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2079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2078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2080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2081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2082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2082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2082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2082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2082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2083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2083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2083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2084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2084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2084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2084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2084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2084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2085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2086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2086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2086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2086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2086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2087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2087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2087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2087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2087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2087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2088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2089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2089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2089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2089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2089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2089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2089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2090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2090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2090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2090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2090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2090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2091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2092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2093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2094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2093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2093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2093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2093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2093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2093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2095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2095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2013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2013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2013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2095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2095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2095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2096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2096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2096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2096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2096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2097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2094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2094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2094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2094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2094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2094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2098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2099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2099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2099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2099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2099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2099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2099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2100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2101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2089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2089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2089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2089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2102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2101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2101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2101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2101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2101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2101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2100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2100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2100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2100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2100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2100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2089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2103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2057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2057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2057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2057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2104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2103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2103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2103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2103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2103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2103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2104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2104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2104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2104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2104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2104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2057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2105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2105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2105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2105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2105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2105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2105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1988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2106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2107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2107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2107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2107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2107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2107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2108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2108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2108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2108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2108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2108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2107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2108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2109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2110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2110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2110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2110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2110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2111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2111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2112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2112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2111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2111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2111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2112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2112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2112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2113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2113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2114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2114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2114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2114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2115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2115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2115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2115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2115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2115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2116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2115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2117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2117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2117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2117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2117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2118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2119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2119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2119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2119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2119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2120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2120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2120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2120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2120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2120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2121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2121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2121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2121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2122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2122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2120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2122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2122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2122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2123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2123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2123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2123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2123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2124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2124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2124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2124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2124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2124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2049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2049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2049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2049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2006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2125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2126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2126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2126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2126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2126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2126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2127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2127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2127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2127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2127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2127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2016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2128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2128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2128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2128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2128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2128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2016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2126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2128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2129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2130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2130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2130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2130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2130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2130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2131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2131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2131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2131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2131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2130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2132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2133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2133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2134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2133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2133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2133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2135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2135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2135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2135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2135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2135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2135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2136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2136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2136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2136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2136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2136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2137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2137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2137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2137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2137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2136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2138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2138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2138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2138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2138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2139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2139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2139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2139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2139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2140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2140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2140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2140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2140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2140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2141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2141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2141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2141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2141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2141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2142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2142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2142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2142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2142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2142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2143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2143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2143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2143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2143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2143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2140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2143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2142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2144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2144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2145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2145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2144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2144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2144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2145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2145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2145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2146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2146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2146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2146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2146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2147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2148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2148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2148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2148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2148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2148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2149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2149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2149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2149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2149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2149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2150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2148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2151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2152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2152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2152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2152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2152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2152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2153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2153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2153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2153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2153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2153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2152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2154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2154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2154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2154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2154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2154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2155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2155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2155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2155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2155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2155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2156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2156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2156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2156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2156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2156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2155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2157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2158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2158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2158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2158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2158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2158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2159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2159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2159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2159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2159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2159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2160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2160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2160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2160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2160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2161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2161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2161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2161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2162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2089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2089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2089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2163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2163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2163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2163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2163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2164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2164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2164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2164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2164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2165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2166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2166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2166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2166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2166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2167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2168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2168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2168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2169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2170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2171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2172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2172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2172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2172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2172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2172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2172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2173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2173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2173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2173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2173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2173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2173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2174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2175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2057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2057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2057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2176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2176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2176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2176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2176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2176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2177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2177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2177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2177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2177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2176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2178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2178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2178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2178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2178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2178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2179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2179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2179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2179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2179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2178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2180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2180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2180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2180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2180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2180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2181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2181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2181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2181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2181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2181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2182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2182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2182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2182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2182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2182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2181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2182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2183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2183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2183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2183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2183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2183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2184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2184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2185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2185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2185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2185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2185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2185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2184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2184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2184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2186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2186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2186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2186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2186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2186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2187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2187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2187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2187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2187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2187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2188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2188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2188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2188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2188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2185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2183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2189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2189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2189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2189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2189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2189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2186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2187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2190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2190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2189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2190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2190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2190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2191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2192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2192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2192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2192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2192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2192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2193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2193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2193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2193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2193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2193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2194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1880</v>
      </c>
      <c r="G844" s="172" t="s">
        <v>1881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2194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1880</v>
      </c>
      <c r="G845" s="172" t="s">
        <v>1881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2194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1880</v>
      </c>
      <c r="G846" s="172" t="s">
        <v>1881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2194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1880</v>
      </c>
      <c r="G847" s="172" t="s">
        <v>1881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2194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1880</v>
      </c>
      <c r="G848" s="172" t="s">
        <v>1881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2195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2195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2195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2195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2195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2195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2196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2196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2193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2196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2196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2196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2197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2197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2198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2198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2197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2197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2197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2198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2198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2198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2199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2199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2199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2199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2199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2199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2200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2200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2200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2200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2200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2200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2201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2201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2201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2201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2201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2201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2199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2200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2201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2202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2202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2202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2202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2203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2203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2203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2203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2203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2203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2203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2204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2204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2204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2204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2204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2205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2205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2205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2205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2205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2205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1933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1933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1933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1933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2206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2206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2206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2206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2206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2206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2207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2207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2207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2207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2207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2207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2205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1933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2207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2208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2208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2208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2208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2208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2208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2209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2210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2211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2211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2211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2211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2212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2213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2213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2213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2213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2213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2214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2214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2215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2215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2214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2214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2214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2215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2215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2215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2216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2216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2216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2216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2216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2217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2217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2217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2217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2217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2218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2218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2218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2218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2218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2219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2220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2221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2221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2221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2221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2221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2222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2222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2222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2223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2223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2224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2225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2225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2225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2225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2225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2226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2226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2226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2226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2226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2226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2227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2228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2228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2228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2228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2228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2228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2229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2229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2229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2229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2229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2229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2230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2230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2230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2230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2230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2230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2228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2229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2231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2231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2231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2231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2232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2232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2232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2232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2232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2232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2232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2233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2233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2233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2233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2233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2233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2234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2235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2236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2236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2236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2236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2236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2236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2237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2237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2237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2237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2237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2237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2238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2238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2238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2238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2238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2238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2239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2239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2239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2239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2239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2239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2236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2237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2240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2240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2240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2240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2240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2240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2239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2241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2240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2242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2242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2242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2242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2242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2242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2243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2244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2244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2244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2244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2244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2244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2245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2246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2246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2246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2246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2246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2246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2246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2247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2049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2049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2049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2248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2248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2248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2248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2248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2248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2248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2249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2249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2249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2249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2249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2249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2249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2203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2203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2203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2203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2203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2250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2250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2250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2250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2250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2251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2251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2252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2252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2252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2252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2252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2252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2251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2251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2251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2253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2253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2253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2253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2253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2253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2252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2254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2254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2254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2254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2254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2254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2255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2255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2255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2255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2256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2256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2256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2256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2256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2051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2257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2257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2257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2257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2257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2257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2258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2258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2258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2258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2258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2258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2258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2259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2259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2259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2259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2259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2260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2261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2262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2263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2264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2265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2266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2267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2268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2269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2269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2269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2269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2269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2270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2270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2270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2270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2270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2271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2271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2271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2271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2271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2272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2272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2272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2272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2272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2273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2273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2273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2273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2273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2274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2275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2275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2275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2275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2275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2275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2275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2276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2277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2277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2277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2277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2277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2277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2277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2278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2279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2279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2279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2279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2279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2279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2280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2280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2280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2280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2280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2280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2279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2280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2281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2281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2282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2282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2283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2283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2283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2283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2283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2283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2282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2282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2282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2281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2281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2281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2284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2009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2009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2009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2009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2285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2285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2285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2285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2285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2285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2286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2286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2286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2286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2286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2286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2009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2278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2287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2288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2288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2288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2288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2288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2288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2289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2289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2289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2289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2289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2289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2288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2289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2290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2290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2290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2290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2290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2290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2290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2291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2291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2291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2291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2291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2291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2292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2292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2292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2292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2292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2292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2293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2294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2294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2294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2294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2294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2295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2295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2295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2295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2295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2296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2296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2296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2296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2296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2296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2297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2297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2297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2297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2297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2298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2298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2298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2298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2298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2298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2299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2299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2299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2299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2299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2299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2299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2300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2300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2300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2300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2300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2300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2301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2301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2301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2301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2301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2301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2302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2302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2302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2302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2302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2302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2303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2303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2303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2303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2303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2303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2304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2302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2303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2305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2305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2305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2305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2305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2306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2306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2306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2306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2306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2306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2306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2174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2307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2307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2307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2307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2307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2308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2309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2309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2309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2309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2309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2309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2310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2310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2311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2311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2310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2310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2310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2312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2311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2311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2311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2313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2313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2313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2313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2313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2268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2262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2263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2265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2264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2261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2266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2267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2260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2314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2314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2314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2314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2314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2315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2315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2315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2315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2315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2316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2316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2316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2316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2316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2317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2317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2317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2317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2317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2318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2318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2318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2318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2319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2319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2319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2319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2319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2320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2320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2320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2320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2320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2321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2321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2321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2321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2321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2322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2322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2322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2322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2322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2323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2323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2323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2323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2284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2324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2325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2325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2325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2325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2325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2326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2326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2326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2326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2326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2327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2327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2327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2327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2327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2328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2328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2329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2329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2328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2328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2328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2329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2329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2329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2330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2330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2330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2330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2330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2330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2330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2331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2331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2331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2331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2331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2331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2332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2332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2332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2332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2332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2332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2333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2333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2333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2333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2333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2333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2333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2334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2334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2334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2334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2334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2334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2335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2335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2335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2335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2335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2335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2336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2336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2336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2336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2336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2336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2337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2337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2337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2337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2337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2337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2338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2338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2334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2335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2338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2338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2338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2339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2339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2339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2339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2339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2339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2337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2340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2339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2341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2341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2341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2341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2341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2341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2342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2341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2343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2343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2343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2343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2343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2343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2344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2344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2344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2344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2344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2343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2345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2345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2345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2345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2345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2345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2346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2346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2346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2346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2346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2346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2347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2347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2347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2347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2347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2347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2347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2346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2348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2348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2348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2348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2348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2348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2155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2155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2155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2155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2155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2348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2349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2349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2349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2349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2349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2349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2350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2350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2350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2350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2350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1933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1933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1933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2351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2352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2352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2352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2352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2352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2352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2353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2352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2354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2354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2354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2354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2354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2354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2355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2355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2355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2355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2355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2355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2356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2356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2356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2356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2356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2356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2354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2017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2017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2017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2017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1922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2357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2357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2357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2357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2357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2357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2358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2358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2358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2358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2358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2358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2357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2358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2359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2359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2359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2359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2359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2359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2360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2360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2360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2360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2360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2361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2361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2362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2362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2363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2363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2364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2364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2363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2363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2363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2364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2364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2364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2362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2362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2362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2361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2361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2361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2365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2365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2365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2365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2365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2365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2366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2366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2366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2366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2366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2366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2367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2367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2367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2367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2367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2367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2365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2366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2368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2368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2368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2368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2368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2369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2369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2369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2369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2369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2367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2370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2370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2370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2370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2370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2370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2371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2371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2371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2371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2371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2371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2370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2372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2372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2372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2372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2372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2372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2371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2260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2261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2262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2263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2264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2265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2266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2267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2268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1743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1743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1743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1743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1743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1743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1744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1744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1744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1744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1744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1745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1746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1747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1747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1747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1747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1747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1747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1748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1748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1748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1748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1748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1748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1749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1749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1749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1749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1749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1749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1749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1750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1750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1750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1750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1750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1750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1751</v>
      </c>
      <c r="B42" s="176">
        <v>46062</v>
      </c>
      <c r="C42" s="172" t="s">
        <v>1752</v>
      </c>
      <c r="D42" s="172" t="s">
        <v>1753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1754</v>
      </c>
      <c r="B43" s="176">
        <v>46062</v>
      </c>
      <c r="C43" s="172" t="s">
        <v>1752</v>
      </c>
      <c r="D43" s="172" t="s">
        <v>1753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1755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1755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1755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1755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1755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1756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1756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1756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1756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1756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1756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1757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1757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1757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1757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1757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1758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1759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1760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1760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1760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1760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1760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1761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1761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1761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1761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1761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1761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1762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1762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1762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1762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1762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1763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1764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1764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1764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1764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1764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1765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1765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1765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1765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1765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1765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1766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1766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1766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1766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1766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1766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1767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1767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1767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1767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1767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1767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1768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1768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1768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1768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1768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1768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1765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1766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1767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1768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1769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1769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1770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1770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1771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1771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1771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1771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1771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1771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1769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1769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1769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1770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1770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1770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1772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1772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1772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1772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1772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1773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1773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1773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1773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1773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1773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1771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1773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1774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1774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1774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1774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1774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1774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1775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1775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1776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1777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1777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1775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1775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1775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1777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1777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1777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1776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1776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1774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1778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1779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1779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1779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1779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1779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1779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1780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1781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1782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1782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1782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1782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1782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1783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1784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1784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1784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1784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1784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1784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1785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1785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1785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1785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1785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1785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1786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1786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1786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1786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1786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1786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1787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1787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1788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1788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1788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1788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1788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1788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1787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1787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1787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1789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1789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1789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1789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1789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1789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1790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1789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1791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1791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1791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1791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1791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1791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1791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1792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1792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1792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1792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1792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1793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1793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1793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1793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1793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1794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1795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1795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1795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1795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1795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1796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1796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1796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1796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1796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1797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1797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1797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1797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1797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1798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1798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1798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1798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1799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1800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1801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1801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1801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1801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1801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1801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1802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1803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1803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1803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1803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1803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1803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1803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1804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1805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1805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1805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1805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1805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1805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1806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1806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1806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1806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1806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1806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1806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1807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1808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1808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1808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1808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1809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1809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1809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1809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1809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1809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1810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1810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1810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1810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1810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1809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1811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1812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1813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1813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1813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1813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1813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1813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1814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1814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1814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1814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1814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1814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1815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1815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1815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1815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1815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1816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1816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1816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1816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1816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1816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1817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1817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1817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1817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1817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1818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1818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1818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1818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1818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1818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1816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1819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1818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1820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1821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1821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1821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1821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1821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1821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1822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1822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1822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1822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1822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1822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1823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1823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1823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1823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1823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1823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1821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1822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1824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1824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1824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1824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1824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1825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1826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1827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1827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1827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1827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1827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1828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1829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1830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1831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1832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1833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1834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1834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1834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1834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1834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1834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1835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1835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1835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1835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1835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1836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1836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1836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1836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1836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1837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1837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1837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1837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1837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1838</v>
      </c>
      <c r="B419" s="176">
        <v>46064</v>
      </c>
      <c r="C419" s="172" t="s">
        <v>1752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1839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1839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1839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1839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1839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1839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1839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1840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1840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1840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1840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1840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1840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1841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1842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1842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1843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1842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1842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1840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1844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1844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1844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1844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1844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1844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1844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1845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1845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1846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1846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1846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1846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1846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1845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1845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1845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1847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1847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1847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1847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1847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1848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1848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1848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1848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1848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1848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1849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1849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1849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1849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1849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1849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1850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1850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1850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1850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1850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1850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1849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1851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1851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1851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1851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1851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1851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1850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1852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1852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1852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1852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1852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1852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1853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1853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1852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1853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1853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1854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1854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1854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1854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1855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1855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1855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1855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1855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1855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1856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1856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1856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1856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1856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1856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1857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1857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1857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1857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1857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1857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1858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1858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1858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1858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1858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1858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1859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1859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1859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1859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1859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1860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1858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1861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1861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1861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1861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1861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1861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1861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1862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1862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1862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1862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1862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1862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1863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1864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1864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1864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1864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1864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1864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1865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1865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1865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1865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1865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1865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1864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1865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1866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1867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1867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1867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1867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1867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1868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1868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1868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1868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1868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1869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1869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1869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1870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1870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1870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1870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1870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1871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1871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1871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1871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1871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1872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1872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1873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1874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1875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1875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1875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1875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1875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1875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1876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1876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1876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1876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1876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1876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1877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1877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1877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1877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1877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1877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1876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1877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1878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1878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1878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1878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1878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1879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1880</v>
      </c>
      <c r="G621" s="172" t="s">
        <v>1881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1882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1883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1883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1883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1883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1883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1884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1884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1884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1884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1884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1884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1885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1885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1885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1885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1886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1886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1886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1886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1886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1884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1887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1887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1887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1887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1887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1887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1888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1888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1888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1888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1888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1888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1887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1889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1889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1889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1889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1889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1889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1890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1890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1890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1890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1890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1890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1891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1891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1891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1891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1891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1891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1892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1893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1894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1894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1894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1894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1894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1895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1895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1895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1895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1895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1895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1894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1896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1896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1897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1897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1897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1897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1897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1897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1896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1896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1896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1895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1897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1898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1898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1898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1898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1898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1898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1899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1899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1899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1899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1899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1899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1900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1900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1900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1900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1900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1898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1901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1901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1901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1901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1901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1902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1902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1902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1902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1902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1902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1903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1903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1903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1903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1903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1903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1903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1904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1905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1905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1905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1905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1905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1905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1905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1906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1906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1906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1906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1906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1906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1907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1907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1907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1907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1907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1907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1907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1906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1908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1908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1908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1908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1908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1909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1910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1910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1910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1910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1911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1911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1911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1911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1911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1912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1913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1913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1913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1913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1913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1913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1914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1914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1914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1914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1915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1915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1915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1915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1916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1916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1917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1916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1916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1916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1918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1918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1918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1918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1918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1918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1919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1919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1919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1919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1919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1919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1920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1920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1920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1920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1920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1921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1919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1922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1923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1923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1923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1923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1923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1923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1924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1925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1925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1925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1925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1925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1925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1926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1926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1926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1926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1926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1925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1927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1927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1927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1927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1928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1928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1928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1928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1928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1928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1928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1929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1929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1929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1929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1929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1831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1930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1930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1930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1930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1931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1931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1931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1931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1931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1932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1933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1933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1933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1933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1933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1933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1933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1934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1935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1935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1936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1935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1935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1935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1936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1937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1937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1937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1937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1937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1937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1938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1938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1938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1938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1938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1938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1939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1939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1937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1939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1939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1939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1938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1940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1940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1940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1940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1940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1940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1940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1941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1941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1941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1941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1941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1941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1942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1942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1942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1942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1942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1943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1840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1840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1840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1840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1840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1944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1944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1944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1944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1944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1945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1945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1945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1945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1945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1946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1946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1946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1946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1946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1947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1947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1947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1947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1947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1948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1948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1948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1948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1948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1949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1949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1949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1949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1950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1950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1950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1950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1951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1952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1952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1952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1952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1952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1952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1953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1953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1953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1953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1953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1953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1954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1952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1953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1955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1955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1955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1955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1955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1956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1956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1956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1956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1956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1956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1791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1791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1791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1791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1956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1791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1957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1957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1958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1958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1958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1959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1959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1958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1957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1957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1957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1960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1961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1961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1961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1961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1961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1961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1962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1963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1963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1963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1963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1963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1963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1964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1964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1964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1964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1964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1964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1965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1965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1965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1965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1965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1965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1966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1965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1967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1967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1967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1967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1967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1967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1968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1969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1969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1969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1969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1969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1969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1967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1970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1970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1970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1971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1971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1971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1971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1971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1971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1972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1972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1972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1972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1972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1972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1969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1973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1973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1973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1973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1973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1973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1971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1972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1974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1974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1974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1974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1974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1975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1975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1975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1975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1975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1975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1976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1976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1976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1976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1976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1977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1977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1977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1977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1977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1977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1977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1978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1978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1978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1978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1978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1978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1979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1979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1979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1979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1979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1979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1978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1980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1980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1980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1980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1980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1980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1981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1981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1981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1981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1981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1981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1882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1982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1982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1982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1982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1982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1981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1983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1983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1983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1983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1983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1983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1984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1984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1984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1984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1984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1983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1985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1986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1986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1986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1986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1986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1986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1987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1987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1987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1987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1987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1988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1989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1990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1991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1991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1991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1991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1991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1992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1992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1992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1992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1992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1993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1993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1993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1993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1993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1994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1995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1996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1997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1997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1997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1997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1997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1997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1998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1997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1999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1999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1999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1999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1999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1999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2000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2000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2000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2000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2000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2000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2001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2001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2001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2001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2001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2001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2002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2002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2002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2003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2003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2004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2004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2003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2003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2003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2004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2004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2004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2005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2006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2007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2007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2007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2007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2007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2007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1990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2008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2008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2008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2008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2008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2008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2009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2009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2009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2009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2009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2009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2010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2010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2010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2010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2010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2010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2011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2011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2011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2011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2011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2011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2009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2010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2012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2012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2012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2012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2012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2012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2013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2013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2013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2013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2013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2013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2014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2015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2015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2015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2015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2015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2015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2013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2015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2016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2016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2017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2017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2017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2017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2017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2017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2018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2018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2019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2019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2019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2019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2019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2019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2018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2018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2018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2020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2013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2013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2013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2013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2013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2021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2022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1873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2023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2024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2024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2024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2024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2024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2025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2025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2025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2025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2025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Налоги</vt:lpstr>
      <vt:lpstr>Сводная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2026-03-03T10:30:46Z</dcterms:modified>
</cp:coreProperties>
</file>