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sharedocs\DavWWWRoot\sites\nd\BusinessAsUsual\Generation Information\GenInfo\2019\2019_January_minor_update\15_web_submission\"/>
    </mc:Choice>
  </mc:AlternateContent>
  <xr:revisionPtr revIDLastSave="0" documentId="10_ncr:100000_{727B7C39-9F1A-44E1-9512-0ACC45F12003}" xr6:coauthVersionLast="31" xr6:coauthVersionMax="31" xr10:uidLastSave="{00000000-0000-0000-0000-000000000000}"/>
  <bookViews>
    <workbookView xWindow="0" yWindow="0" windowWidth="13125" windowHeight="6105" tabRatio="774" xr2:uid="{00000000-000D-0000-FFFF-FFFF00000000}"/>
  </bookViews>
  <sheets>
    <sheet name="Victoria Summary" sheetId="1" r:id="rId1"/>
    <sheet name="Change Log" sheetId="13" r:id="rId2"/>
    <sheet name="Existing S &amp; SS Generation" sheetId="11" r:id="rId3"/>
    <sheet name="Summer Scheduled Capacities" sheetId="15" r:id="rId4"/>
    <sheet name="Winter Scheduled Capacities" sheetId="16" r:id="rId5"/>
    <sheet name="Existing NS Generation" sheetId="12" r:id="rId6"/>
    <sheet name="New Developments" sheetId="10" r:id="rId7"/>
    <sheet name="Background Information" sheetId="19" r:id="rId8"/>
  </sheets>
  <externalReferences>
    <externalReference r:id="rId9"/>
  </externalReferences>
  <definedNames>
    <definedName name="ExternalData_1" localSheetId="5" hidden="1">'Existing NS Generation'!$A$2:$I$80</definedName>
    <definedName name="ExternalData_1" localSheetId="2">'Existing S &amp; SS Generation'!#REF!</definedName>
    <definedName name="ExternalData_1" localSheetId="3" hidden="1">'Summer Scheduled Capacities'!$A$2:$O$48</definedName>
    <definedName name="ExternalData_1" localSheetId="4" hidden="1">'Winter Scheduled Capacities'!$A$2:$O$48</definedName>
    <definedName name="ExternalData_2" localSheetId="2" hidden="1">'Existing S &amp; SS Generation'!$A$2:$L$29</definedName>
    <definedName name="ExternalData_2" localSheetId="3" hidden="1">'Summer Scheduled Capacities'!$A$58:$O$78</definedName>
    <definedName name="ExternalData_2" localSheetId="4" hidden="1">'Winter Scheduled Capacities'!$A$58:$O$78</definedName>
    <definedName name="ExternalData_3" localSheetId="3" hidden="1">'Summer Scheduled Capacities'!$A$85:$O$111</definedName>
    <definedName name="ExternalData_3" localSheetId="4" hidden="1">'Winter Scheduled Capacities'!$A$85:$O$111</definedName>
    <definedName name="Type_List">OFFSET('[1]Version Control'!$I$3,1,0,COUNTA('[1]Version Control'!$Z:$Z-1),1)</definedName>
  </definedNames>
  <calcPr calcId="179017"/>
</workbook>
</file>

<file path=xl/calcChain.xml><?xml version="1.0" encoding="utf-8"?>
<calcChain xmlns="http://schemas.openxmlformats.org/spreadsheetml/2006/main">
  <c r="L69" i="1" l="1"/>
  <c r="K69" i="1"/>
  <c r="J69" i="1"/>
  <c r="I69" i="1"/>
  <c r="H69" i="1"/>
  <c r="G69" i="1"/>
  <c r="F69" i="1"/>
  <c r="E69" i="1"/>
  <c r="D69" i="1"/>
  <c r="L65" i="1"/>
  <c r="K65" i="1"/>
  <c r="J65" i="1"/>
  <c r="I65" i="1"/>
  <c r="H65" i="1"/>
  <c r="G65" i="1"/>
  <c r="F65" i="1"/>
  <c r="E65" i="1"/>
  <c r="D65" i="1"/>
  <c r="L64" i="1"/>
  <c r="K64" i="1"/>
  <c r="J64" i="1"/>
  <c r="I64" i="1"/>
  <c r="H64" i="1"/>
  <c r="G64" i="1"/>
  <c r="F64" i="1"/>
  <c r="E64" i="1"/>
  <c r="D64" i="1"/>
  <c r="C64" i="1"/>
  <c r="C65" i="1"/>
  <c r="C69" i="1"/>
  <c r="D31" i="11"/>
  <c r="C82" i="12" l="1"/>
  <c r="L66" i="1" l="1"/>
  <c r="K66" i="1"/>
  <c r="J66" i="1"/>
  <c r="I66" i="1"/>
  <c r="H66" i="1"/>
  <c r="G66" i="1"/>
  <c r="F66" i="1"/>
  <c r="E66" i="1"/>
  <c r="D66" i="1"/>
  <c r="C66" i="1"/>
  <c r="M66" i="1" l="1"/>
  <c r="C50" i="16"/>
  <c r="D50" i="16"/>
  <c r="E50" i="16"/>
  <c r="F50" i="16"/>
  <c r="G50" i="16"/>
  <c r="H50" i="16"/>
  <c r="I50" i="16"/>
  <c r="J50" i="16"/>
  <c r="K50" i="16"/>
  <c r="B50" i="16"/>
  <c r="C80" i="16"/>
  <c r="C82" i="16" s="1"/>
  <c r="D80" i="16"/>
  <c r="D82" i="16" s="1"/>
  <c r="E80" i="16"/>
  <c r="E82" i="16" s="1"/>
  <c r="F80" i="16"/>
  <c r="F82" i="16" s="1"/>
  <c r="G80" i="16"/>
  <c r="G82" i="16" s="1"/>
  <c r="H80" i="16"/>
  <c r="H82" i="16" s="1"/>
  <c r="I80" i="16"/>
  <c r="I82" i="16" s="1"/>
  <c r="J80" i="16"/>
  <c r="J82" i="16" s="1"/>
  <c r="K80" i="16"/>
  <c r="K82" i="16" s="1"/>
  <c r="B80" i="16"/>
  <c r="B82" i="16" s="1"/>
  <c r="C115" i="16"/>
  <c r="D115" i="16"/>
  <c r="E115" i="16"/>
  <c r="F115" i="16"/>
  <c r="G115" i="16"/>
  <c r="H115" i="16"/>
  <c r="I115" i="16"/>
  <c r="J115" i="16"/>
  <c r="K115" i="16"/>
  <c r="C114" i="16"/>
  <c r="D114" i="16"/>
  <c r="E114" i="16"/>
  <c r="F114" i="16"/>
  <c r="G114" i="16"/>
  <c r="H114" i="16"/>
  <c r="I114" i="16"/>
  <c r="J114" i="16"/>
  <c r="K114" i="16"/>
  <c r="B115" i="16"/>
  <c r="B114" i="16"/>
  <c r="C113" i="16"/>
  <c r="D113" i="16"/>
  <c r="E113" i="16"/>
  <c r="F113" i="16"/>
  <c r="G113" i="16"/>
  <c r="H113" i="16"/>
  <c r="I113" i="16"/>
  <c r="J113" i="16"/>
  <c r="K113" i="16"/>
  <c r="B113" i="16"/>
  <c r="C50" i="15"/>
  <c r="D50" i="15"/>
  <c r="E50" i="15"/>
  <c r="F50" i="15"/>
  <c r="G50" i="15"/>
  <c r="H50" i="15"/>
  <c r="I50" i="15"/>
  <c r="J50" i="15"/>
  <c r="K50" i="15"/>
  <c r="B50" i="15"/>
  <c r="C80" i="15"/>
  <c r="C82" i="15" s="1"/>
  <c r="D80" i="15"/>
  <c r="D82" i="15" s="1"/>
  <c r="E80" i="15"/>
  <c r="E82" i="15" s="1"/>
  <c r="F80" i="15"/>
  <c r="F82" i="15" s="1"/>
  <c r="G80" i="15"/>
  <c r="G82" i="15" s="1"/>
  <c r="H80" i="15"/>
  <c r="H82" i="15" s="1"/>
  <c r="I80" i="15"/>
  <c r="I82" i="15" s="1"/>
  <c r="J80" i="15"/>
  <c r="J82" i="15" s="1"/>
  <c r="K80" i="15"/>
  <c r="K82" i="15" s="1"/>
  <c r="B80" i="15"/>
  <c r="B82" i="15" s="1"/>
  <c r="C115" i="15"/>
  <c r="D115" i="15"/>
  <c r="E115" i="15"/>
  <c r="F115" i="15"/>
  <c r="G115" i="15"/>
  <c r="H115" i="15"/>
  <c r="I115" i="15"/>
  <c r="J115" i="15"/>
  <c r="K115" i="15"/>
  <c r="B115" i="15"/>
  <c r="C114" i="15"/>
  <c r="D114" i="15"/>
  <c r="E114" i="15"/>
  <c r="F114" i="15"/>
  <c r="G114" i="15"/>
  <c r="H114" i="15"/>
  <c r="I114" i="15"/>
  <c r="J114" i="15"/>
  <c r="K114" i="15"/>
  <c r="B114" i="15"/>
  <c r="C113" i="15"/>
  <c r="D113" i="15"/>
  <c r="E113" i="15"/>
  <c r="F113" i="15"/>
  <c r="G113" i="15"/>
  <c r="H113" i="15"/>
  <c r="I113" i="15"/>
  <c r="J113" i="15"/>
  <c r="K113" i="15"/>
  <c r="B113" i="15"/>
  <c r="H67" i="1" l="1"/>
  <c r="J63" i="1"/>
  <c r="F63" i="1" l="1"/>
  <c r="G63" i="1"/>
  <c r="H63" i="1"/>
  <c r="L63" i="1"/>
  <c r="I63" i="1"/>
  <c r="E63" i="1"/>
  <c r="D63" i="1"/>
  <c r="M69" i="1"/>
  <c r="M64" i="1"/>
  <c r="K63" i="1"/>
  <c r="M65" i="1"/>
  <c r="C63" i="1"/>
  <c r="L68" i="1"/>
  <c r="K68" i="1"/>
  <c r="J68" i="1"/>
  <c r="I68" i="1"/>
  <c r="H68" i="1"/>
  <c r="G68" i="1"/>
  <c r="F68" i="1"/>
  <c r="E68" i="1"/>
  <c r="D68" i="1"/>
  <c r="C68" i="1"/>
  <c r="L67" i="1"/>
  <c r="K67" i="1"/>
  <c r="J67" i="1"/>
  <c r="I67" i="1"/>
  <c r="G67" i="1"/>
  <c r="F67" i="1"/>
  <c r="E67" i="1"/>
  <c r="D67" i="1"/>
  <c r="C67" i="1"/>
  <c r="M68" i="1" l="1"/>
  <c r="M67" i="1"/>
  <c r="M6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2000000}" keepAlive="1" name="Query - NewDevs" description="Connection to the 'NewDevs' query in the workbook." type="5" refreshedVersion="6" background="1" saveData="1">
    <dbPr connection="Provider=Microsoft.Mashup.OleDb.1;Data Source=$Workbook$;Location=newdevs;Extended Properties=&quot;&quot;" command="SELECT * FROM [NewDevs]"/>
  </connection>
</connections>
</file>

<file path=xl/sharedStrings.xml><?xml version="1.0" encoding="utf-8"?>
<sst xmlns="http://schemas.openxmlformats.org/spreadsheetml/2006/main" count="3197" uniqueCount="723">
  <si>
    <t>Existing &amp; committed scheduled and semi-scheduled generation</t>
  </si>
  <si>
    <t>Power Station</t>
  </si>
  <si>
    <t>Owner</t>
  </si>
  <si>
    <t>Technology Type</t>
  </si>
  <si>
    <t>Fuel Type</t>
  </si>
  <si>
    <t>Dispatch Type</t>
  </si>
  <si>
    <t>Service Status</t>
  </si>
  <si>
    <t>Region</t>
  </si>
  <si>
    <t>Compression Reciprocating Engine</t>
  </si>
  <si>
    <t>S</t>
  </si>
  <si>
    <t>In Service</t>
  </si>
  <si>
    <t>Ararat Wind Farm Pty Ltd</t>
  </si>
  <si>
    <t>75 x 3.2</t>
  </si>
  <si>
    <t>Wind - Onshore</t>
  </si>
  <si>
    <t>Wind</t>
  </si>
  <si>
    <t>SS</t>
  </si>
  <si>
    <t>VIC</t>
  </si>
  <si>
    <t>Bairnsdale</t>
  </si>
  <si>
    <t>Alinta DEBO</t>
  </si>
  <si>
    <t>2 x 47</t>
  </si>
  <si>
    <t>OCGT</t>
  </si>
  <si>
    <t>Natural Gas Pipeline</t>
  </si>
  <si>
    <t>Infrastructure Capital Group</t>
  </si>
  <si>
    <t>52 x 2.05</t>
  </si>
  <si>
    <t>Water</t>
  </si>
  <si>
    <t>Hydro - Gravity</t>
  </si>
  <si>
    <t>AGL Energy</t>
  </si>
  <si>
    <t>Steam Sub Critical</t>
  </si>
  <si>
    <t>Snowy Hydro Ltd</t>
  </si>
  <si>
    <t>Bogong / Mackay</t>
  </si>
  <si>
    <t>AGL</t>
  </si>
  <si>
    <t>2 x 70
6 x 27</t>
  </si>
  <si>
    <t>PV panels</t>
  </si>
  <si>
    <t>Solar</t>
  </si>
  <si>
    <t>PV-Tracking Flat panel</t>
  </si>
  <si>
    <t>CCGT</t>
  </si>
  <si>
    <t>Origin Energy Power Limited</t>
  </si>
  <si>
    <t>Dartmouth</t>
  </si>
  <si>
    <t>1 x 185</t>
  </si>
  <si>
    <t>Eildon</t>
  </si>
  <si>
    <t>GSP Energy Pty Ltd</t>
  </si>
  <si>
    <t>1 x 29</t>
  </si>
  <si>
    <t>Hume VIC</t>
  </si>
  <si>
    <t>Jeeralang A</t>
  </si>
  <si>
    <t>Ecogen Energy Py Ltd</t>
  </si>
  <si>
    <t>4 x 53</t>
  </si>
  <si>
    <t>Jeeralang B</t>
  </si>
  <si>
    <t>Ecogen Energy Pty Ltd</t>
  </si>
  <si>
    <t>Kiata Wind Farm</t>
  </si>
  <si>
    <t>Kiata Wind Farm Pty Ltd</t>
  </si>
  <si>
    <t>9 x 3.45</t>
  </si>
  <si>
    <t>Laverton North</t>
  </si>
  <si>
    <t>2 x 156</t>
  </si>
  <si>
    <t>Announced Withdrawal</t>
  </si>
  <si>
    <t>Loy Yang A</t>
  </si>
  <si>
    <t>Brown Coal</t>
  </si>
  <si>
    <t>Loy Yang B</t>
  </si>
  <si>
    <t>Gippsland Power Pty Ltd ABN 30 077 851 079 / LYB Ventures Australia Pty Ltd ABN 57 055 984 499 / Traralgon Power Pty Ltd ABN 64 056 292 623 / Latrobe Power Pty Ltd ABN 42 055 983 563 / LYB Australia Limited ABN 87 055 563 785</t>
  </si>
  <si>
    <t>2 x 500</t>
  </si>
  <si>
    <t>Macarthur Wind Farm Pty Ltd and Meridian Wind Macarthur Pty Ltd</t>
  </si>
  <si>
    <t>140 x 3</t>
  </si>
  <si>
    <t>Mortlake</t>
  </si>
  <si>
    <t>2 x 283</t>
  </si>
  <si>
    <t>Mt Mercer Windfarm Pty Ltd</t>
  </si>
  <si>
    <t>64 x 2.05</t>
  </si>
  <si>
    <t>Murray 1</t>
  </si>
  <si>
    <t>10 x 95</t>
  </si>
  <si>
    <t>Murray 2</t>
  </si>
  <si>
    <t>4 x 138</t>
  </si>
  <si>
    <t>Newport</t>
  </si>
  <si>
    <t>1 x 510</t>
  </si>
  <si>
    <t>Oaklands Hill Wind farm pty ltd</t>
  </si>
  <si>
    <t>32 x 2.1</t>
  </si>
  <si>
    <t>6 x 50</t>
  </si>
  <si>
    <t>Salt Creek Wind Farm</t>
  </si>
  <si>
    <t>Salt Creek Wind Farm Pty Ltd</t>
  </si>
  <si>
    <t>15 x 3.6</t>
  </si>
  <si>
    <t>Somerton</t>
  </si>
  <si>
    <t>4 x 40</t>
  </si>
  <si>
    <t>Energy Pacific Vic Pty Ltd</t>
  </si>
  <si>
    <t>Ratch Australia</t>
  </si>
  <si>
    <t>Valley Power</t>
  </si>
  <si>
    <t>West Kiewa</t>
  </si>
  <si>
    <t>4 x 15</t>
  </si>
  <si>
    <t>Yallourn W</t>
  </si>
  <si>
    <t>EnergyAustralia Holdings Pty Ltd</t>
  </si>
  <si>
    <t>Total</t>
  </si>
  <si>
    <t>1</t>
  </si>
  <si>
    <t>2</t>
  </si>
  <si>
    <t>Bannerton Solar Park</t>
  </si>
  <si>
    <t>4</t>
  </si>
  <si>
    <t>Units 1-40</t>
  </si>
  <si>
    <t>Bulgana Green Power Hub - BESS</t>
  </si>
  <si>
    <t>Bulgana Green Power Hub - Wind Farm</t>
  </si>
  <si>
    <t>1-56</t>
  </si>
  <si>
    <t>Crowlands Wind Farm</t>
  </si>
  <si>
    <t>Units 1-39</t>
  </si>
  <si>
    <t>Gannawarra Energy Storage System</t>
  </si>
  <si>
    <t>Gannawarra Solar Farm</t>
  </si>
  <si>
    <t>Unit 1</t>
  </si>
  <si>
    <t>12</t>
  </si>
  <si>
    <t>Mt Gellibrand</t>
  </si>
  <si>
    <t>10</t>
  </si>
  <si>
    <t>9</t>
  </si>
  <si>
    <t>Solar Panels</t>
  </si>
  <si>
    <t>1-2</t>
  </si>
  <si>
    <t>Stockyard Hill</t>
  </si>
  <si>
    <t>1-149</t>
  </si>
  <si>
    <t>Wemen Solar Farm</t>
  </si>
  <si>
    <t>Wemen Solar Farm 1 - 39</t>
  </si>
  <si>
    <t>Existing non-scheduled generation</t>
  </si>
  <si>
    <t>Nameplate Capacity (MW)</t>
  </si>
  <si>
    <t>Cogent Energy Pty Ltd</t>
  </si>
  <si>
    <t>In service</t>
  </si>
  <si>
    <t>200 Victoria St</t>
  </si>
  <si>
    <t>321 Exhibition Street Trigen</t>
  </si>
  <si>
    <t>Cogent Energy</t>
  </si>
  <si>
    <t>990 Latrobe St</t>
  </si>
  <si>
    <t>LMS Energy Pty Ltd</t>
  </si>
  <si>
    <t>Landfill Methane / Landfill Gas</t>
  </si>
  <si>
    <t>Ballarat</t>
  </si>
  <si>
    <t>LMS ENERGY Pty Ltd</t>
  </si>
  <si>
    <t>Ballarat Base Hospital</t>
  </si>
  <si>
    <t>Banimboola</t>
  </si>
  <si>
    <t>Bendigo</t>
  </si>
  <si>
    <t>Berwick</t>
  </si>
  <si>
    <t>EDL LFG Vic Pty Ltd</t>
  </si>
  <si>
    <t>Sewerage / Waste Water</t>
  </si>
  <si>
    <t>Broadmeadows</t>
  </si>
  <si>
    <t>Brooklyn</t>
  </si>
  <si>
    <t>Challicum Hills</t>
  </si>
  <si>
    <t>Pacific Hydro Challicum Hills Pty Ltd</t>
  </si>
  <si>
    <t>Chepstowe Wind Farm</t>
  </si>
  <si>
    <t>Chepstowe Wind Farm Pty Ltd</t>
  </si>
  <si>
    <t>Clayton</t>
  </si>
  <si>
    <t>Clover</t>
  </si>
  <si>
    <t>Codrington</t>
  </si>
  <si>
    <t>Coonooer Bridge Wind Farm</t>
  </si>
  <si>
    <t>Coonooer Bridge Wind Farm Pty Ltd</t>
  </si>
  <si>
    <t>Corio</t>
  </si>
  <si>
    <t>Crown Melbourne</t>
  </si>
  <si>
    <t>Crown Resorts</t>
  </si>
  <si>
    <t>Dandenong PEP</t>
  </si>
  <si>
    <t>Eildon Small Hydro</t>
  </si>
  <si>
    <t>Pacific Hydro Investments Pty Ltd</t>
  </si>
  <si>
    <t>Glenmaggie Hydro</t>
  </si>
  <si>
    <t>Hallam Road</t>
  </si>
  <si>
    <t>South East Water</t>
  </si>
  <si>
    <t>HYMIVC06 Belgrave-Hallam Rd Micro Hydro</t>
  </si>
  <si>
    <t>Leonards Hill</t>
  </si>
  <si>
    <t>Hepburn Community Wind Park Co-operative Limited</t>
  </si>
  <si>
    <t>Longford</t>
  </si>
  <si>
    <t>Longford Gas Plant</t>
  </si>
  <si>
    <t>Myamba Developments Pty Ltd</t>
  </si>
  <si>
    <t>Mornington Waste Disposal Facility</t>
  </si>
  <si>
    <t>Mortons Lane Wind Farm</t>
  </si>
  <si>
    <t>Mortons Lane Windfarm Pty Ltd</t>
  </si>
  <si>
    <t>Portland Wind Farm</t>
  </si>
  <si>
    <t>Pacific Hydro Portland Wind Farm Pty Ltd</t>
  </si>
  <si>
    <t>Qenos Cogeneration Facility</t>
  </si>
  <si>
    <t>Rubicon Mountain Streams</t>
  </si>
  <si>
    <t>Shepparton</t>
  </si>
  <si>
    <t>Non-biomass recycled municipal and industrial materials</t>
  </si>
  <si>
    <t>Diamond Energy Pty Ltd</t>
  </si>
  <si>
    <t>Shepparton Wastewater Treatment Facility</t>
  </si>
  <si>
    <t>Springvale</t>
  </si>
  <si>
    <t>Swan Hill Solar Farm 1 Unit 1</t>
  </si>
  <si>
    <t>Solar Powerstations Victoria Pty Ltd</t>
  </si>
  <si>
    <t>Swan Hill Solar Farm 2 Unit 1</t>
  </si>
  <si>
    <t>Tatura Biomass Generator</t>
  </si>
  <si>
    <t>Toora</t>
  </si>
  <si>
    <t>Waubra</t>
  </si>
  <si>
    <t>Pyrenees Wind Energy Developments</t>
  </si>
  <si>
    <t>William Hovel</t>
  </si>
  <si>
    <t>Wollert</t>
  </si>
  <si>
    <t>Wonthaggi Wind Farm</t>
  </si>
  <si>
    <t>Vision Super Pty Ltd</t>
  </si>
  <si>
    <t>Wyndham Renewable Energy Facility</t>
  </si>
  <si>
    <t>Yaloak South Wind Farm</t>
  </si>
  <si>
    <t>Pacific Hydro Yaloak South Pty Ltd</t>
  </si>
  <si>
    <t>Yambuk</t>
  </si>
  <si>
    <t>Yarrawonga</t>
  </si>
  <si>
    <t>Projects under development</t>
  </si>
  <si>
    <t>Project</t>
  </si>
  <si>
    <t>Unit Status</t>
  </si>
  <si>
    <t>Full Commercial Use Date</t>
  </si>
  <si>
    <t>TBA</t>
  </si>
  <si>
    <t>No</t>
  </si>
  <si>
    <t>NS</t>
  </si>
  <si>
    <t>Dec 2019</t>
  </si>
  <si>
    <t>Disclaimer</t>
  </si>
  <si>
    <t>This document is subject to an important disclaimer that limits or excludes AEMO's liability.</t>
  </si>
  <si>
    <t>Status</t>
  </si>
  <si>
    <t>Coal</t>
  </si>
  <si>
    <t>Gas other</t>
  </si>
  <si>
    <t>Biomass</t>
  </si>
  <si>
    <t>Other</t>
  </si>
  <si>
    <t>Existing</t>
  </si>
  <si>
    <t>Existing less Announced Withdrawal</t>
  </si>
  <si>
    <t>Committed</t>
  </si>
  <si>
    <t>Proposed</t>
  </si>
  <si>
    <t>Withdrawn</t>
  </si>
  <si>
    <t>Note: Existing includes Announced Withdrawal</t>
  </si>
  <si>
    <t>summary_status</t>
  </si>
  <si>
    <t>nameplatecapacity_mw_max</t>
  </si>
  <si>
    <t>capacity_empty</t>
  </si>
  <si>
    <t>region</t>
  </si>
  <si>
    <t>summary_bucket</t>
  </si>
  <si>
    <t>Publicly Announced</t>
  </si>
  <si>
    <t>Com*</t>
  </si>
  <si>
    <t>Emerging</t>
  </si>
  <si>
    <t>100</t>
  </si>
  <si>
    <t>50</t>
  </si>
  <si>
    <t>Neoen</t>
  </si>
  <si>
    <t>Oct 2018</t>
  </si>
  <si>
    <t>Sep 2020</t>
  </si>
  <si>
    <t>RES Australia Pty Ltd</t>
  </si>
  <si>
    <t>40</t>
  </si>
  <si>
    <t>90</t>
  </si>
  <si>
    <t>15</t>
  </si>
  <si>
    <t>300</t>
  </si>
  <si>
    <t>Overland Sun Farming Pty Ltd</t>
  </si>
  <si>
    <t>110</t>
  </si>
  <si>
    <t>1-88</t>
  </si>
  <si>
    <t>AGL Energy Limited</t>
  </si>
  <si>
    <t>250</t>
  </si>
  <si>
    <t>Alinta Energy Retail Sales Pty Ltd</t>
  </si>
  <si>
    <t>22</t>
  </si>
  <si>
    <t>ESCO Pacific</t>
  </si>
  <si>
    <t>Origin Energy</t>
  </si>
  <si>
    <t>2000</t>
  </si>
  <si>
    <t>200</t>
  </si>
  <si>
    <t>Jan 2020</t>
  </si>
  <si>
    <t>Goldwind</t>
  </si>
  <si>
    <t>Acciona Energy Australia Global</t>
  </si>
  <si>
    <t>140</t>
  </si>
  <si>
    <t>Lyon Solar</t>
  </si>
  <si>
    <t>Jun 2020</t>
  </si>
  <si>
    <t>Tilt Renewables</t>
  </si>
  <si>
    <t>72</t>
  </si>
  <si>
    <t>Sep 2018</t>
  </si>
  <si>
    <t>BayWa r.e. Solar Project Pty Ltd</t>
  </si>
  <si>
    <t>20</t>
  </si>
  <si>
    <t>Jul 2019</t>
  </si>
  <si>
    <t>Aug 2019</t>
  </si>
  <si>
    <t>Pacific Hydro Developments Australia</t>
  </si>
  <si>
    <t>1-35</t>
  </si>
  <si>
    <t>Alberton Wind Farm</t>
  </si>
  <si>
    <t>Synergy Wind Pty Ltd</t>
  </si>
  <si>
    <t>1 - 34</t>
  </si>
  <si>
    <t>122.4</t>
  </si>
  <si>
    <t>Foresight Solar Australia Pty Ltd</t>
  </si>
  <si>
    <t>88</t>
  </si>
  <si>
    <t>Ben More</t>
  </si>
  <si>
    <t>23 - 37</t>
  </si>
  <si>
    <t>70 - 110</t>
  </si>
  <si>
    <t>ACCIONA Energy</t>
  </si>
  <si>
    <t>Berrimal Wind Farm</t>
  </si>
  <si>
    <t>1-16</t>
  </si>
  <si>
    <t>Berrybank Development Pty Ltd</t>
  </si>
  <si>
    <t>Bulgana Wind Farm Pty Ltd</t>
  </si>
  <si>
    <t>Cherry Tree Wind Farm</t>
  </si>
  <si>
    <t>Units 1-16</t>
  </si>
  <si>
    <t>Pacific Hydro Crowlands Pty Ltd</t>
  </si>
  <si>
    <t>79.95</t>
  </si>
  <si>
    <t>1-80</t>
  </si>
  <si>
    <t>336</t>
  </si>
  <si>
    <t>Ferguson Wind Farm</t>
  </si>
  <si>
    <t>Future Energy Pty Ltd</t>
  </si>
  <si>
    <t>GESS Co</t>
  </si>
  <si>
    <t>Gannawarra Solar Farm Pty Ltd</t>
  </si>
  <si>
    <t>Glenrowan Solar Farm</t>
  </si>
  <si>
    <t>Glenrowan Sun Farm</t>
  </si>
  <si>
    <t>Golden Plains Wind Farm</t>
  </si>
  <si>
    <t>Westwind Energy Pty Ltd</t>
  </si>
  <si>
    <t>1-228</t>
  </si>
  <si>
    <t>800 - 1100</t>
  </si>
  <si>
    <t>Oct 2024</t>
  </si>
  <si>
    <t>GV Community Energy</t>
  </si>
  <si>
    <t>Hawkesdale Wind Farm</t>
  </si>
  <si>
    <t>Ryan Corner Development Pty Ltd</t>
  </si>
  <si>
    <t>Units 1-26</t>
  </si>
  <si>
    <t>109.2</t>
  </si>
  <si>
    <t>Inverleigh Wind Farm</t>
  </si>
  <si>
    <t>Woolsthorpe Wind Farm Pty Ltd</t>
  </si>
  <si>
    <t>16</t>
  </si>
  <si>
    <t>76.8</t>
  </si>
  <si>
    <t>Iraak Solar Farm</t>
  </si>
  <si>
    <t>Karadoc Solar Farm</t>
  </si>
  <si>
    <t>Kerang Solar Farm</t>
  </si>
  <si>
    <t>37.1</t>
  </si>
  <si>
    <t>Total Eren S.A.</t>
  </si>
  <si>
    <t>Units 1 - 150</t>
  </si>
  <si>
    <t>Lal Lal Wind Energy Facility - Elaine end</t>
  </si>
  <si>
    <t>39-60</t>
  </si>
  <si>
    <t>Lal Lal Wind Energy Facility - Yendon end</t>
  </si>
  <si>
    <t>1-38</t>
  </si>
  <si>
    <t>Mildura Power Station</t>
  </si>
  <si>
    <t>Ceramet</t>
  </si>
  <si>
    <t>PV Solar</t>
  </si>
  <si>
    <t>9.6</t>
  </si>
  <si>
    <t>Moira Solar Farm</t>
  </si>
  <si>
    <t>X-Elio Australia Pty Ltd</t>
  </si>
  <si>
    <t>Moorabool Wind Farm</t>
  </si>
  <si>
    <t>Units 1-104</t>
  </si>
  <si>
    <t>320</t>
  </si>
  <si>
    <t>Mortlake Expansion</t>
  </si>
  <si>
    <t>Mortlake 21
Mortlake 22
Mortlake 23</t>
  </si>
  <si>
    <t>165</t>
  </si>
  <si>
    <t>Mortlake South</t>
  </si>
  <si>
    <t>157.5</t>
  </si>
  <si>
    <t>Mount Fyans</t>
  </si>
  <si>
    <t>Woolnorth Wind Farm Holding</t>
  </si>
  <si>
    <t>1-22
23-44</t>
  </si>
  <si>
    <t>132</t>
  </si>
  <si>
    <t>Murra Warra Solar Farm</t>
  </si>
  <si>
    <t>Murra Warra Wind Farm - stage 1</t>
  </si>
  <si>
    <t>Murra Warra Project Co Pty Ltd</t>
  </si>
  <si>
    <t>1-61</t>
  </si>
  <si>
    <t>225.7</t>
  </si>
  <si>
    <t>Murra Warra Wind Farm - stage 2</t>
  </si>
  <si>
    <t>1-55</t>
  </si>
  <si>
    <t>Naroghid</t>
  </si>
  <si>
    <t>Feb 2020</t>
  </si>
  <si>
    <t>Nhill Wind Farm</t>
  </si>
  <si>
    <t>BayWa r.e.</t>
  </si>
  <si>
    <t>7.2</t>
  </si>
  <si>
    <t>Mar 2019</t>
  </si>
  <si>
    <t>May 2019</t>
  </si>
  <si>
    <t>Ouyen Solar Farm</t>
  </si>
  <si>
    <t>Penshurst</t>
  </si>
  <si>
    <t>1-134</t>
  </si>
  <si>
    <t>198</t>
  </si>
  <si>
    <t>Port Phillip Heads Tidal Energy Project</t>
  </si>
  <si>
    <t>Tenax Energy</t>
  </si>
  <si>
    <t>Tidal</t>
  </si>
  <si>
    <t>34</t>
  </si>
  <si>
    <t>Prairie</t>
  </si>
  <si>
    <t>100 - 250</t>
  </si>
  <si>
    <t>Ryan Corner Wind Farm</t>
  </si>
  <si>
    <t>Units 1-56</t>
  </si>
  <si>
    <t>235.2</t>
  </si>
  <si>
    <t>Shepparton Solar Farm</t>
  </si>
  <si>
    <t>Spring Hill Wind Farm</t>
  </si>
  <si>
    <t>Star of The South</t>
  </si>
  <si>
    <t>Offshore Energy</t>
  </si>
  <si>
    <t>Wind - Offshore</t>
  </si>
  <si>
    <t>532</t>
  </si>
  <si>
    <t>Tarrone GT</t>
  </si>
  <si>
    <t>500 - 600</t>
  </si>
  <si>
    <t>Timboon West Wind Farm</t>
  </si>
  <si>
    <t>Wangaratta Solar Farm</t>
  </si>
  <si>
    <t>Countrywide Energy Pty Ltd</t>
  </si>
  <si>
    <t>SMA Inverter</t>
  </si>
  <si>
    <t>Warracknabeal Wind Farm</t>
  </si>
  <si>
    <t>Wemen Asset Co Pty Ltd as Trustee to Wemen Solar Unit Trust</t>
  </si>
  <si>
    <t>87.75</t>
  </si>
  <si>
    <t>Willatook</t>
  </si>
  <si>
    <t>Wind Prospect WA Pty Ltd</t>
  </si>
  <si>
    <t>50-100</t>
  </si>
  <si>
    <t>285</t>
  </si>
  <si>
    <t>Woolsthorpe Wind Farm</t>
  </si>
  <si>
    <t>Yatpool Solar Farm</t>
  </si>
  <si>
    <t>BayWa r.e</t>
  </si>
  <si>
    <t>81</t>
  </si>
  <si>
    <t>Yawong Wind Farm</t>
  </si>
  <si>
    <t>Please read the full disclaimer at</t>
  </si>
  <si>
    <t>http://www.aemo.com.au/Electricity/National-Electricity-Market-NEM/Planning-and-forecasting/Generation-information</t>
  </si>
  <si>
    <t>Victoria Summary</t>
  </si>
  <si>
    <t>Changes since last update</t>
  </si>
  <si>
    <r>
      <rPr>
        <b/>
        <sz val="9"/>
        <rFont val="Arial"/>
        <family val="2"/>
      </rPr>
      <t xml:space="preserve">Bulgana Green Power Hub - BESS: </t>
    </r>
    <r>
      <rPr>
        <sz val="9"/>
        <rFont val="Arial"/>
        <family val="2"/>
      </rPr>
      <t>Bulgana Green Power Hub - Battery Energy Storage System (BESS) (21 MW) is now reported as committed since Neoen advises that it has commenced construction.</t>
    </r>
  </si>
  <si>
    <r>
      <rPr>
        <b/>
        <sz val="9"/>
        <rFont val="Arial"/>
        <family val="2"/>
      </rPr>
      <t>Murra Warra Wind Farm - stage 1 :</t>
    </r>
    <r>
      <rPr>
        <sz val="9"/>
        <rFont val="Arial"/>
        <family val="2"/>
      </rPr>
      <t xml:space="preserve"> RES Australia advises that Murra Warra Wind Farm - stage 1 (226 MW) is now a committed project.</t>
    </r>
  </si>
  <si>
    <r>
      <rPr>
        <b/>
        <sz val="9"/>
        <rFont val="Arial"/>
        <family val="2"/>
      </rPr>
      <t>Salt Creek Wind Farm :</t>
    </r>
    <r>
      <rPr>
        <sz val="9"/>
        <rFont val="Arial"/>
        <family val="2"/>
      </rPr>
      <t xml:space="preserve"> Tilt Renewables advises that Salt Creek Wind Farm (54 MW) is now a committed project.</t>
    </r>
  </si>
  <si>
    <t xml:space="preserve">Generation withdrawals  </t>
  </si>
  <si>
    <r>
      <rPr>
        <b/>
        <sz val="9"/>
        <color theme="1"/>
        <rFont val="Arial"/>
        <family val="2"/>
      </rPr>
      <t>Hazelwood:</t>
    </r>
    <r>
      <rPr>
        <sz val="9"/>
        <color theme="1"/>
        <rFont val="Arial"/>
        <family val="2"/>
      </rPr>
      <t xml:space="preserve"> Hazelwood Power advises that Hazelwood Power Station (1600 MW) has closed operations at the end of March 2017 and is undergoing decommissioning.</t>
    </r>
  </si>
  <si>
    <t xml:space="preserve">Announced withdrawals (i.e. Mothballed, Seasonal Shut down etc.)           </t>
  </si>
  <si>
    <t>AEMO has not been advised of any announced withdrawals for this region.</t>
  </si>
  <si>
    <t>Committed projects</t>
  </si>
  <si>
    <r>
      <rPr>
        <b/>
        <sz val="9"/>
        <rFont val="Arial"/>
        <family val="2"/>
      </rPr>
      <t xml:space="preserve">Coal, CCGT, OCGT, Gas other, Water, Biomass, Geo-thermal, Other : </t>
    </r>
    <r>
      <rPr>
        <sz val="9"/>
        <rFont val="Arial"/>
        <family val="2"/>
      </rPr>
      <t>None to report.</t>
    </r>
  </si>
  <si>
    <t xml:space="preserve">Proposed projects </t>
  </si>
  <si>
    <t>Please refer to information presented in the worksheet titled 'New Developments'.</t>
  </si>
  <si>
    <t xml:space="preserve">Plant limitations </t>
  </si>
  <si>
    <t>AEMO has not been advised of any plant limitations for this region.</t>
  </si>
  <si>
    <t>Victoria existing and potential new developments by generation type (MW)</t>
  </si>
  <si>
    <t>Victoria Change Log</t>
  </si>
  <si>
    <t>Lists all key updates to new development projects and existing generation information between publication dates since the 2012 ESOO.</t>
  </si>
  <si>
    <t>Publication Date:</t>
  </si>
  <si>
    <r>
      <rPr>
        <b/>
        <sz val="9"/>
        <rFont val="Arial"/>
        <family val="2"/>
      </rPr>
      <t>Morwell Power Station</t>
    </r>
    <r>
      <rPr>
        <sz val="9"/>
        <rFont val="Arial"/>
        <family val="2"/>
      </rPr>
      <t>: Energy Brix Australia Corporation Pty Ltd advises that the Morwell plant has revised its available capacity from 104 MW to 75 MW (-29 MW) in summer and winter, due to generation units with DUID MOR1 in operation and generation unit with DUID MOR2 operational when generation unit with DUID MOR1 is under maintenance. Generation unit with DUID MOR3 will be available on a 30 day recall.</t>
    </r>
  </si>
  <si>
    <r>
      <rPr>
        <b/>
        <sz val="9"/>
        <rFont val="Arial"/>
        <family val="2"/>
      </rPr>
      <t>Qenos Cogeneration Facility:</t>
    </r>
    <r>
      <rPr>
        <sz val="9"/>
        <rFont val="Arial"/>
        <family val="2"/>
      </rPr>
      <t xml:space="preserve"> AGL Energy advises that Qenos Cogeneration Facility is a committed project. The 21 MW combined-cycle gas turbine (CCGT) construction completion achieved in October 2012 and full commissioning at the end of March 2013.</t>
    </r>
  </si>
  <si>
    <r>
      <rPr>
        <b/>
        <sz val="9"/>
        <color theme="1"/>
        <rFont val="Arial"/>
        <family val="2"/>
      </rPr>
      <t>Macarthur Wind Farm:</t>
    </r>
    <r>
      <rPr>
        <sz val="9"/>
        <color theme="1"/>
        <rFont val="Arial"/>
        <family val="2"/>
      </rPr>
      <t xml:space="preserve"> AGL Energy advises that the 420 MW Macarthur wind farm project was completed in January 2013.</t>
    </r>
  </si>
  <si>
    <r>
      <rPr>
        <b/>
        <sz val="9"/>
        <rFont val="Arial"/>
        <family val="2"/>
      </rPr>
      <t>Qenos Cogeneration Facility:</t>
    </r>
    <r>
      <rPr>
        <sz val="9"/>
        <rFont val="Arial"/>
        <family val="2"/>
      </rPr>
      <t xml:space="preserve"> AGL Energy advises that 21 MW Qenos Cogeneration Facility project was completed in March 2013.</t>
    </r>
  </si>
  <si>
    <r>
      <rPr>
        <b/>
        <sz val="9"/>
        <color theme="1"/>
        <rFont val="Arial"/>
        <family val="2"/>
      </rPr>
      <t>Mt Mercer Wind Farm:</t>
    </r>
    <r>
      <rPr>
        <sz val="9"/>
        <color theme="1"/>
        <rFont val="Arial"/>
        <family val="2"/>
      </rPr>
      <t xml:space="preserve"> Mt Mercer Wind Farm Pty Ltd advises that Mt Mercer wind farm is a committed project. The 131.2 MW wind farm expected commissioning is January 2015.</t>
    </r>
  </si>
  <si>
    <r>
      <rPr>
        <b/>
        <sz val="9"/>
        <color theme="1"/>
        <rFont val="Arial"/>
        <family val="2"/>
      </rPr>
      <t xml:space="preserve">Mildura Power Station: </t>
    </r>
    <r>
      <rPr>
        <sz val="9"/>
        <color theme="1"/>
        <rFont val="Arial"/>
        <family val="2"/>
      </rPr>
      <t>Solar Systems advises that Mildura Power Station demonstration facility is a committed project. The 1.5 MW solar plant is under construction and expected completion is July 2013.</t>
    </r>
  </si>
  <si>
    <r>
      <rPr>
        <b/>
        <sz val="9"/>
        <rFont val="Arial"/>
        <family val="2"/>
      </rPr>
      <t>Hallam Road Power Station:</t>
    </r>
    <r>
      <rPr>
        <sz val="9"/>
        <rFont val="Arial"/>
        <family val="2"/>
      </rPr>
      <t xml:space="preserve"> LMS Energy advises that the upgrades to Unit 7 was completed in June 2012 and Unit 8 in November 2012 increasing the capacity by 2.2 MW.</t>
    </r>
  </si>
  <si>
    <r>
      <rPr>
        <b/>
        <sz val="9"/>
        <color theme="1"/>
        <rFont val="Arial"/>
        <family val="2"/>
      </rPr>
      <t>Mildura Power Station:</t>
    </r>
    <r>
      <rPr>
        <sz val="9"/>
        <color theme="1"/>
        <rFont val="Arial"/>
        <family val="2"/>
      </rPr>
      <t xml:space="preserve"> Solar Systems advises that Mildura Power Station Stage 2 of the project is to be 100 MW of capacity.</t>
    </r>
  </si>
  <si>
    <r>
      <rPr>
        <b/>
        <sz val="9"/>
        <color theme="1"/>
        <rFont val="Arial"/>
        <family val="2"/>
      </rPr>
      <t>Mildura Power Station:</t>
    </r>
    <r>
      <rPr>
        <sz val="9"/>
        <color theme="1"/>
        <rFont val="Arial"/>
        <family val="2"/>
      </rPr>
      <t xml:space="preserve"> Solar Systems advises that Mildura Power Station demonstration facility (1.5 MW) project was completed in July 2013.</t>
    </r>
  </si>
  <si>
    <r>
      <rPr>
        <b/>
        <sz val="9"/>
        <color theme="1"/>
        <rFont val="Arial"/>
        <family val="2"/>
      </rPr>
      <t>Portland Stage 4 Cape Nelson North and Cape Sir William Grant:</t>
    </r>
    <r>
      <rPr>
        <sz val="9"/>
        <color theme="1"/>
        <rFont val="Arial"/>
        <family val="2"/>
      </rPr>
      <t xml:space="preserve"> Pacific Hydro Australia advises that Portland Stage 4 Cape Nelson North and Cape Sir William Grant</t>
    </r>
    <r>
      <rPr>
        <b/>
        <sz val="9"/>
        <color theme="1"/>
        <rFont val="Arial"/>
        <family val="2"/>
      </rPr>
      <t> </t>
    </r>
    <r>
      <rPr>
        <sz val="9"/>
        <color theme="1"/>
        <rFont val="Arial"/>
        <family val="2"/>
      </rPr>
      <t>(47.15 MW) construction at the site is to commence in September 2013, with full commissioning planned for September 2015.</t>
    </r>
  </si>
  <si>
    <r>
      <rPr>
        <b/>
        <sz val="9"/>
        <color theme="1"/>
        <rFont val="Arial"/>
        <family val="2"/>
      </rPr>
      <t xml:space="preserve">Loy Yang A: </t>
    </r>
    <r>
      <rPr>
        <sz val="9"/>
        <color theme="1"/>
        <rFont val="Arial"/>
        <family val="2"/>
      </rPr>
      <t>AGL Energy advises Loy Yang A Power Station has revised its available capacity to 2100 MW (-90 MW) in summer due to operational experience in ambient conditions.</t>
    </r>
  </si>
  <si>
    <r>
      <rPr>
        <b/>
        <sz val="9"/>
        <color theme="1"/>
        <rFont val="Arial"/>
        <family val="2"/>
      </rPr>
      <t xml:space="preserve">Macarthur: </t>
    </r>
    <r>
      <rPr>
        <sz val="9"/>
        <color theme="1"/>
        <rFont val="Arial"/>
        <family val="2"/>
      </rPr>
      <t>AGL Energy advises Macarthur Power Station has revised its available capacity to 315 MW (-105 MW) in summer to reflect the actual behaviour of the wind generation assets during high temperature days.</t>
    </r>
  </si>
  <si>
    <r>
      <rPr>
        <b/>
        <sz val="9"/>
        <color theme="1"/>
        <rFont val="Arial"/>
        <family val="2"/>
      </rPr>
      <t xml:space="preserve">Morwell/Energy Brix: </t>
    </r>
    <r>
      <rPr>
        <sz val="9"/>
        <color theme="1"/>
        <rFont val="Arial"/>
        <family val="2"/>
      </rPr>
      <t>Energy Brix Australia Corporation Pty Ltd advises Morwell/Energy Brix Power Station has revised its available capacity to 65 MW (-10 MW) in summer due to the Morwell mine fire destroying conveyors, thus restricting coal supply.</t>
    </r>
  </si>
  <si>
    <r>
      <rPr>
        <b/>
        <sz val="9"/>
        <color theme="1"/>
        <rFont val="Arial"/>
        <family val="2"/>
      </rPr>
      <t>Mt Mercer Wind Farm:</t>
    </r>
    <r>
      <rPr>
        <sz val="9"/>
        <color theme="1"/>
        <rFont val="Arial"/>
        <family val="2"/>
      </rPr>
      <t xml:space="preserve"> Mt Mercer Wind Farm Pty Ltd advises that Mt Mercer wind farm is a committed project. The 131.2 MW wind farm expected commissioning is July 2014.</t>
    </r>
  </si>
  <si>
    <r>
      <rPr>
        <b/>
        <sz val="9"/>
        <color theme="1"/>
        <rFont val="Arial"/>
        <family val="2"/>
      </rPr>
      <t>Bald Hill Wind Farm (Phase 1):</t>
    </r>
    <r>
      <rPr>
        <sz val="9"/>
        <color theme="1"/>
        <rFont val="Arial"/>
        <family val="2"/>
      </rPr>
      <t xml:space="preserve"> Mitsui and Co. Australia Ltd advises that Bald Hill wind farm is a committed project. The 106.6 MW wind farm expected commissioning is May 2015.</t>
    </r>
  </si>
  <si>
    <r>
      <rPr>
        <b/>
        <sz val="9"/>
        <color theme="1"/>
        <rFont val="Arial"/>
        <family val="2"/>
      </rPr>
      <t>Portland Stage 4 Cape Nelson North and Cape Sir William Grant:</t>
    </r>
    <r>
      <rPr>
        <sz val="9"/>
        <color theme="1"/>
        <rFont val="Arial"/>
        <family val="2"/>
      </rPr>
      <t xml:space="preserve"> Pacific Hydro Portland Wind Farm Pty Ltd advises that Portland Stage 4 Cape Nelson North and Cape Sir William Grant wind farm is a committed project. The 47.15 MW wind farm expected commissioning is May 2015.</t>
    </r>
  </si>
  <si>
    <r>
      <rPr>
        <b/>
        <sz val="9"/>
        <color theme="1"/>
        <rFont val="Arial"/>
        <family val="2"/>
      </rPr>
      <t>Mt Mercer Wind Farm:</t>
    </r>
    <r>
      <rPr>
        <sz val="9"/>
        <color theme="1"/>
        <rFont val="Arial"/>
        <family val="2"/>
      </rPr>
      <t xml:space="preserve"> Mt Mercer Wind Farm Pty Ltd advises that Mt Mercer wind farm has been in full production since July 2014. The commissioning date has been revised to February 2015.</t>
    </r>
  </si>
  <si>
    <t>Anglesea Power Station: Alcoa of Australia Limited advises that Anglesea Power Station is changed its registration classification from Non-Scheduled to a Scheduled generator.</t>
  </si>
  <si>
    <r>
      <rPr>
        <b/>
        <sz val="9"/>
        <color theme="1"/>
        <rFont val="Arial"/>
        <family val="2"/>
      </rPr>
      <t>Bald Hills Wind Farm (Phase 1):</t>
    </r>
    <r>
      <rPr>
        <sz val="9"/>
        <color theme="1"/>
        <rFont val="Arial"/>
        <family val="2"/>
      </rPr>
      <t xml:space="preserve"> Mitsui and Co. Australia Ltd advises that Bald Hills wind farm (106.6 MW) is a committed project. The wind farm is under construction with expected commissioning in May 2015.</t>
    </r>
  </si>
  <si>
    <r>
      <rPr>
        <b/>
        <sz val="9"/>
        <color theme="1"/>
        <rFont val="Arial"/>
        <family val="2"/>
      </rPr>
      <t>Mt Mercer Wind Farm:</t>
    </r>
    <r>
      <rPr>
        <sz val="9"/>
        <color theme="1"/>
        <rFont val="Arial"/>
        <family val="2"/>
      </rPr>
      <t xml:space="preserve"> Mt Mercer Wind Farm Pty Ltd advises that Mt Mercer wind farm (131.2 MW) project is completed and in full commercial operation since mid 2014.</t>
    </r>
  </si>
  <si>
    <r>
      <rPr>
        <b/>
        <sz val="9"/>
        <color theme="1"/>
        <rFont val="Arial"/>
        <family val="2"/>
      </rPr>
      <t>Morwell/Energy Brix:</t>
    </r>
    <r>
      <rPr>
        <sz val="9"/>
        <color theme="1"/>
        <rFont val="Arial"/>
        <family val="2"/>
      </rPr>
      <t xml:space="preserve"> Energy Brix Australia Corporation Pty Ltd advises Morwell/Energy Brix Power Station has been withdrawn from service since August 2014.</t>
    </r>
  </si>
  <si>
    <r>
      <rPr>
        <b/>
        <sz val="9"/>
        <rFont val="Arial"/>
        <family val="2"/>
      </rPr>
      <t xml:space="preserve">Portland Stage 4 Cape Nelson North and Cape Sir William Grant: </t>
    </r>
    <r>
      <rPr>
        <sz val="9"/>
        <rFont val="Arial"/>
        <family val="2"/>
      </rPr>
      <t xml:space="preserve"> Pacific Hydro Portland Wind Farm Pty Ltd advises that Portland Stage 4 (47.15 MW) project is completed and in full commercial operation since end of Feb 2015.</t>
    </r>
  </si>
  <si>
    <r>
      <rPr>
        <b/>
        <sz val="9"/>
        <color theme="1"/>
        <rFont val="Arial"/>
        <family val="2"/>
      </rPr>
      <t>Ararat Wind Farm:</t>
    </r>
    <r>
      <rPr>
        <sz val="9"/>
        <color theme="1"/>
        <rFont val="Arial"/>
        <family val="2"/>
      </rPr>
      <t xml:space="preserve"> Ararat Wind Farm Pty Ltd advises that Ararat wind farm (240 MW) is to start construction in July 2015 with full commercial operation expected in May 2016.</t>
    </r>
  </si>
  <si>
    <r>
      <rPr>
        <b/>
        <sz val="9"/>
        <color theme="1"/>
        <rFont val="Arial"/>
        <family val="2"/>
      </rPr>
      <t>Coonooer Bridge Wind Farm:</t>
    </r>
    <r>
      <rPr>
        <sz val="9"/>
        <color theme="1"/>
        <rFont val="Arial"/>
        <family val="2"/>
      </rPr>
      <t xml:space="preserve"> Windlab Systems Pty Ltd advises that Coonooer Bridge wind farm (19.8 MW) is to start construction in April 2015 with full commercial operation expected in March 2016.</t>
    </r>
  </si>
  <si>
    <r>
      <rPr>
        <b/>
        <sz val="9"/>
        <color theme="1"/>
        <rFont val="Arial"/>
        <family val="2"/>
      </rPr>
      <t xml:space="preserve">Anglesea Power Station: </t>
    </r>
    <r>
      <rPr>
        <sz val="9"/>
        <color theme="1"/>
        <rFont val="Arial"/>
        <family val="2"/>
      </rPr>
      <t>Alcoa of Australia Limited advises Anglesea Power Station will retire from service from 31 August 2015 and to be decommissioned.</t>
    </r>
  </si>
  <si>
    <r>
      <t xml:space="preserve">Yallourn W Power Station: </t>
    </r>
    <r>
      <rPr>
        <sz val="9"/>
        <rFont val="Arial"/>
        <family val="2"/>
      </rPr>
      <t>EnergyAustralia Holdings Pty Ltd advises Yallourn W Power Station has revised its available capacity to 1516 MW (+12 MW) in summer due to turbine upgrades.</t>
    </r>
  </si>
  <si>
    <r>
      <rPr>
        <b/>
        <sz val="9"/>
        <color theme="1"/>
        <rFont val="Arial"/>
        <family val="2"/>
      </rPr>
      <t>Loy Yang A</t>
    </r>
    <r>
      <rPr>
        <sz val="9"/>
        <color theme="1"/>
        <rFont val="Arial"/>
        <family val="2"/>
      </rPr>
      <t xml:space="preserve">: AGL Energy advises Loy Yang A Power Station has revised its available capacity to 2070 MW (-30 MW) in summer due to change in performance re-evaluation. Also, revised its available capacity to 2210 MW (-60 MW) in winter due to the difficulty of producing maximum daily capacity for extended periods.
</t>
    </r>
  </si>
  <si>
    <r>
      <rPr>
        <b/>
        <sz val="9"/>
        <color theme="1"/>
        <rFont val="Arial"/>
        <family val="2"/>
      </rPr>
      <t>Loy Yang B:</t>
    </r>
    <r>
      <rPr>
        <sz val="9"/>
        <color theme="1"/>
        <rFont val="Arial"/>
        <family val="2"/>
      </rPr>
      <t xml:space="preserve"> AGL Energy advises Loy Yang B Power Station has revised its available capacity to 980 MW (+15 MW) in summer due to increase in condenser vacuum limit.  Also, revised its available capacity to 1070 MW (+20 MW) in winter due to increase in condenser vacuum limit.</t>
    </r>
  </si>
  <si>
    <r>
      <rPr>
        <b/>
        <sz val="9"/>
        <color theme="1"/>
        <rFont val="Arial"/>
        <family val="2"/>
      </rPr>
      <t>Ararat Wind Farm:</t>
    </r>
    <r>
      <rPr>
        <sz val="9"/>
        <color theme="1"/>
        <rFont val="Arial"/>
        <family val="2"/>
      </rPr>
      <t xml:space="preserve"> Ararat Wind Farm Pty Ltd advises that Ararat wind farm (240 MW) is to start construction in July 2015 with full commercial operation expected in May 2017.</t>
    </r>
  </si>
  <si>
    <r>
      <rPr>
        <b/>
        <sz val="9"/>
        <color theme="1"/>
        <rFont val="Arial"/>
        <family val="2"/>
      </rPr>
      <t xml:space="preserve">Morwell/Energy Brix: </t>
    </r>
    <r>
      <rPr>
        <sz val="9"/>
        <color theme="1"/>
        <rFont val="Arial"/>
        <family val="2"/>
      </rPr>
      <t>Energy Brix Australia Corporation Pty Ltd advises Morwell/Energy Brix Power Station has temporarily closed its operations from August 2014.</t>
    </r>
  </si>
  <si>
    <r>
      <rPr>
        <b/>
        <sz val="9"/>
        <color theme="1"/>
        <rFont val="Arial"/>
        <family val="2"/>
      </rPr>
      <t>Coonooer Bridge Wind Farm:</t>
    </r>
    <r>
      <rPr>
        <sz val="9"/>
        <color theme="1"/>
        <rFont val="Arial"/>
        <family val="2"/>
      </rPr>
      <t xml:space="preserve"> Windlab Systems Pty Ltd advises that Coonooer Bridge wind farm (19.8 MW) is now a committed project.  Full commercial operation is expected in March 2016.</t>
    </r>
  </si>
  <si>
    <r>
      <rPr>
        <b/>
        <sz val="9"/>
        <rFont val="Arial"/>
        <family val="2"/>
      </rPr>
      <t>Ararat Wind Farm:</t>
    </r>
    <r>
      <rPr>
        <sz val="9"/>
        <rFont val="Arial"/>
        <family val="2"/>
      </rPr>
      <t xml:space="preserve"> Ararat Wind Farm Pty Ltd advises that Ararat wind farm (240 MW) is to be in full commercial operation expected in May 2017.</t>
    </r>
  </si>
  <si>
    <r>
      <rPr>
        <b/>
        <sz val="9"/>
        <rFont val="Arial"/>
        <family val="2"/>
      </rPr>
      <t>Mt Gellibrand Wind Farm:</t>
    </r>
    <r>
      <rPr>
        <sz val="9"/>
        <rFont val="Arial"/>
        <family val="2"/>
      </rPr>
      <t xml:space="preserve"> Acciona Energy advises that Mt Gellibrand Stage 1 (66 MW) is a committed project.</t>
    </r>
  </si>
  <si>
    <r>
      <rPr>
        <b/>
        <sz val="9"/>
        <rFont val="Arial"/>
        <family val="2"/>
      </rPr>
      <t>New Development:</t>
    </r>
    <r>
      <rPr>
        <sz val="9"/>
        <rFont val="Arial"/>
        <family val="2"/>
      </rPr>
      <t xml:space="preserve"> Mallee Solar Park, Kiata Wind Farm.</t>
    </r>
  </si>
  <si>
    <r>
      <rPr>
        <b/>
        <sz val="9"/>
        <rFont val="Arial"/>
        <family val="2"/>
      </rPr>
      <t>Hazelwood:</t>
    </r>
    <r>
      <rPr>
        <sz val="9"/>
        <rFont val="Arial"/>
        <family val="2"/>
      </rPr>
      <t xml:space="preserve"> Hazelwood Power advises that Hazelwood Power Station will cease generation at the end of March 2017.</t>
    </r>
  </si>
  <si>
    <r>
      <t xml:space="preserve">Kiata Wind Farm: </t>
    </r>
    <r>
      <rPr>
        <sz val="9"/>
        <rFont val="Arial"/>
        <family val="2"/>
      </rPr>
      <t>Kiata Wind Farm Pty Ltd advises that Kiata Wind Farm (31.05 MW) is now a committed project with full commercial use expected December 2017.</t>
    </r>
  </si>
  <si>
    <r>
      <t xml:space="preserve">Ararat: </t>
    </r>
    <r>
      <rPr>
        <sz val="9"/>
        <rFont val="Arial"/>
        <family val="2"/>
      </rPr>
      <t>Ararat Wind Farm Pty Ltd advises that Ararat (240MW) is now completed and is undergoing commissioning tests with full commercial operation having commenced in May 2017.</t>
    </r>
  </si>
  <si>
    <r>
      <t xml:space="preserve">Gannawarra Solar Farm: </t>
    </r>
    <r>
      <rPr>
        <sz val="9"/>
        <rFont val="Arial"/>
        <family val="2"/>
      </rPr>
      <t>Gannawarra Solar Farm Pty Ltd advises that Gannawarra Solar Farm (50 MW) is now a committed project, with full commercial use expected April 2018.</t>
    </r>
  </si>
  <si>
    <r>
      <t>Longford:</t>
    </r>
    <r>
      <rPr>
        <sz val="9"/>
        <rFont val="Arial"/>
        <family val="2"/>
      </rPr>
      <t xml:space="preserve"> Longford Gas Plant advises that Longford has increased its total nameplate capacity from 32 MW to 45 MW in December 2016.</t>
    </r>
  </si>
  <si>
    <r>
      <t xml:space="preserve">Yaloak South: </t>
    </r>
    <r>
      <rPr>
        <sz val="9"/>
        <rFont val="Arial"/>
        <family val="2"/>
      </rPr>
      <t>Energy Pacific Vic Pty Ltd advises that Yaloak South (28.7 MW) is now a committed project.</t>
    </r>
  </si>
  <si>
    <r>
      <t xml:space="preserve">Bannerton Solar Park: </t>
    </r>
    <r>
      <rPr>
        <sz val="9"/>
        <rFont val="Arial"/>
        <family val="2"/>
      </rPr>
      <t xml:space="preserve">Foresight Solar Australia Pty Ltd advises that Bannerton Solar Park (88 MW) is now a committed project.  </t>
    </r>
  </si>
  <si>
    <r>
      <t xml:space="preserve">Gannawarra Solar Farm: </t>
    </r>
    <r>
      <rPr>
        <sz val="9"/>
        <rFont val="Arial"/>
        <family val="2"/>
      </rPr>
      <t>Gannawarra Solar Farm Pty Ltd advises that Gannawarra Solar Farm has increased from 50 MW to 55 MW.</t>
    </r>
  </si>
  <si>
    <r>
      <t xml:space="preserve">Crowlands Wind Farm: </t>
    </r>
    <r>
      <rPr>
        <sz val="9"/>
        <rFont val="Arial"/>
        <family val="2"/>
      </rPr>
      <t>Energy Pacific Vic Pty Ltd advises that Crowlands Wind Farm (80 MW) is now a committed project</t>
    </r>
  </si>
  <si>
    <r>
      <t xml:space="preserve">Kiata Wind Farm: </t>
    </r>
    <r>
      <rPr>
        <sz val="9"/>
        <rFont val="Arial"/>
        <family val="2"/>
      </rPr>
      <t>Kiata Wind Farm Pty Ltd advises that Kiata Wind Farm (31.05 MW) is now a committed project</t>
    </r>
  </si>
  <si>
    <r>
      <rPr>
        <b/>
        <sz val="9"/>
        <rFont val="Arial"/>
        <family val="2"/>
      </rPr>
      <t>Mt Gellibrand Wind Farm:</t>
    </r>
    <r>
      <rPr>
        <sz val="9"/>
        <rFont val="Arial"/>
        <family val="2"/>
      </rPr>
      <t xml:space="preserve"> Acciona Energy advises that Mt Gellibrand (132 MW) is a committed project.</t>
    </r>
  </si>
  <si>
    <r>
      <rPr>
        <b/>
        <sz val="9"/>
        <rFont val="Arial"/>
        <family val="2"/>
      </rPr>
      <t>Yatpool Solar Farm:</t>
    </r>
    <r>
      <rPr>
        <sz val="9"/>
        <rFont val="Arial"/>
        <family val="2"/>
      </rPr>
      <t xml:space="preserve"> Yatpool Solar Farm (81 MW) is now reported as committed since Overland Sun Farming Pty Ltd advises that it has commenced construction</t>
    </r>
  </si>
  <si>
    <t>Temperature effects on generation</t>
  </si>
  <si>
    <t>The actual level of generation available at any particular time will depend on the condition of the generating plant. This includes factors such as age, outages, and wear. Another important factor with respect to output is the reduction in thermal efficiency as the temperature increases.</t>
  </si>
  <si>
    <t>Because temperature can affect plant generation capacities in different ways, basing generation capacities on region-specific reference temperatures facilitates more effective assessment of available generation capacity under weather conditions frequently associated with high demand.</t>
  </si>
  <si>
    <t>To produce the supply-demand outlook, AEMO — in consultation with the Jurisdictional Planning Bodies (JPBs) — undertakes the following:</t>
  </si>
  <si>
    <r>
      <rPr>
        <sz val="9"/>
        <color theme="1"/>
        <rFont val="Symbol"/>
        <family val="1"/>
        <charset val="2"/>
      </rPr>
      <t>·</t>
    </r>
    <r>
      <rPr>
        <sz val="7"/>
        <color theme="1"/>
        <rFont val="Times New Roman"/>
        <family val="1"/>
      </rPr>
      <t xml:space="preserve">      </t>
    </r>
    <r>
      <rPr>
        <sz val="9"/>
        <color theme="1"/>
        <rFont val="Arial"/>
        <family val="2"/>
      </rPr>
      <t>Uses historical data to estimate typical weather conditions, and to determine reference temperatures frequently associated with times of 10% probability of exceedance (POE) maximum demand in the major load centres for each region.</t>
    </r>
  </si>
  <si>
    <r>
      <rPr>
        <sz val="9"/>
        <color theme="1"/>
        <rFont val="Symbol"/>
        <family val="1"/>
        <charset val="2"/>
      </rPr>
      <t>·</t>
    </r>
    <r>
      <rPr>
        <sz val="7"/>
        <color theme="1"/>
        <rFont val="Times New Roman"/>
        <family val="1"/>
      </rPr>
      <t xml:space="preserve">      </t>
    </r>
    <r>
      <rPr>
        <sz val="9"/>
        <color theme="1"/>
        <rFont val="Arial"/>
        <family val="2"/>
      </rPr>
      <t>Asks generators to provide generating unit capacities for summer and winter using these common reference temperatures. The table below lists the common reference temperatures AEMO applies for each region. In general, annual maximum demands occur during summer; the exception is Tasmania, where maximum demand occurs during winter. Summer maximum demand in Tasmania occurs during colder temperatures, resulting in a relatively low summer reference temperature.</t>
    </r>
  </si>
  <si>
    <t>Generation capacity reference temperatures</t>
  </si>
  <si>
    <t>Region  </t>
  </si>
  <si>
    <t>Summer (°C)</t>
  </si>
  <si>
    <t>Winter (°C)</t>
  </si>
  <si>
    <t>Queensland</t>
  </si>
  <si>
    <t>New South Wales</t>
  </si>
  <si>
    <t>Victoria</t>
  </si>
  <si>
    <t>South Australia</t>
  </si>
  <si>
    <t>Tasmania</t>
  </si>
  <si>
    <t>Maximum capacity</t>
  </si>
  <si>
    <t>Some thermal (generation that burns fuel) and non-thermal (renewable generation) generating systems can provide additional, short-term capacity that exceeds the registered capacity. This is known as maximum capacity.</t>
  </si>
  <si>
    <t>Proposed generation in the NEM</t>
  </si>
  <si>
    <t>In addition to capacity forecasts, generation plant owners advise AEMO about the status of generation projects currently under development in each region.</t>
  </si>
  <si>
    <t>Generation project commitment criteria</t>
  </si>
  <si>
    <t>Category</t>
  </si>
  <si>
    <t>Criteria</t>
  </si>
  <si>
    <t>Site</t>
  </si>
  <si>
    <t>The project proponent has purchased/settled/acquired (or commenced legal proceedings to purchase/settle/acquire) land for the construction of the project.</t>
  </si>
  <si>
    <t>Major components</t>
  </si>
  <si>
    <t>Contracts for the supply and construction of major plant or equipment components (such as generating units, turbines, boilers, transmission towers, conductors, and terminal station equipment) have been finalised and executed, including any provisions for cancellation payments.</t>
  </si>
  <si>
    <t>Finance</t>
  </si>
  <si>
    <t>The financing arrangements for the proposal, including any debt plans, must have been concluded and contracts executed.</t>
  </si>
  <si>
    <r>
      <rPr>
        <b/>
        <sz val="9"/>
        <rFont val="Arial"/>
        <family val="2"/>
      </rPr>
      <t>Ballarat Energy Storage System:</t>
    </r>
    <r>
      <rPr>
        <sz val="9"/>
        <rFont val="Arial"/>
        <family val="2"/>
      </rPr>
      <t xml:space="preserve"> Ballarat Energy Storage System (30 MW) is now reported as committed since AusNet Services advises that it has commenced construction</t>
    </r>
  </si>
  <si>
    <r>
      <rPr>
        <b/>
        <sz val="9"/>
        <rFont val="Arial"/>
        <family val="2"/>
      </rPr>
      <t>Gannawarra Energy Storage System:</t>
    </r>
    <r>
      <rPr>
        <sz val="9"/>
        <rFont val="Arial"/>
        <family val="2"/>
      </rPr>
      <t xml:space="preserve"> Gannawarra Energy Storage System (25 MW) is now reported as committed since GESS Co advises that it has commenced construction</t>
    </r>
  </si>
  <si>
    <r>
      <rPr>
        <b/>
        <sz val="9"/>
        <rFont val="Arial"/>
        <family val="2"/>
      </rPr>
      <t>Lal Lal Wind Energy Facility - Elaine end:</t>
    </r>
    <r>
      <rPr>
        <sz val="9"/>
        <rFont val="Arial"/>
        <family val="2"/>
      </rPr>
      <t xml:space="preserve"> Lal Lal Wind Energy Facility - Elaine end (79 MW) is now reported as committed since Westwind Energy Pty Ltd advises that it has commenced construction</t>
    </r>
  </si>
  <si>
    <r>
      <rPr>
        <b/>
        <sz val="9"/>
        <rFont val="Arial"/>
        <family val="2"/>
      </rPr>
      <t xml:space="preserve">Moorabool Wind Farm: </t>
    </r>
    <r>
      <rPr>
        <sz val="9"/>
        <rFont val="Arial"/>
        <family val="2"/>
      </rPr>
      <t>Moorabool Wind Farm (320 MW) is now reported as committed since Goldwind advises that it has commenced construction</t>
    </r>
  </si>
  <si>
    <r>
      <rPr>
        <b/>
        <sz val="9"/>
        <rFont val="Arial"/>
        <family val="2"/>
      </rPr>
      <t>Stockyard Hill :</t>
    </r>
    <r>
      <rPr>
        <sz val="9"/>
        <rFont val="Arial"/>
        <family val="2"/>
      </rPr>
      <t xml:space="preserve"> Goldwind advises that Stockyard Hill (532 MW) is now a committed project.</t>
    </r>
  </si>
  <si>
    <r>
      <rPr>
        <b/>
        <sz val="9"/>
        <rFont val="Arial"/>
        <family val="2"/>
      </rPr>
      <t>Wemen Solar Farm:</t>
    </r>
    <r>
      <rPr>
        <sz val="9"/>
        <rFont val="Arial"/>
        <family val="2"/>
      </rPr>
      <t xml:space="preserve"> Wemen Asset Co Pty Ltd advises that Wemen Solar Farm (87.75 MW) is now a committed project.</t>
    </r>
  </si>
  <si>
    <t>Aeroten Leongatha Solar</t>
  </si>
  <si>
    <t>PV Panels</t>
  </si>
  <si>
    <t>Bayswood Timber Hallam VIC</t>
  </si>
  <si>
    <t>Bayswood Timber</t>
  </si>
  <si>
    <t>Beaconhills College Berwick</t>
  </si>
  <si>
    <t>Boronia Mini Hydro</t>
  </si>
  <si>
    <t>Bunurong 260 kW Solar PV Bangholme</t>
  </si>
  <si>
    <t>Cardinia Creek Mini-Hydro</t>
  </si>
  <si>
    <t>CARINA WEST H2E</t>
  </si>
  <si>
    <t>Bagasse</t>
  </si>
  <si>
    <t>Cedar Meats Solar Geelong</t>
  </si>
  <si>
    <t>Cedar Meats</t>
  </si>
  <si>
    <t>Flavorite Marketing</t>
  </si>
  <si>
    <t>Jessica Way Truganina Solar</t>
  </si>
  <si>
    <t>JL King &amp; Co 150kW- Solar-</t>
  </si>
  <si>
    <t>Midland Highway Orrvale</t>
  </si>
  <si>
    <t>Mount Waverley Mini Hydro</t>
  </si>
  <si>
    <t>Newhaven College</t>
  </si>
  <si>
    <t>REWASTE WOLLERT</t>
  </si>
  <si>
    <t>Reciprocating engines (gas/diesel)</t>
  </si>
  <si>
    <t>SALE HOSPITAL - SOLAR</t>
  </si>
  <si>
    <t>SCS Shepparton</t>
  </si>
  <si>
    <t>Shamic Sheetmetal</t>
  </si>
  <si>
    <t>Todae Solar – La Trobe University Bendigo</t>
  </si>
  <si>
    <t>Todae Solar – La Trobe University Wodonga</t>
  </si>
  <si>
    <t>Todae Solar - Nillumbik</t>
  </si>
  <si>
    <t>Todae Solar SV - Eltham</t>
  </si>
  <si>
    <t>University of Melbourne Archives Brunswick</t>
  </si>
  <si>
    <t>University of Melbourne McCoy Carlton</t>
  </si>
  <si>
    <t>University of Melbourne Performing Arts Centre Southbank</t>
  </si>
  <si>
    <t>University of Melbourne Peter Hall Parkville</t>
  </si>
  <si>
    <t>University of Melbourne Sports Centre Parkville</t>
  </si>
  <si>
    <t>University of Melbourne The Spot Carlton</t>
  </si>
  <si>
    <t>Vawdrey Manufacturing</t>
  </si>
  <si>
    <t>Wantirna Mini Hydro</t>
  </si>
  <si>
    <t>Zilzie Winery Solar System</t>
  </si>
  <si>
    <t>Summer aggregate available scheduled and semi-scheduled generation</t>
  </si>
  <si>
    <t>PowerStation</t>
  </si>
  <si>
    <t>FuelType</t>
  </si>
  <si>
    <t>Season</t>
  </si>
  <si>
    <t>summer</t>
  </si>
  <si>
    <t>Fossil</t>
  </si>
  <si>
    <t>Ballarat Energy Storage System</t>
  </si>
  <si>
    <t>Hydro</t>
  </si>
  <si>
    <t xml:space="preserve">Moorabool Wind Farm </t>
  </si>
  <si>
    <t>The table above lists the latest Summer capacities for Victorian generation. Summer conditions relate to statistically predicted contribution under 10% POE maximum demand conditions.</t>
  </si>
  <si>
    <t>Due to the intermittent nature of wind, wind generation capacities are de-rated to account for the output most likely to be available during times of maximum demand. AEMO refers to this as the "firm contribution" from wind generators during peak periods. These figures are 8.1% of the installed capacity during summer, and 7.3% during winter, based on AEMO's analysis of historical wind output over summer 2012-13 to 2016-17, and winter 2013 to 2017.</t>
  </si>
  <si>
    <t>Due to the intermittent nature of sunlight, solar generation capacities are de-rated to account for the output most likely to be available during times of maximum demand. However, AEMO has not yet calculated contribution factors for solar, due to there being insufficient historical data to analyse for semi-scheduled solar generation in Victoria. Thus the Firm Solar Capacity values in the table below are shown as NA, and do not contribute to the total capacity in that table.</t>
  </si>
  <si>
    <t>The two tables below have been included to better represent the supply availability in Victoria, by taking into account the firm contribution by semi-scheduled generation. The Summer aggregate scheduled and firm semi-scheduled generation table presents scheduled generation and aggregated firm semi-scheduled generation.  The Summer aggregate available semi-scheduled generation table lists the total available capacity for semi-scheduled generation for the Summer period. The total refers to the maximum amount that can be generated from the semi-scheduled generation at the Summer reference temperatures.</t>
  </si>
  <si>
    <t>Summer aggregate scheduled and firm semi-scheduled generation</t>
  </si>
  <si>
    <t>Summer aggregate available semi-scheduled generation</t>
  </si>
  <si>
    <t>Total (Wind)</t>
  </si>
  <si>
    <t>Total (Solar)</t>
  </si>
  <si>
    <t>Total (Storage)</t>
  </si>
  <si>
    <t>Firm Wind Capacity</t>
  </si>
  <si>
    <t>Firm Solar Capacity</t>
  </si>
  <si>
    <t>NA</t>
  </si>
  <si>
    <t>Winter aggregate available scheduled and semi-scheduled generation</t>
  </si>
  <si>
    <t>winter</t>
  </si>
  <si>
    <t>The table above lists the latest Winter capacities for Victorian generation. Winter conditions relate to statistically predicted contribution under 10% POE maximum demand conditions.</t>
  </si>
  <si>
    <t>The two tables below have been included to better represent the supply availability in Victoria, by taking into account the firm contribution by semi-scheduled generation. The Winter aggregate scheduled and firm semi-scheduled generation table presents scheduled generation and aggregated firm semi-scheduled generation.  The Winter aggregate available semi-scheduled generation table lists the total available capacity for semi-scheduled generation for the Winter period. The total refers to the maximum amount that can be generated from the semi-scheduled generation at the Winter reference temperatures.</t>
  </si>
  <si>
    <t>Winter aggregate scheduled and firm semi-scheduled generation</t>
  </si>
  <si>
    <t>Winter aggregate available semi-scheduled generation</t>
  </si>
  <si>
    <t>Spark Ignition  Reciprocating Engine</t>
  </si>
  <si>
    <t>AusNet Services</t>
  </si>
  <si>
    <t>Mallee Solar Park</t>
  </si>
  <si>
    <t>EnergyAustralia</t>
  </si>
  <si>
    <t>Source</t>
  </si>
  <si>
    <t>http://www.synergy-wind.com/</t>
  </si>
  <si>
    <t>https://www.spotless.com/clients/ballarat-battery-energy-storage-system/</t>
  </si>
  <si>
    <t>http://www.bannertonsolarfarm.com.au/
www.foresightgroup.eu</t>
  </si>
  <si>
    <t xml:space="preserve">http://www.acciona.com.au/projects/energy/wind-power/berrimal-wind-farm/ </t>
  </si>
  <si>
    <t>https://bulganawindfarm.com.au/</t>
  </si>
  <si>
    <t>www.pacifichydro.com.au</t>
  </si>
  <si>
    <t>http://www.overlandsunfarming.com.au/sun-farms.html</t>
  </si>
  <si>
    <t>http://w-wind.com.au/golden-plains-wind-farm</t>
  </si>
  <si>
    <t>http://www.acciona.com.au/projects/energy/solar-photovoltaic/kerang-solar/</t>
  </si>
  <si>
    <t>www.woolnorthwind.com.au</t>
  </si>
  <si>
    <t>http://www.murrawarra-windfarm.com/</t>
  </si>
  <si>
    <t>http://naroghidwindfarm.net/</t>
  </si>
  <si>
    <t>http://www.baywa-re.com.au/en/projects/nhill/</t>
  </si>
  <si>
    <t>https://altenergy.com.au/listing/spring-hill-wind-farm/</t>
  </si>
  <si>
    <t>http://www.baywa-re.com.au/en/projects/timboon-west/</t>
  </si>
  <si>
    <t>https://wirsol.com.au/portfolio/wemen-solar-farm/</t>
  </si>
  <si>
    <t>http://www.baywa-re.com.au/en/projects/yatpool/</t>
  </si>
  <si>
    <t>http://www.baywa-re.com.au/en/projects/yawong/</t>
  </si>
  <si>
    <t>Bridgewater</t>
  </si>
  <si>
    <t>Summer 2018-19</t>
  </si>
  <si>
    <t>Battery Storage</t>
  </si>
  <si>
    <t>Winter 2019</t>
  </si>
  <si>
    <t>Winter 2018</t>
  </si>
  <si>
    <r>
      <rPr>
        <b/>
        <sz val="9"/>
        <rFont val="Arial"/>
        <family val="2"/>
      </rPr>
      <t>Bulgana Green Power Hub - Wind Farm:</t>
    </r>
    <r>
      <rPr>
        <sz val="9"/>
        <rFont val="Arial"/>
        <family val="2"/>
      </rPr>
      <t xml:space="preserve"> Bulgana Green Power Hub - Wind Farm (204 MW) is now reported as committed since Neoen advises that it has commenced construction.</t>
    </r>
  </si>
  <si>
    <r>
      <rPr>
        <b/>
        <sz val="9"/>
        <rFont val="Arial"/>
        <family val="2"/>
      </rPr>
      <t>Loy Yang B:</t>
    </r>
    <r>
      <rPr>
        <sz val="9"/>
        <rFont val="Arial"/>
        <family val="2"/>
      </rPr>
      <t xml:space="preserve"> Alinta Energy is reviewing the Loy Yang B upgrade project, and will provide an update before the 2018-19 Summer season.</t>
    </r>
  </si>
  <si>
    <t>AEMO has not been advised of any recent withdrawals for this region.</t>
  </si>
  <si>
    <t xml:space="preserve"> </t>
  </si>
  <si>
    <t>Generation capacity in the NEM</t>
  </si>
  <si>
    <r>
      <t>·</t>
    </r>
    <r>
      <rPr>
        <sz val="7"/>
        <color theme="1"/>
        <rFont val="Times New Roman"/>
        <family val="1"/>
      </rPr>
      <t xml:space="preserve">      </t>
    </r>
    <r>
      <rPr>
        <sz val="9"/>
        <color theme="1"/>
        <rFont val="Arial"/>
        <family val="2"/>
      </rPr>
      <t>Proposed projects, which are further identified as:</t>
    </r>
  </si>
  <si>
    <r>
      <t xml:space="preserve"> -</t>
    </r>
    <r>
      <rPr>
        <sz val="7"/>
        <color theme="1"/>
        <rFont val="Times New Roman"/>
        <family val="1"/>
      </rPr>
      <t xml:space="preserve">     </t>
    </r>
    <r>
      <rPr>
        <sz val="9"/>
        <color theme="1"/>
        <rFont val="Arial"/>
        <family val="2"/>
      </rPr>
      <t xml:space="preserve">Maturing proposals, representing projects that have progressed with site, planning applications, and finance arrangements, but not to the point that they can be classified as advanced. Maturing projects may be explicitly included in scenario analysis to assess future reliability or market impacts and are tested for economic efficiency in capacity outlook modelling. </t>
    </r>
  </si>
  <si>
    <r>
      <t xml:space="preserve"> -</t>
    </r>
    <r>
      <rPr>
        <sz val="7"/>
        <color theme="1"/>
        <rFont val="Times New Roman"/>
        <family val="1"/>
      </rPr>
      <t xml:space="preserve">     </t>
    </r>
    <r>
      <rPr>
        <sz val="9"/>
        <color theme="1"/>
        <rFont val="Arial"/>
        <family val="2"/>
      </rPr>
      <t>Committed proposals, representing projects that have satisfied all five (5) of AEMO's commitment criteria.</t>
    </r>
  </si>
  <si>
    <t>Upgrade</t>
  </si>
  <si>
    <t>DispatchType</t>
  </si>
  <si>
    <t>2019</t>
  </si>
  <si>
    <t>2020</t>
  </si>
  <si>
    <t>2021</t>
  </si>
  <si>
    <t>2022</t>
  </si>
  <si>
    <t>2023</t>
  </si>
  <si>
    <t>2024</t>
  </si>
  <si>
    <t>2025</t>
  </si>
  <si>
    <t>2026</t>
  </si>
  <si>
    <t>2027</t>
  </si>
  <si>
    <t>2028</t>
  </si>
  <si>
    <t/>
  </si>
  <si>
    <t>Girgarre Solar Farm</t>
  </si>
  <si>
    <t>Leeson Group</t>
  </si>
  <si>
    <t>118</t>
  </si>
  <si>
    <t>https://www.leesongroup.com.au/single-post/2018/05/24/Girgarre-Solar-Farm---Shepparton-News</t>
  </si>
  <si>
    <t>Loy Yang B Upgrade</t>
  </si>
  <si>
    <t>80</t>
  </si>
  <si>
    <t>Naring Solar Farm</t>
  </si>
  <si>
    <t>Lightsource</t>
  </si>
  <si>
    <t>60</t>
  </si>
  <si>
    <t>http://www.moira.vic.gov.au/files/7fadec2c-74c3-4c22-97da-a88000c60b87/Planning_Report_-_Naring_Solar_Farm_-_Final.pdf</t>
  </si>
  <si>
    <t>Rifle Butts Wind Farm </t>
  </si>
  <si>
    <t>NewEn</t>
  </si>
  <si>
    <t>http://www.newen.com.au/project/rifle-butts-wind-farm/</t>
  </si>
  <si>
    <t>Winton Solar Farm</t>
  </si>
  <si>
    <t>FRV</t>
  </si>
  <si>
    <t>http://wintonsolarfarm.com/</t>
  </si>
  <si>
    <t>Solar*</t>
  </si>
  <si>
    <t>* Solar excludes rooftop PV installations</t>
  </si>
  <si>
    <t>Alinta</t>
  </si>
  <si>
    <t xml:space="preserve">Brown Coal_x000D_
</t>
  </si>
  <si>
    <t>Summer 2020/21</t>
  </si>
  <si>
    <t>68</t>
  </si>
  <si>
    <t>Any person who owns, controls, or operates a generating system connected to a transmission or distribution network must register with AEMO as a generator unless it has the benefit of an exemption from that requirement. A generating system’s registered capacity is the aggregate megawatt (MW) capacity of all its component generation units, as registered with AEMO.</t>
  </si>
  <si>
    <t>The registered capacity should be the same as a generating system’s nameplate capacity. Nameplate capacity represents the maximum continuous output or consumption in MW, as specified by the manufacturer, or as subsequently modified. Nameplate capacity can change for a number of reasons, such as upgrade projects, age or a review of performance.</t>
  </si>
  <si>
    <t>Under the National Electricity Rules (NER), generating units are classified as scheduled (S), semi-scheduled (SS), or non-scheduled (NS).</t>
  </si>
  <si>
    <r>
      <t xml:space="preserve">For further information about generation classification guide, please refer to the AEMO Generation Exemption and Classification Guide on the AEMO website:
http://aemo.com.au/-/media/Files/Electricity/NEM/Participant_Information/New-Participants/Generator-Exemption-and-Classification-Guide.pdf </t>
    </r>
    <r>
      <rPr>
        <b/>
        <sz val="9"/>
        <rFont val="Arial"/>
        <family val="2"/>
      </rPr>
      <t xml:space="preserve">
</t>
    </r>
  </si>
  <si>
    <t>For the purposes of reliability assessments, and consistent with market systems, AEMO measures scheduled and semi-scheduled generation capacity on an as-generated basis, noting that for semi-scheduled systems the generating unit terminals are taken to be at the connection point. Non-scheduled generation is measured as sent-out (at the connection point) because it can include co-generation plants (that usually produce both heat and electricity), where the bulk of the capacity is consumed locally.</t>
  </si>
  <si>
    <t xml:space="preserve">Generation projects can be at different stages of development, which are assessed using AEMO’s five (5) commitment criteria, covering site acquisition, contracts for major components, planning and other approvals, financing, and date (see table below for a description of the criteria). </t>
  </si>
  <si>
    <t>Projects are categorised as follows:</t>
  </si>
  <si>
    <r>
      <t>·</t>
    </r>
    <r>
      <rPr>
        <sz val="7"/>
        <color theme="1"/>
        <rFont val="Times New Roman"/>
        <family val="1"/>
      </rPr>
      <t xml:space="preserve">      </t>
    </r>
    <r>
      <rPr>
        <sz val="9"/>
        <color theme="1"/>
        <rFont val="Arial"/>
        <family val="2"/>
      </rPr>
      <t>Committed projects, representing generation and storage for which formal commitment has been made for construction or installation. These are further identified as:</t>
    </r>
  </si>
  <si>
    <r>
      <t xml:space="preserve"> -</t>
    </r>
    <r>
      <rPr>
        <sz val="7"/>
        <color theme="1"/>
        <rFont val="Times New Roman"/>
        <family val="1"/>
      </rPr>
      <t xml:space="preserve">     </t>
    </r>
    <r>
      <rPr>
        <sz val="9"/>
        <color theme="1"/>
        <rFont val="Arial"/>
        <family val="2"/>
      </rPr>
      <t xml:space="preserve">Committed* proposals, representing projects that don't satisfy all five (5) of AEMO's commitment criteria, but  construction or installation has commenced. </t>
    </r>
  </si>
  <si>
    <r>
      <t xml:space="preserve"> -</t>
    </r>
    <r>
      <rPr>
        <sz val="7"/>
        <color theme="1"/>
        <rFont val="Times New Roman"/>
        <family val="1"/>
      </rPr>
      <t xml:space="preserve">     </t>
    </r>
    <r>
      <rPr>
        <sz val="9"/>
        <color theme="1"/>
        <rFont val="Arial"/>
        <family val="2"/>
      </rPr>
      <t>Advanced proposals, representing projects that are highly likely to proceed, satisfying Site and Finance criteria plus either Planning and approvals or Major components criteria, and have notified AEMO of a scheduled commercial operation date. Typically included in sensitivity analysis for MLF.</t>
    </r>
  </si>
  <si>
    <r>
      <t xml:space="preserve"> -</t>
    </r>
    <r>
      <rPr>
        <sz val="7"/>
        <color theme="1"/>
        <rFont val="Times New Roman"/>
        <family val="1"/>
      </rPr>
      <t xml:space="preserve">     </t>
    </r>
    <r>
      <rPr>
        <sz val="9"/>
        <color theme="1"/>
        <rFont val="Arial"/>
        <family val="2"/>
      </rPr>
      <t xml:space="preserve">Emerging proposals, representing projects where sites have been identified, planning applications lodged and the development is considered financially and technically viable. However, planning approvals/construction is uncertain, and development maybe subject to changes in policy or commercial environment. These projects may be explicitly included in scenario analysis to assess future market impacts, and are tested for economic efficiency in capacity outlook modelling. However, a higher weighted average cost of capital will be assumed to reflect greater development uncertainty compared to maturing projects. </t>
    </r>
  </si>
  <si>
    <r>
      <t xml:space="preserve"> -</t>
    </r>
    <r>
      <rPr>
        <sz val="7"/>
        <color theme="1"/>
        <rFont val="Times New Roman"/>
        <family val="1"/>
      </rPr>
      <t xml:space="preserve">     </t>
    </r>
    <r>
      <rPr>
        <sz val="9"/>
        <color theme="1"/>
        <rFont val="Arial"/>
        <family val="2"/>
      </rPr>
      <t>Publicly Announced proposals, representing projects that have been announced publicly, but may not yet meet all or any of the commitment criteria. Costs and capabilities of these projects are developed using recently-completed projects and projections of cost components such as raw material supply and labour.</t>
    </r>
  </si>
  <si>
    <t>Planning and Approvals</t>
  </si>
  <si>
    <t>The proponent has obtained all required planning consents, construction approvals, connection contracts (including approval of proposed negotiated Generator Performance Standards from AEMO under clause 5.3.4A of the National Electricity Rules), and licences, including completion and acceptance of any necessary environmental impact statements.</t>
  </si>
  <si>
    <t>Date</t>
  </si>
  <si>
    <t>Construction of the proposal must either have commenced or a firm commencement date must have been set. Commercial use date for full operation must have been set.</t>
  </si>
  <si>
    <r>
      <t xml:space="preserve">Mortons Lane Wind Farm: </t>
    </r>
    <r>
      <rPr>
        <sz val="9"/>
        <color theme="1"/>
        <rFont val="Arial"/>
        <family val="2"/>
      </rPr>
      <t>Mortons Lane Windfarm Pty Ltd advises that the 19.5 MW Mortons Lane wind farm project was completed  in December 2012.</t>
    </r>
  </si>
  <si>
    <r>
      <rPr>
        <b/>
        <sz val="9"/>
        <rFont val="Arial"/>
        <family val="2"/>
      </rPr>
      <t>Loy Yang B (upgrade) :</t>
    </r>
    <r>
      <rPr>
        <sz val="9"/>
        <rFont val="Arial"/>
        <family val="2"/>
      </rPr>
      <t xml:space="preserve"> Loy Yang B upgrade (78 MW) is now reported as committed since Alinta advises that it has commenced construction</t>
    </r>
  </si>
  <si>
    <r>
      <rPr>
        <b/>
        <sz val="9"/>
        <rFont val="Arial"/>
        <family val="2"/>
      </rPr>
      <t>Swan Hill Solar Farm :</t>
    </r>
    <r>
      <rPr>
        <sz val="9"/>
        <rFont val="Arial"/>
        <family val="2"/>
      </rPr>
      <t xml:space="preserve"> Swan Hill Solar Farm (15 MW) is now reported as committed since Solar PowerStation Victoria Pty Ltd advises that it has commenced construction</t>
    </r>
  </si>
  <si>
    <r>
      <rPr>
        <b/>
        <sz val="9"/>
        <rFont val="Arial"/>
        <family val="2"/>
      </rPr>
      <t>Karadoc Solar Farm</t>
    </r>
    <r>
      <rPr>
        <sz val="9"/>
        <rFont val="Arial"/>
        <family val="2"/>
      </rPr>
      <t>: Karadoc Solar Farm (90 MW) is now reported as committed since Overland Sun Farming Pty Ltd advises that it has commenced construction</t>
    </r>
  </si>
  <si>
    <t>30 MW / 30 MWh</t>
  </si>
  <si>
    <t>20 MW / 34 MWh</t>
  </si>
  <si>
    <t>25 MW / 50 MWh</t>
  </si>
  <si>
    <t>Horsham Solar Farm</t>
  </si>
  <si>
    <t>130</t>
  </si>
  <si>
    <t>http://horshamsolarfarm.com.au/</t>
  </si>
  <si>
    <t>Kiamal Solar Farm - Stage 1</t>
  </si>
  <si>
    <t>Kiamal Solar Farm - Stage 2</t>
  </si>
  <si>
    <t>Units 1 - TBD</t>
  </si>
  <si>
    <t>150</t>
  </si>
  <si>
    <t>Unit Number and Nameplate Capacity (MW)</t>
  </si>
  <si>
    <t>Ararat Wind Farm</t>
  </si>
  <si>
    <t>Bald Hills Wind Farm</t>
  </si>
  <si>
    <t>Macarthur Wind Farm</t>
  </si>
  <si>
    <t>Mt Mercer Wind Farm</t>
  </si>
  <si>
    <t>Oaklands Hill Wind Farm</t>
  </si>
  <si>
    <t>3 x 76</t>
  </si>
  <si>
    <t>Maroona Wind Farm</t>
  </si>
  <si>
    <t>Nowingi Solar Storage - Solar</t>
  </si>
  <si>
    <t>Nowingi Solar Storage - Storage</t>
  </si>
  <si>
    <t>80 MW / 320 MWh</t>
  </si>
  <si>
    <t>http://www.lyoninfrastructure.com.au/projects/nowingi-solar-storage/</t>
  </si>
  <si>
    <t>Note: Updated “Background Information” with changes to categories of proposed generation in the NEM.</t>
  </si>
  <si>
    <r>
      <rPr>
        <b/>
        <sz val="9"/>
        <rFont val="Arial"/>
        <family val="2"/>
      </rPr>
      <t>Lal Lal Wind Energy Facility - Yendon end</t>
    </r>
    <r>
      <rPr>
        <sz val="9"/>
        <rFont val="Arial"/>
        <family val="2"/>
      </rPr>
      <t>: Lal Lal Wind Energy Facility - Yendon end (144.4MW) is now reported as committed since Northleaf /InfraRed/Macquarie Capital advise that it has commenced construction.</t>
    </r>
  </si>
  <si>
    <t>201819</t>
  </si>
  <si>
    <t>201920</t>
  </si>
  <si>
    <t>202021</t>
  </si>
  <si>
    <t>202122</t>
  </si>
  <si>
    <t>202223</t>
  </si>
  <si>
    <t>202324</t>
  </si>
  <si>
    <t>202425</t>
  </si>
  <si>
    <t>202526</t>
  </si>
  <si>
    <t>202627</t>
  </si>
  <si>
    <t>202728</t>
  </si>
  <si>
    <t>Northleaf /InfraRed/Macquarie Capital</t>
  </si>
  <si>
    <t>144.4</t>
  </si>
  <si>
    <t xml:space="preserve">http://www.lallalwindfarms.com.au/_x000D__x000D_
</t>
  </si>
  <si>
    <r>
      <rPr>
        <b/>
        <sz val="9"/>
        <rFont val="Arial"/>
        <family val="2"/>
      </rPr>
      <t>Gannawarra Solar Farm:</t>
    </r>
    <r>
      <rPr>
        <sz val="9"/>
        <rFont val="Arial"/>
        <family val="2"/>
      </rPr>
      <t xml:space="preserve"> Gannawarra Solar Farm Pty Ltd advises that Gannawarra Solar Farm (50 MW) is operational.</t>
    </r>
  </si>
  <si>
    <t>22 x 2.5</t>
  </si>
  <si>
    <t>http://mooraboolwindfarm.com/</t>
  </si>
  <si>
    <t>https://numurkahsolarfarm.com.au/</t>
  </si>
  <si>
    <r>
      <rPr>
        <b/>
        <sz val="9"/>
        <rFont val="Arial"/>
        <family val="2"/>
      </rPr>
      <t>Numurkah Solar Farm</t>
    </r>
    <r>
      <rPr>
        <sz val="9"/>
        <rFont val="Arial"/>
        <family val="2"/>
      </rPr>
      <t xml:space="preserve"> : Neoen advises that Numurkah Solar Farm (100MW) is now a committed project.</t>
    </r>
  </si>
  <si>
    <t>Numurkah Solar Farm</t>
  </si>
  <si>
    <t>Inverleigh Solar Farm</t>
  </si>
  <si>
    <t>Inverleigh Storage</t>
  </si>
  <si>
    <t>Winton Asset Trust Fotowatio Renewable Ventures</t>
  </si>
  <si>
    <r>
      <rPr>
        <b/>
        <sz val="9"/>
        <rFont val="Arial"/>
        <family val="2"/>
      </rPr>
      <t>Moorabool Wind Farm</t>
    </r>
    <r>
      <rPr>
        <sz val="9"/>
        <rFont val="Arial"/>
        <family val="2"/>
      </rPr>
      <t>:</t>
    </r>
    <r>
      <rPr>
        <sz val="9"/>
        <color rgb="FF000000"/>
        <rFont val="Arial"/>
        <family val="2"/>
      </rPr>
      <t xml:space="preserve"> Goldwind advises that Moorabool Wind Farm (320MW) is now a committed project.</t>
    </r>
  </si>
  <si>
    <r>
      <t xml:space="preserve">Kiamal Solar Farm - Stage 1: </t>
    </r>
    <r>
      <rPr>
        <sz val="9"/>
        <color rgb="FF000000"/>
        <rFont val="Arial"/>
        <family val="2"/>
      </rPr>
      <t>Kiamal Solar Farm - Stage 1 (200MW) is now reported as committed since Total Eren advises that it has commenced construction.</t>
    </r>
  </si>
  <si>
    <r>
      <t xml:space="preserve">Bulgana Green Power Hub - Wind Farm: </t>
    </r>
    <r>
      <rPr>
        <sz val="9"/>
        <color rgb="FF000000"/>
        <rFont val="Arial"/>
        <family val="2"/>
      </rPr>
      <t xml:space="preserve">Bulgana Green Power Hub - Wind Farm (194MW) is now reported as committed since Neoen advises that it has commenced construction. </t>
    </r>
  </si>
  <si>
    <t>Sep 2019</t>
  </si>
  <si>
    <t>194</t>
  </si>
  <si>
    <t>83.6</t>
  </si>
  <si>
    <r>
      <rPr>
        <b/>
        <sz val="9"/>
        <color theme="1"/>
        <rFont val="Arial"/>
        <family val="2"/>
      </rPr>
      <t>Storage:</t>
    </r>
    <r>
      <rPr>
        <sz val="9"/>
        <color theme="1"/>
        <rFont val="Arial"/>
        <family val="2"/>
      </rPr>
      <t xml:space="preserve"> Ballarat Energy Storage System (30 MW / 30 MWh ), Bulgana Green Power Hub - BESS (20 MW / 34 MWh ), Gannawarra Energy Storage System (25 MW / 50 MWh )</t>
    </r>
  </si>
  <si>
    <t>2 x 60
2 x 7.5</t>
  </si>
  <si>
    <t>3 x 560
1 x 530</t>
  </si>
  <si>
    <t>2 x 350
2 x 375</t>
  </si>
  <si>
    <t>Com* - Identifies projects that are under construction, but AEMO has not been informed that the project meets all  commitment criteria.</t>
  </si>
  <si>
    <t xml:space="preserve">http://www.inverleighwindfarm.net/_x000D_
</t>
  </si>
  <si>
    <t>https://www.energy.vic.gov.au/__data/assets/pdf_file/0029/391178/Winton-Solar-Farm-Fact-Sheet.pdf</t>
  </si>
  <si>
    <t>N/A</t>
  </si>
  <si>
    <t xml:space="preserve">* In Commissioning includes facilities that have both obtained NEM registration, and have demonstrated the ability to export at least 50% of Nameplate capacity under commissioning conditions, but are not yet operating unrestricted at the time of publication. These projects are included under the "Existing Less Announced Withdrawal" category in the Summary Table. </t>
  </si>
  <si>
    <r>
      <t xml:space="preserve">Dundonnell Wind Farm: </t>
    </r>
    <r>
      <rPr>
        <sz val="9"/>
        <color rgb="FF000000"/>
        <rFont val="Arial"/>
        <family val="2"/>
      </rPr>
      <t xml:space="preserve">Dundonnell Wind Farm (336MW) is now reported as committed since Tilt Renewables advises that it has commenced construction. </t>
    </r>
  </si>
  <si>
    <t>Dundonnell Wind Farm</t>
  </si>
  <si>
    <t>https://www.tiltrenewables.com/assets-and-projects/Dundonnell-Wind-Farm/</t>
  </si>
  <si>
    <t xml:space="preserve">Kiamal Solar Farm - Stage 1_x000D_
</t>
  </si>
  <si>
    <t xml:space="preserve">Lal Lal Wind Energy Facility - Elaine end_x000D_
</t>
  </si>
  <si>
    <t>Maturing</t>
  </si>
  <si>
    <t>http://www.unionfenosa.com.au/portfolio/berrybank-wind-farm/</t>
  </si>
  <si>
    <t>Carwarp Solar Farm - Stage I</t>
  </si>
  <si>
    <t>Canadian Solar Australia</t>
  </si>
  <si>
    <t>Carwarp Solar Farm - Stage II</t>
  </si>
  <si>
    <t>Jul 2020</t>
  </si>
  <si>
    <t xml:space="preserve">ESCO Pacific_x000D_
</t>
  </si>
  <si>
    <t>85</t>
  </si>
  <si>
    <r>
      <t xml:space="preserve">Berrybank Wind Farm: </t>
    </r>
    <r>
      <rPr>
        <sz val="9"/>
        <color rgb="FF000000"/>
        <rFont val="Arial"/>
        <family val="2"/>
      </rPr>
      <t>Berrybank Development Pty Ltd advises that Berrybank Wind Farm (331.8 MW) should be reported as Berrybank Wind Farm - Stage 1 (180.6 MW) and Berrybank Wind Farm - Stage 2 (151.2 MW).</t>
    </r>
  </si>
  <si>
    <t>Berrybank Wind Farm - Stage 1</t>
  </si>
  <si>
    <t>Units 1-43</t>
  </si>
  <si>
    <t>180.6</t>
  </si>
  <si>
    <t>Berrybank Wind Farm - Stage 2</t>
  </si>
  <si>
    <t>Units 1-36</t>
  </si>
  <si>
    <t>151.2</t>
  </si>
  <si>
    <t>https://www.acciona.com.au/projects/energy/wind-power/mortlake-south-wind-farm/</t>
  </si>
  <si>
    <r>
      <t xml:space="preserve">Cohuna Solar Farm: </t>
    </r>
    <r>
      <rPr>
        <sz val="9"/>
        <color rgb="FF000000"/>
        <rFont val="Arial"/>
        <family val="2"/>
      </rPr>
      <t>Cohuna Solar Farm Pty. Ltd advises that Cohuna Solar Farm (27.27 MW) is now a committed project</t>
    </r>
  </si>
  <si>
    <r>
      <t>Solar:</t>
    </r>
    <r>
      <rPr>
        <sz val="9"/>
        <rFont val="Arial"/>
        <family val="2"/>
      </rPr>
      <t xml:space="preserve"> Bannerton Solar Park (88 MW), Karadoc Solar Farm (90 MW), Kiamal Solar Farm - Stage 1 (200 MW), Numurkah Solar Farm (100 MW), Wemen Solar Farm (87.75 MW), Yatpool Solar Farm (81 MW), Cohuna Solar Farm (27.27 MW) 
</t>
    </r>
  </si>
  <si>
    <t>Cohuna Solar Farm</t>
  </si>
  <si>
    <t>Cohuna Solar Farm Pty. Ltd</t>
  </si>
  <si>
    <t>27.27</t>
  </si>
  <si>
    <t xml:space="preserve">https://www.enelgreenpower.com/media/press/d/2018/09/enel-green-power-awarded-support-agreement-for-34-mw-of-new-solar-capacity-in-australian-state-renewable-auction </t>
  </si>
  <si>
    <t>Closure Date</t>
  </si>
  <si>
    <t>209</t>
  </si>
  <si>
    <t>www.murrawarra-windfarm.com</t>
  </si>
  <si>
    <r>
      <t xml:space="preserve">Gannawarra Energy Storage System: </t>
    </r>
    <r>
      <rPr>
        <sz val="9"/>
        <rFont val="Arial"/>
        <family val="2"/>
      </rPr>
      <t>GESS Co advises that Gannawarra Energy Storage System (25 MW/50 MWh) is undergoing commissioning testing.</t>
    </r>
  </si>
  <si>
    <t>In Commissioning*</t>
  </si>
  <si>
    <r>
      <t xml:space="preserve">Gannawarra Solar Farm: </t>
    </r>
    <r>
      <rPr>
        <sz val="9"/>
        <rFont val="Arial"/>
        <family val="2"/>
      </rPr>
      <t>Gannawarra Solar Farm Pty Ltd advises that the nameplate capacity of Gannawarra Solar Farm (previously 50 MW) needs to be corrected to Gannawarra Solar Farm (55 MW)</t>
    </r>
  </si>
  <si>
    <t>Data presented is current as at 21 January 2019</t>
  </si>
  <si>
    <t xml:space="preserve">Cherry Tree Wind Farm </t>
  </si>
  <si>
    <t>Unit Id</t>
  </si>
  <si>
    <t>Cherry Tree Wind Farm Pty Limited A.T.F. Cherry Tree Project Trust</t>
  </si>
  <si>
    <t>57.6</t>
  </si>
  <si>
    <t>May 2020</t>
  </si>
  <si>
    <r>
      <t xml:space="preserve">Cherry Tree Wind Farm: </t>
    </r>
    <r>
      <rPr>
        <sz val="9"/>
        <rFont val="Arial"/>
        <family val="2"/>
      </rPr>
      <t xml:space="preserve">Cherry Tree Wind Farm (57.6 MW)  is now reported as committed since Cherry Tree Wind Farm Pty Limited A.T.F. Cherry Tree Project Trust advises that it has commenced construction. </t>
    </r>
  </si>
  <si>
    <r>
      <rPr>
        <b/>
        <sz val="9"/>
        <color theme="1"/>
        <rFont val="Arial"/>
        <family val="2"/>
      </rPr>
      <t>Wind:</t>
    </r>
    <r>
      <rPr>
        <sz val="9"/>
        <color theme="1"/>
        <rFont val="Arial"/>
        <family val="2"/>
      </rPr>
      <t xml:space="preserve"> Bulgana Green Power Hub - Wind Farm (194 MW), Crowlands Wind Farm (79.95 MW), Lal Lal Wind Energy Facility - Elaine end (83.6 MW), Lal Lal Wind Energy Facility - Yendon end (144.4 MW), Moorabool Wind Farm (320 MW), Mt Gellibrand (132 MW), Murra Warra Wind Farm - stage 1 (225.7 MW), Stockyard Hill (532 MW), Dundonnell Wind Farm (336MW), Cherry Tree Wind Farm (57.6 MW)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</si>
</sst>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_-* #,##0.0_-;\-* #,##0.0_-;_-* &quot;-&quot;??_-;_-@_-"/>
  </numFmts>
  <fonts count="52">
    <font>
      <sz val="11"/>
      <color rgb="FF000000"/>
      <name val="Calibri"/>
      <family val="2"/>
      <scheme val="minor"/>
    </font>
    <font>
      <sz val="11"/>
      <color theme="1"/>
      <name val="Calibri"/>
      <family val="2"/>
      <scheme val="minor"/>
    </font>
    <font>
      <b/>
      <sz val="15"/>
      <color rgb="FFF47321"/>
      <name val="Arial"/>
      <family val="2"/>
    </font>
    <font>
      <b/>
      <sz val="8"/>
      <color rgb="FF000000"/>
      <name val="Arial"/>
      <family val="2"/>
    </font>
    <font>
      <sz val="8"/>
      <color rgb="FFFFFFFF"/>
      <name val="Arial"/>
      <family val="2"/>
    </font>
    <font>
      <sz val="8"/>
      <color rgb="FF000000"/>
      <name val="Arial"/>
      <family val="2"/>
    </font>
    <font>
      <sz val="10"/>
      <color rgb="FF000000"/>
      <name val="Arial"/>
      <family val="2"/>
    </font>
    <font>
      <b/>
      <sz val="10"/>
      <color rgb="FFF47321"/>
      <name val="Arial"/>
      <family val="2"/>
    </font>
    <font>
      <sz val="11"/>
      <color theme="0"/>
      <name val="Calibri"/>
      <family val="2"/>
      <scheme val="minor"/>
    </font>
    <font>
      <sz val="11"/>
      <color rgb="FF000000"/>
      <name val="Calibri"/>
      <family val="2"/>
      <scheme val="minor"/>
    </font>
    <font>
      <u/>
      <sz val="11"/>
      <color theme="10"/>
      <name val="Calibri"/>
      <family val="2"/>
      <scheme val="minor"/>
    </font>
    <font>
      <u/>
      <sz val="10"/>
      <color theme="10"/>
      <name val="Arial"/>
      <family val="2"/>
    </font>
    <font>
      <b/>
      <sz val="10"/>
      <name val="Arial"/>
      <family val="2"/>
    </font>
    <font>
      <b/>
      <sz val="11"/>
      <color rgb="FFF47321"/>
      <name val="Arial"/>
      <family val="2"/>
    </font>
    <font>
      <sz val="11"/>
      <color theme="1"/>
      <name val="Arial"/>
      <family val="2"/>
    </font>
    <font>
      <sz val="9"/>
      <name val="Arial"/>
      <family val="2"/>
    </font>
    <font>
      <b/>
      <sz val="9"/>
      <name val="Arial"/>
      <family val="2"/>
    </font>
    <font>
      <b/>
      <sz val="9"/>
      <color rgb="FFF47321"/>
      <name val="Arial"/>
      <family val="2"/>
    </font>
    <font>
      <sz val="9"/>
      <color theme="1"/>
      <name val="Arial"/>
      <family val="2"/>
    </font>
    <font>
      <b/>
      <sz val="9"/>
      <color theme="1"/>
      <name val="Arial"/>
      <family val="2"/>
    </font>
    <font>
      <b/>
      <sz val="8"/>
      <color theme="0"/>
      <name val="Arial"/>
      <family val="2"/>
    </font>
    <font>
      <sz val="11"/>
      <color rgb="FF0000FF"/>
      <name val="Arial"/>
      <family val="2"/>
    </font>
    <font>
      <sz val="9"/>
      <color rgb="FFFF0000"/>
      <name val="Arial"/>
      <family val="2"/>
    </font>
    <font>
      <b/>
      <sz val="11"/>
      <color theme="1"/>
      <name val="Arial"/>
      <family val="2"/>
    </font>
    <font>
      <sz val="9"/>
      <color theme="1"/>
      <name val="Symbol"/>
      <family val="1"/>
      <charset val="2"/>
    </font>
    <font>
      <sz val="7"/>
      <color theme="1"/>
      <name val="Times New Roman"/>
      <family val="1"/>
    </font>
    <font>
      <sz val="9"/>
      <color theme="1"/>
      <name val="Arial"/>
      <family val="1"/>
      <charset val="2"/>
    </font>
    <font>
      <b/>
      <sz val="10"/>
      <color rgb="FF333333"/>
      <name val="Arial"/>
      <family val="2"/>
    </font>
    <font>
      <b/>
      <sz val="8"/>
      <name val="Arial"/>
      <family val="2"/>
    </font>
    <font>
      <b/>
      <sz val="8"/>
      <color rgb="FFFFFFFF"/>
      <name val="Arial"/>
      <family val="2"/>
    </font>
    <font>
      <sz val="8"/>
      <name val="Arial"/>
      <family val="2"/>
    </font>
    <font>
      <sz val="10"/>
      <color theme="1"/>
      <name val="Arial"/>
      <family val="2"/>
    </font>
    <font>
      <sz val="11"/>
      <name val="Calibri"/>
      <family val="2"/>
      <scheme val="minor"/>
    </font>
    <font>
      <b/>
      <sz val="8"/>
      <color theme="1"/>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rgb="FF9C6500"/>
      <name val="Calibri"/>
      <family val="2"/>
      <scheme val="minor"/>
    </font>
    <font>
      <sz val="10"/>
      <name val="Arial"/>
      <family val="2"/>
    </font>
    <font>
      <b/>
      <sz val="9"/>
      <color rgb="FF000000"/>
      <name val="Arial"/>
      <family val="2"/>
    </font>
    <font>
      <sz val="9"/>
      <color rgb="FF000000"/>
      <name val="Arial"/>
      <family val="2"/>
    </font>
  </fonts>
  <fills count="43">
    <fill>
      <patternFill patternType="none"/>
    </fill>
    <fill>
      <patternFill patternType="gray125"/>
    </fill>
    <fill>
      <patternFill patternType="solid">
        <fgColor rgb="FFFFC222"/>
      </patternFill>
    </fill>
    <fill>
      <patternFill patternType="solid">
        <fgColor rgb="FF948671"/>
      </patternFill>
    </fill>
    <fill>
      <patternFill patternType="solid">
        <fgColor rgb="FFF9F8F6"/>
      </patternFill>
    </fill>
    <fill>
      <patternFill patternType="solid">
        <fgColor rgb="FFE7E3DC"/>
      </patternFill>
    </fill>
    <fill>
      <patternFill patternType="solid">
        <fgColor rgb="FF948671"/>
        <bgColor indexed="64"/>
      </patternFill>
    </fill>
    <fill>
      <patternFill patternType="solid">
        <fgColor rgb="FFF9F8F6"/>
        <bgColor indexed="64"/>
      </patternFill>
    </fill>
    <fill>
      <patternFill patternType="solid">
        <fgColor rgb="FFE7E3DC"/>
        <bgColor indexed="64"/>
      </patternFill>
    </fill>
    <fill>
      <patternFill patternType="solid">
        <fgColor theme="0"/>
        <bgColor indexed="64"/>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28">
    <border>
      <left/>
      <right/>
      <top/>
      <bottom/>
      <diagonal/>
    </border>
    <border>
      <left style="medium">
        <color rgb="FFFFFFFF"/>
      </left>
      <right style="medium">
        <color rgb="FFFFFFFF"/>
      </right>
      <top style="medium">
        <color rgb="FFFFFFFF"/>
      </top>
      <bottom style="medium">
        <color rgb="FFFFFFFF"/>
      </bottom>
      <diagonal/>
    </border>
    <border>
      <left/>
      <right/>
      <top style="double">
        <color rgb="FF000000"/>
      </top>
      <bottom/>
      <diagonal/>
    </border>
    <border>
      <left style="double">
        <color rgb="FF000000"/>
      </left>
      <right style="medium">
        <color rgb="FFFFFFFF"/>
      </right>
      <top style="double">
        <color rgb="FF000000"/>
      </top>
      <bottom style="medium">
        <color rgb="FFFFFFFF"/>
      </bottom>
      <diagonal/>
    </border>
    <border>
      <left style="double">
        <color rgb="FF000000"/>
      </left>
      <right/>
      <top/>
      <bottom/>
      <diagonal/>
    </border>
    <border>
      <left/>
      <right style="medium">
        <color rgb="FFFFFFFF"/>
      </right>
      <top style="medium">
        <color rgb="FFFFFFFF"/>
      </top>
      <bottom style="medium">
        <color rgb="FFFFFFFF"/>
      </bottom>
      <diagonal/>
    </border>
    <border>
      <left style="medium">
        <color rgb="FFFFFFFF"/>
      </left>
      <right/>
      <top style="medium">
        <color rgb="FFFFFFFF"/>
      </top>
      <bottom style="medium">
        <color rgb="FFFFFFFF"/>
      </bottom>
      <diagonal/>
    </border>
    <border>
      <left/>
      <right style="medium">
        <color rgb="FFFFFFFF"/>
      </right>
      <top/>
      <bottom style="medium">
        <color rgb="FFFFFFFF"/>
      </bottom>
      <diagonal/>
    </border>
    <border>
      <left style="medium">
        <color rgb="FFFFFFFF"/>
      </left>
      <right style="medium">
        <color rgb="FFFFFFFF"/>
      </right>
      <top/>
      <bottom style="medium">
        <color rgb="FFFFFFFF"/>
      </bottom>
      <diagonal/>
    </border>
    <border>
      <left style="medium">
        <color rgb="FFFFFFFF"/>
      </left>
      <right/>
      <top/>
      <bottom style="medium">
        <color rgb="FFFFFFFF"/>
      </bottom>
      <diagonal/>
    </border>
    <border>
      <left/>
      <right style="medium">
        <color rgb="FFFFFFFF"/>
      </right>
      <top style="medium">
        <color rgb="FFFFFFFF"/>
      </top>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medium">
        <color rgb="FFFFFFFF"/>
      </left>
      <right/>
      <top/>
      <bottom/>
      <diagonal/>
    </border>
    <border>
      <left/>
      <right style="medium">
        <color rgb="FFFFFFFF"/>
      </right>
      <top/>
      <bottom style="thick">
        <color rgb="FFF9F8F6"/>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FFFFFF"/>
      </left>
      <right style="medium">
        <color rgb="FFFFFFFF"/>
      </right>
      <top/>
      <bottom/>
      <diagonal/>
    </border>
  </borders>
  <cellStyleXfs count="51">
    <xf numFmtId="0" fontId="0" fillId="0" borderId="0"/>
    <xf numFmtId="43" fontId="9" fillId="0" borderId="0" applyFont="0" applyFill="0" applyBorder="0" applyAlignment="0" applyProtection="0"/>
    <xf numFmtId="0" fontId="10" fillId="0" borderId="0" applyNumberFormat="0" applyFill="0" applyBorder="0" applyAlignment="0" applyProtection="0"/>
    <xf numFmtId="0" fontId="14" fillId="0" borderId="0"/>
    <xf numFmtId="0" fontId="34" fillId="0" borderId="0" applyNumberFormat="0" applyFill="0" applyBorder="0" applyAlignment="0" applyProtection="0"/>
    <xf numFmtId="0" fontId="35" fillId="0" borderId="18" applyNumberFormat="0" applyFill="0" applyAlignment="0" applyProtection="0"/>
    <xf numFmtId="0" fontId="36" fillId="0" borderId="19" applyNumberFormat="0" applyFill="0" applyAlignment="0" applyProtection="0"/>
    <xf numFmtId="0" fontId="37" fillId="0" borderId="20" applyNumberFormat="0" applyFill="0" applyAlignment="0" applyProtection="0"/>
    <xf numFmtId="0" fontId="37" fillId="0" borderId="0" applyNumberFormat="0" applyFill="0" applyBorder="0" applyAlignment="0" applyProtection="0"/>
    <xf numFmtId="0" fontId="38" fillId="11" borderId="0" applyNumberFormat="0" applyBorder="0" applyAlignment="0" applyProtection="0"/>
    <xf numFmtId="0" fontId="39" fillId="12" borderId="0" applyNumberFormat="0" applyBorder="0" applyAlignment="0" applyProtection="0"/>
    <xf numFmtId="0" fontId="40" fillId="14" borderId="21" applyNumberFormat="0" applyAlignment="0" applyProtection="0"/>
    <xf numFmtId="0" fontId="41" fillId="15" borderId="22" applyNumberFormat="0" applyAlignment="0" applyProtection="0"/>
    <xf numFmtId="0" fontId="42" fillId="15" borderId="21" applyNumberFormat="0" applyAlignment="0" applyProtection="0"/>
    <xf numFmtId="0" fontId="43" fillId="0" borderId="23" applyNumberFormat="0" applyFill="0" applyAlignment="0" applyProtection="0"/>
    <xf numFmtId="0" fontId="44" fillId="16" borderId="24" applyNumberFormat="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26" applyNumberFormat="0" applyFill="0" applyAlignment="0" applyProtection="0"/>
    <xf numFmtId="0" fontId="8"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8"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8"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8"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8"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8"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48" fillId="13"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37" borderId="0" applyNumberFormat="0" applyBorder="0" applyAlignment="0" applyProtection="0"/>
    <xf numFmtId="0" fontId="8" fillId="41" borderId="0" applyNumberFormat="0" applyBorder="0" applyAlignment="0" applyProtection="0"/>
    <xf numFmtId="0" fontId="1" fillId="0" borderId="0"/>
    <xf numFmtId="0" fontId="1" fillId="17" borderId="25" applyNumberFormat="0" applyFont="0" applyAlignment="0" applyProtection="0"/>
    <xf numFmtId="0" fontId="9" fillId="0" borderId="0"/>
    <xf numFmtId="9" fontId="1" fillId="0" borderId="0" applyFont="0" applyFill="0" applyBorder="0" applyAlignment="0" applyProtection="0"/>
    <xf numFmtId="0" fontId="49" fillId="0" borderId="0"/>
    <xf numFmtId="0" fontId="31" fillId="0" borderId="0"/>
    <xf numFmtId="43" fontId="9" fillId="0" borderId="0" applyFont="0" applyFill="0" applyBorder="0" applyAlignment="0" applyProtection="0"/>
  </cellStyleXfs>
  <cellXfs count="222">
    <xf numFmtId="0" fontId="0" fillId="0" borderId="0" xfId="0"/>
    <xf numFmtId="0" fontId="3" fillId="2"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6" fillId="0" borderId="2" xfId="0" applyFont="1" applyBorder="1"/>
    <xf numFmtId="0" fontId="7" fillId="0" borderId="3" xfId="0" applyFont="1" applyBorder="1" applyAlignment="1">
      <alignment horizontal="left"/>
    </xf>
    <xf numFmtId="0" fontId="6" fillId="0" borderId="4" xfId="0" applyFont="1" applyBorder="1"/>
    <xf numFmtId="0" fontId="0" fillId="0" borderId="0" xfId="0"/>
    <xf numFmtId="0" fontId="6" fillId="0" borderId="0" xfId="0" applyFont="1" applyBorder="1"/>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0" fillId="0" borderId="0" xfId="0"/>
    <xf numFmtId="0" fontId="5" fillId="7" borderId="1" xfId="0" applyNumberFormat="1" applyFont="1" applyFill="1" applyBorder="1" applyAlignment="1">
      <alignment horizontal="center" vertical="center" wrapText="1"/>
    </xf>
    <xf numFmtId="0" fontId="5" fillId="7" borderId="8" xfId="0" applyNumberFormat="1" applyFont="1" applyFill="1" applyBorder="1" applyAlignment="1">
      <alignment horizontal="center" vertical="center" wrapText="1"/>
    </xf>
    <xf numFmtId="0" fontId="4" fillId="6" borderId="1" xfId="0" applyNumberFormat="1" applyFont="1" applyFill="1" applyBorder="1" applyAlignment="1">
      <alignment horizontal="left" vertical="center" wrapText="1"/>
    </xf>
    <xf numFmtId="0" fontId="4" fillId="6" borderId="8" xfId="0" applyNumberFormat="1" applyFont="1" applyFill="1" applyBorder="1" applyAlignment="1">
      <alignment horizontal="left" vertical="center" wrapText="1"/>
    </xf>
    <xf numFmtId="0" fontId="5" fillId="8" borderId="1" xfId="0" applyNumberFormat="1" applyFont="1" applyFill="1" applyBorder="1" applyAlignment="1">
      <alignment horizontal="center" vertical="center" wrapText="1"/>
    </xf>
    <xf numFmtId="0" fontId="5" fillId="8" borderId="8" xfId="0" applyNumberFormat="1" applyFont="1" applyFill="1" applyBorder="1" applyAlignment="1">
      <alignment horizontal="center" vertical="center" wrapText="1"/>
    </xf>
    <xf numFmtId="1" fontId="5" fillId="8" borderId="1" xfId="0" applyNumberFormat="1" applyFont="1" applyFill="1" applyBorder="1" applyAlignment="1">
      <alignment horizontal="center" vertical="center"/>
    </xf>
    <xf numFmtId="1" fontId="5" fillId="8" borderId="8" xfId="0" applyNumberFormat="1" applyFont="1" applyFill="1" applyBorder="1" applyAlignment="1">
      <alignment horizontal="center" vertical="center"/>
    </xf>
    <xf numFmtId="0" fontId="8" fillId="0" borderId="0" xfId="0" applyFont="1"/>
    <xf numFmtId="0" fontId="6" fillId="9" borderId="4" xfId="0" applyFont="1" applyFill="1" applyBorder="1"/>
    <xf numFmtId="0" fontId="0" fillId="9" borderId="0" xfId="0" applyFill="1"/>
    <xf numFmtId="0" fontId="11" fillId="9" borderId="0" xfId="2" applyFont="1" applyFill="1" applyBorder="1" applyAlignment="1">
      <alignment horizontal="left"/>
    </xf>
    <xf numFmtId="0" fontId="6" fillId="9" borderId="0" xfId="0" applyFont="1" applyFill="1" applyBorder="1"/>
    <xf numFmtId="0" fontId="12" fillId="9" borderId="0" xfId="0" applyFont="1" applyFill="1" applyBorder="1" applyAlignment="1">
      <alignment horizontal="left"/>
    </xf>
    <xf numFmtId="0" fontId="2" fillId="9" borderId="1" xfId="0" applyFont="1" applyFill="1" applyBorder="1" applyAlignment="1">
      <alignment horizontal="left"/>
    </xf>
    <xf numFmtId="0" fontId="13" fillId="9" borderId="0" xfId="0" applyFont="1" applyFill="1" applyAlignment="1">
      <alignment horizontal="left" vertical="center"/>
    </xf>
    <xf numFmtId="0" fontId="17" fillId="9" borderId="0" xfId="0" applyFont="1" applyFill="1" applyAlignment="1">
      <alignment vertical="center"/>
    </xf>
    <xf numFmtId="0" fontId="18" fillId="9" borderId="0" xfId="0" applyFont="1" applyFill="1" applyAlignment="1">
      <alignment vertical="center" wrapText="1"/>
    </xf>
    <xf numFmtId="0" fontId="13" fillId="9" borderId="0" xfId="0" applyFont="1" applyFill="1" applyAlignment="1">
      <alignment vertical="center"/>
    </xf>
    <xf numFmtId="0" fontId="15" fillId="9" borderId="0" xfId="3" applyFont="1" applyFill="1" applyAlignment="1">
      <alignment vertical="center" wrapText="1"/>
    </xf>
    <xf numFmtId="0" fontId="15" fillId="9" borderId="0" xfId="0" applyFont="1" applyFill="1" applyAlignment="1">
      <alignment horizontal="left" vertical="center" wrapText="1"/>
    </xf>
    <xf numFmtId="0" fontId="15" fillId="9" borderId="0" xfId="0" applyFont="1" applyFill="1" applyAlignment="1">
      <alignment vertical="center" wrapText="1"/>
    </xf>
    <xf numFmtId="0" fontId="18" fillId="9" borderId="0" xfId="0" applyFont="1" applyFill="1" applyAlignment="1">
      <alignment horizontal="left" vertical="center" wrapText="1"/>
    </xf>
    <xf numFmtId="0" fontId="15" fillId="9" borderId="0" xfId="0" applyFont="1" applyFill="1"/>
    <xf numFmtId="0" fontId="15" fillId="9" borderId="0" xfId="0" applyFont="1" applyFill="1" applyAlignment="1">
      <alignment horizontal="left" wrapText="1"/>
    </xf>
    <xf numFmtId="164" fontId="5" fillId="4" borderId="1" xfId="1" applyNumberFormat="1" applyFont="1" applyFill="1" applyBorder="1" applyAlignment="1">
      <alignment horizontal="center" vertical="center"/>
    </xf>
    <xf numFmtId="164" fontId="5" fillId="5" borderId="1" xfId="1" applyNumberFormat="1" applyFont="1" applyFill="1" applyBorder="1" applyAlignment="1">
      <alignment horizontal="center" vertical="center"/>
    </xf>
    <xf numFmtId="0" fontId="14" fillId="9" borderId="0" xfId="3" applyFill="1"/>
    <xf numFmtId="0" fontId="2" fillId="9" borderId="0" xfId="3" applyFont="1" applyFill="1" applyAlignment="1">
      <alignment vertical="center"/>
    </xf>
    <xf numFmtId="0" fontId="14" fillId="0" borderId="0" xfId="3"/>
    <xf numFmtId="0" fontId="15" fillId="9" borderId="0" xfId="3" applyFont="1" applyFill="1" applyAlignment="1">
      <alignment vertical="center"/>
    </xf>
    <xf numFmtId="0" fontId="13" fillId="9" borderId="0" xfId="3" applyFont="1" applyFill="1" applyAlignment="1">
      <alignment horizontal="left" vertical="center"/>
    </xf>
    <xf numFmtId="15" fontId="19" fillId="9" borderId="0" xfId="3" applyNumberFormat="1" applyFont="1" applyFill="1"/>
    <xf numFmtId="0" fontId="14" fillId="9" borderId="0" xfId="3" applyFont="1" applyFill="1"/>
    <xf numFmtId="0" fontId="21" fillId="9" borderId="0" xfId="3" applyFont="1" applyFill="1"/>
    <xf numFmtId="0" fontId="23" fillId="9" borderId="0" xfId="3" applyFont="1" applyFill="1"/>
    <xf numFmtId="0" fontId="14" fillId="9" borderId="0" xfId="3" applyFill="1" applyAlignment="1">
      <alignment vertical="center"/>
    </xf>
    <xf numFmtId="15" fontId="19" fillId="9" borderId="0" xfId="3" applyNumberFormat="1" applyFont="1" applyFill="1" applyAlignment="1">
      <alignment vertical="center"/>
    </xf>
    <xf numFmtId="0" fontId="14" fillId="0" borderId="0" xfId="3" applyFill="1"/>
    <xf numFmtId="0" fontId="32" fillId="9" borderId="0" xfId="0" applyFont="1" applyFill="1"/>
    <xf numFmtId="0" fontId="4" fillId="3" borderId="1" xfId="0" applyFont="1" applyFill="1" applyBorder="1" applyAlignment="1">
      <alignment horizontal="left" vertical="center" wrapText="1" indent="1"/>
    </xf>
    <xf numFmtId="1" fontId="5" fillId="4" borderId="1" xfId="0" applyNumberFormat="1" applyFont="1" applyFill="1" applyBorder="1" applyAlignment="1">
      <alignment horizontal="center" vertical="center"/>
    </xf>
    <xf numFmtId="0" fontId="29" fillId="3" borderId="1" xfId="0" applyFont="1" applyFill="1" applyBorder="1" applyAlignment="1">
      <alignment horizontal="left" vertical="center" wrapText="1" indent="1"/>
    </xf>
    <xf numFmtId="1" fontId="3" fillId="4" borderId="1" xfId="0" applyNumberFormat="1" applyFont="1" applyFill="1" applyBorder="1" applyAlignment="1">
      <alignment horizontal="center" vertical="center"/>
    </xf>
    <xf numFmtId="1" fontId="5" fillId="5" borderId="1" xfId="0" applyNumberFormat="1" applyFont="1" applyFill="1" applyBorder="1" applyAlignment="1">
      <alignment horizontal="center" vertical="center"/>
    </xf>
    <xf numFmtId="0" fontId="33" fillId="2" borderId="1" xfId="0" applyFont="1" applyFill="1" applyBorder="1" applyAlignment="1">
      <alignment horizontal="center" vertical="center" wrapText="1"/>
    </xf>
    <xf numFmtId="1" fontId="0" fillId="9" borderId="0" xfId="0" applyNumberFormat="1" applyFill="1"/>
    <xf numFmtId="0" fontId="33" fillId="2" borderId="1" xfId="0" applyFont="1" applyFill="1" applyBorder="1" applyAlignment="1">
      <alignment horizontal="left" vertical="center" wrapText="1" indent="1"/>
    </xf>
    <xf numFmtId="1" fontId="3" fillId="9" borderId="1" xfId="0" applyNumberFormat="1" applyFont="1" applyFill="1" applyBorder="1" applyAlignment="1">
      <alignment horizontal="center" vertical="center"/>
    </xf>
    <xf numFmtId="0" fontId="4" fillId="3" borderId="5" xfId="0" applyFont="1" applyFill="1" applyBorder="1" applyAlignment="1">
      <alignment horizontal="left" vertical="center" wrapText="1" indent="1"/>
    </xf>
    <xf numFmtId="1" fontId="5" fillId="5" borderId="6" xfId="0" applyNumberFormat="1" applyFont="1" applyFill="1" applyBorder="1" applyAlignment="1">
      <alignment horizontal="center" vertical="center"/>
    </xf>
    <xf numFmtId="0" fontId="33" fillId="2" borderId="8" xfId="0" applyFont="1" applyFill="1" applyBorder="1" applyAlignment="1">
      <alignment horizontal="left" vertical="center" wrapText="1" indent="1"/>
    </xf>
    <xf numFmtId="0" fontId="33" fillId="2" borderId="9" xfId="0" applyFont="1" applyFill="1" applyBorder="1" applyAlignment="1">
      <alignment horizontal="left" vertical="center" wrapText="1" indent="1"/>
    </xf>
    <xf numFmtId="0" fontId="4" fillId="3" borderId="10" xfId="0" applyFont="1" applyFill="1" applyBorder="1" applyAlignment="1">
      <alignment horizontal="left" vertical="center" wrapText="1" indent="1"/>
    </xf>
    <xf numFmtId="1" fontId="5" fillId="4" borderId="11" xfId="0" applyNumberFormat="1" applyFont="1" applyFill="1" applyBorder="1" applyAlignment="1">
      <alignment horizontal="center" vertical="center"/>
    </xf>
    <xf numFmtId="1" fontId="5" fillId="5" borderId="11" xfId="0" applyNumberFormat="1" applyFont="1" applyFill="1" applyBorder="1" applyAlignment="1">
      <alignment horizontal="center" vertical="center"/>
    </xf>
    <xf numFmtId="1" fontId="5" fillId="5" borderId="12" xfId="0" applyNumberFormat="1" applyFont="1" applyFill="1" applyBorder="1" applyAlignment="1">
      <alignment horizontal="center" vertical="center"/>
    </xf>
    <xf numFmtId="0" fontId="33" fillId="2" borderId="7" xfId="0" applyFont="1" applyFill="1" applyBorder="1" applyAlignment="1">
      <alignment horizontal="center" vertical="center" wrapText="1"/>
    </xf>
    <xf numFmtId="0" fontId="33" fillId="2" borderId="8" xfId="0" applyFont="1" applyFill="1" applyBorder="1" applyAlignment="1">
      <alignment horizontal="center" vertical="center" wrapText="1"/>
    </xf>
    <xf numFmtId="0" fontId="0" fillId="9" borderId="0" xfId="0" applyFill="1"/>
    <xf numFmtId="0" fontId="4" fillId="6" borderId="1" xfId="0" applyNumberFormat="1" applyFont="1" applyFill="1" applyBorder="1" applyAlignment="1">
      <alignment horizontal="left" vertical="center" wrapText="1" indent="1"/>
    </xf>
    <xf numFmtId="0" fontId="4" fillId="6" borderId="8" xfId="0" applyNumberFormat="1" applyFont="1" applyFill="1" applyBorder="1" applyAlignment="1">
      <alignment horizontal="left" vertical="center" wrapText="1" indent="1"/>
    </xf>
    <xf numFmtId="1" fontId="5" fillId="7" borderId="1" xfId="0" applyNumberFormat="1" applyFont="1" applyFill="1" applyBorder="1" applyAlignment="1">
      <alignment horizontal="center" vertical="center"/>
    </xf>
    <xf numFmtId="1" fontId="5" fillId="7" borderId="8" xfId="0" applyNumberFormat="1" applyFont="1" applyFill="1" applyBorder="1" applyAlignment="1">
      <alignment horizontal="center" vertical="center"/>
    </xf>
    <xf numFmtId="1" fontId="5" fillId="8" borderId="11" xfId="0" applyNumberFormat="1" applyFont="1" applyFill="1" applyBorder="1" applyAlignment="1">
      <alignment horizontal="center" vertical="center"/>
    </xf>
    <xf numFmtId="0" fontId="4" fillId="6" borderId="5" xfId="0" applyNumberFormat="1" applyFont="1" applyFill="1" applyBorder="1" applyAlignment="1">
      <alignment horizontal="left" vertical="center" wrapText="1" indent="1"/>
    </xf>
    <xf numFmtId="0" fontId="4" fillId="6" borderId="7" xfId="0" applyNumberFormat="1" applyFont="1" applyFill="1" applyBorder="1" applyAlignment="1">
      <alignment horizontal="left" vertical="center" wrapText="1" indent="1"/>
    </xf>
    <xf numFmtId="1" fontId="5" fillId="7" borderId="6" xfId="0" applyNumberFormat="1" applyFont="1" applyFill="1" applyBorder="1" applyAlignment="1">
      <alignment horizontal="center" vertical="center"/>
    </xf>
    <xf numFmtId="1" fontId="5" fillId="7" borderId="9" xfId="0" applyNumberFormat="1" applyFont="1" applyFill="1" applyBorder="1" applyAlignment="1">
      <alignment horizontal="center" vertical="center"/>
    </xf>
    <xf numFmtId="1" fontId="5" fillId="8" borderId="6" xfId="0" applyNumberFormat="1" applyFont="1" applyFill="1" applyBorder="1" applyAlignment="1">
      <alignment horizontal="center" vertical="center"/>
    </xf>
    <xf numFmtId="1" fontId="5" fillId="8" borderId="9" xfId="0" applyNumberFormat="1" applyFont="1" applyFill="1" applyBorder="1" applyAlignment="1">
      <alignment horizontal="center" vertical="center"/>
    </xf>
    <xf numFmtId="0" fontId="14" fillId="0" borderId="0" xfId="3" applyFill="1"/>
    <xf numFmtId="0" fontId="13" fillId="0" borderId="0" xfId="3" applyFont="1" applyFill="1" applyAlignment="1">
      <alignment horizontal="left" vertical="center"/>
    </xf>
    <xf numFmtId="15" fontId="19" fillId="0" borderId="0" xfId="3" applyNumberFormat="1" applyFont="1" applyFill="1"/>
    <xf numFmtId="0" fontId="15" fillId="9" borderId="0" xfId="3" applyFont="1" applyFill="1" applyAlignment="1">
      <alignment horizontal="left" vertical="center" wrapText="1"/>
    </xf>
    <xf numFmtId="0" fontId="0" fillId="0" borderId="0" xfId="0"/>
    <xf numFmtId="0" fontId="0" fillId="9" borderId="0" xfId="0" applyFill="1"/>
    <xf numFmtId="0" fontId="14" fillId="9" borderId="0" xfId="3" applyFill="1" applyAlignment="1">
      <alignment horizontal="left" vertical="top"/>
    </xf>
    <xf numFmtId="0" fontId="4" fillId="6" borderId="7" xfId="0" applyNumberFormat="1" applyFont="1" applyFill="1" applyBorder="1" applyAlignment="1">
      <alignment vertical="center"/>
    </xf>
    <xf numFmtId="0" fontId="5" fillId="7" borderId="8" xfId="0" applyNumberFormat="1" applyFont="1" applyFill="1" applyBorder="1" applyAlignment="1">
      <alignment vertical="center" wrapText="1"/>
    </xf>
    <xf numFmtId="0" fontId="5" fillId="8" borderId="8" xfId="0" quotePrefix="1" applyNumberFormat="1" applyFont="1" applyFill="1" applyBorder="1" applyAlignment="1">
      <alignment vertical="center"/>
    </xf>
    <xf numFmtId="0" fontId="5" fillId="7" borderId="8" xfId="0" applyNumberFormat="1" applyFont="1" applyFill="1" applyBorder="1" applyAlignment="1">
      <alignment vertical="center"/>
    </xf>
    <xf numFmtId="0" fontId="4" fillId="6" borderId="5" xfId="0" applyNumberFormat="1" applyFont="1" applyFill="1" applyBorder="1" applyAlignment="1">
      <alignment vertical="center"/>
    </xf>
    <xf numFmtId="0" fontId="5" fillId="7" borderId="1" xfId="0" applyNumberFormat="1" applyFont="1" applyFill="1" applyBorder="1" applyAlignment="1">
      <alignment vertical="center" wrapText="1"/>
    </xf>
    <xf numFmtId="0" fontId="5" fillId="8" borderId="1" xfId="0" quotePrefix="1" applyNumberFormat="1" applyFont="1" applyFill="1" applyBorder="1" applyAlignment="1">
      <alignment vertical="center"/>
    </xf>
    <xf numFmtId="0" fontId="5" fillId="7" borderId="1" xfId="0" applyNumberFormat="1" applyFont="1" applyFill="1" applyBorder="1" applyAlignment="1">
      <alignment vertical="center"/>
    </xf>
    <xf numFmtId="0" fontId="5" fillId="8" borderId="1" xfId="0" applyNumberFormat="1" applyFont="1" applyFill="1" applyBorder="1" applyAlignment="1">
      <alignment vertical="center"/>
    </xf>
    <xf numFmtId="0" fontId="5" fillId="8" borderId="1" xfId="0" applyNumberFormat="1" applyFont="1" applyFill="1" applyBorder="1" applyAlignment="1">
      <alignment vertical="center" wrapText="1"/>
    </xf>
    <xf numFmtId="0" fontId="0" fillId="0" borderId="0" xfId="0"/>
    <xf numFmtId="0" fontId="4" fillId="6" borderId="8" xfId="0" applyNumberFormat="1" applyFont="1" applyFill="1" applyBorder="1" applyAlignment="1">
      <alignment vertical="center" wrapText="1"/>
    </xf>
    <xf numFmtId="0" fontId="5" fillId="8" borderId="8" xfId="0" applyNumberFormat="1" applyFont="1" applyFill="1" applyBorder="1" applyAlignment="1">
      <alignment vertical="center" wrapText="1"/>
    </xf>
    <xf numFmtId="0" fontId="4" fillId="6" borderId="1" xfId="0" applyNumberFormat="1" applyFont="1" applyFill="1" applyBorder="1" applyAlignment="1">
      <alignment vertical="center" wrapText="1"/>
    </xf>
    <xf numFmtId="165" fontId="5" fillId="8" borderId="8" xfId="1" applyNumberFormat="1" applyFont="1" applyFill="1" applyBorder="1" applyAlignment="1">
      <alignment horizontal="center" vertical="center"/>
    </xf>
    <xf numFmtId="165" fontId="5" fillId="8" borderId="1" xfId="1" applyNumberFormat="1" applyFont="1" applyFill="1" applyBorder="1" applyAlignment="1">
      <alignment horizontal="center" vertical="center"/>
    </xf>
    <xf numFmtId="165" fontId="5" fillId="8" borderId="11" xfId="1" applyNumberFormat="1" applyFont="1" applyFill="1" applyBorder="1" applyAlignment="1">
      <alignment horizontal="center" vertical="center"/>
    </xf>
    <xf numFmtId="0" fontId="28" fillId="2" borderId="1" xfId="0" applyFont="1" applyFill="1" applyBorder="1" applyAlignment="1">
      <alignment horizontal="center" vertical="center" wrapText="1"/>
    </xf>
    <xf numFmtId="165" fontId="5" fillId="7" borderId="8" xfId="1" applyNumberFormat="1" applyFont="1" applyFill="1" applyBorder="1" applyAlignment="1">
      <alignment horizontal="center" vertical="center"/>
    </xf>
    <xf numFmtId="165" fontId="5" fillId="7" borderId="1" xfId="1" applyNumberFormat="1" applyFont="1" applyFill="1" applyBorder="1" applyAlignment="1">
      <alignment horizontal="center" vertical="center"/>
    </xf>
    <xf numFmtId="165" fontId="0" fillId="9" borderId="0" xfId="1" applyNumberFormat="1" applyFont="1" applyFill="1"/>
    <xf numFmtId="165" fontId="3" fillId="4" borderId="1" xfId="1" applyNumberFormat="1" applyFont="1" applyFill="1" applyBorder="1" applyAlignment="1">
      <alignment horizontal="center" vertical="center"/>
    </xf>
    <xf numFmtId="0" fontId="32" fillId="9" borderId="0" xfId="0" applyFont="1" applyFill="1" applyAlignment="1">
      <alignment horizontal="left" vertical="top"/>
    </xf>
    <xf numFmtId="0" fontId="0" fillId="9" borderId="0" xfId="0" applyFill="1" applyAlignment="1">
      <alignment horizontal="left" vertical="top"/>
    </xf>
    <xf numFmtId="165" fontId="5" fillId="4" borderId="1" xfId="1" applyNumberFormat="1" applyFont="1" applyFill="1" applyBorder="1" applyAlignment="1">
      <alignment horizontal="center" vertical="center"/>
    </xf>
    <xf numFmtId="165" fontId="5" fillId="5" borderId="1" xfId="1" applyNumberFormat="1" applyFont="1" applyFill="1" applyBorder="1" applyAlignment="1">
      <alignment horizontal="center" vertical="center"/>
    </xf>
    <xf numFmtId="165" fontId="5" fillId="4" borderId="11" xfId="1" applyNumberFormat="1" applyFont="1" applyFill="1" applyBorder="1" applyAlignment="1">
      <alignment horizontal="center" vertical="center"/>
    </xf>
    <xf numFmtId="165" fontId="5" fillId="5" borderId="11" xfId="1" applyNumberFormat="1" applyFont="1" applyFill="1" applyBorder="1" applyAlignment="1">
      <alignment horizontal="center" vertical="center"/>
    </xf>
    <xf numFmtId="0" fontId="5" fillId="8" borderId="27" xfId="0" applyNumberFormat="1" applyFont="1" applyFill="1" applyBorder="1" applyAlignment="1">
      <alignment horizontal="center" vertical="center"/>
    </xf>
    <xf numFmtId="0" fontId="5" fillId="7" borderId="27" xfId="0" applyNumberFormat="1" applyFont="1" applyFill="1" applyBorder="1" applyAlignment="1">
      <alignment horizontal="center" vertical="center"/>
    </xf>
    <xf numFmtId="0" fontId="0" fillId="9" borderId="0" xfId="0" applyFill="1"/>
    <xf numFmtId="0" fontId="29" fillId="3"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1" fontId="3" fillId="5" borderId="1" xfId="0" applyNumberFormat="1" applyFont="1" applyFill="1" applyBorder="1" applyAlignment="1">
      <alignment horizontal="center" vertical="center"/>
    </xf>
    <xf numFmtId="0" fontId="2" fillId="9" borderId="0" xfId="46" applyFont="1" applyFill="1" applyAlignment="1">
      <alignment horizontal="left" vertical="center"/>
    </xf>
    <xf numFmtId="0" fontId="9" fillId="9" borderId="0" xfId="46" applyFill="1"/>
    <xf numFmtId="0" fontId="15" fillId="9" borderId="0" xfId="46" applyFont="1" applyFill="1" applyAlignment="1">
      <alignment vertical="top" wrapText="1"/>
    </xf>
    <xf numFmtId="0" fontId="13" fillId="9" borderId="0" xfId="46" applyFont="1" applyFill="1" applyAlignment="1">
      <alignment vertical="center"/>
    </xf>
    <xf numFmtId="0" fontId="18" fillId="9" borderId="0" xfId="46" applyFont="1" applyFill="1" applyAlignment="1">
      <alignment vertical="center"/>
    </xf>
    <xf numFmtId="0" fontId="24" fillId="9" borderId="0" xfId="46" applyFont="1" applyFill="1" applyAlignment="1">
      <alignment horizontal="left" vertical="center" indent="2"/>
    </xf>
    <xf numFmtId="0" fontId="27" fillId="9" borderId="0" xfId="46" applyFont="1" applyFill="1" applyAlignment="1">
      <alignment vertical="center"/>
    </xf>
    <xf numFmtId="0" fontId="28" fillId="10" borderId="17" xfId="46" applyFont="1" applyFill="1" applyBorder="1" applyAlignment="1">
      <alignment horizontal="left" vertical="center"/>
    </xf>
    <xf numFmtId="0" fontId="28" fillId="10" borderId="16" xfId="46" applyFont="1" applyFill="1" applyBorder="1" applyAlignment="1">
      <alignment horizontal="left" vertical="center"/>
    </xf>
    <xf numFmtId="0" fontId="29" fillId="6" borderId="7" xfId="46" applyFont="1" applyFill="1" applyBorder="1" applyAlignment="1">
      <alignment vertical="center" wrapText="1"/>
    </xf>
    <xf numFmtId="0" fontId="30" fillId="9" borderId="16" xfId="46" applyFont="1" applyFill="1" applyBorder="1" applyAlignment="1">
      <alignment horizontal="center" vertical="center" wrapText="1"/>
    </xf>
    <xf numFmtId="0" fontId="31" fillId="9" borderId="0" xfId="46" applyFont="1" applyFill="1" applyAlignment="1">
      <alignment horizontal="justify" vertical="center"/>
    </xf>
    <xf numFmtId="0" fontId="2" fillId="9" borderId="0" xfId="46" applyFont="1" applyFill="1" applyAlignment="1">
      <alignment vertical="center"/>
    </xf>
    <xf numFmtId="0" fontId="9" fillId="9" borderId="0" xfId="46" applyFill="1" applyAlignment="1"/>
    <xf numFmtId="0" fontId="18" fillId="9" borderId="0" xfId="46" applyFont="1" applyFill="1" applyAlignment="1">
      <alignment horizontal="left" vertical="center" indent="2"/>
    </xf>
    <xf numFmtId="0" fontId="27" fillId="9" borderId="0" xfId="46" applyFont="1" applyFill="1" applyAlignment="1">
      <alignment horizontal="left" vertical="center"/>
    </xf>
    <xf numFmtId="0" fontId="20" fillId="9" borderId="7" xfId="46" applyFont="1" applyFill="1" applyBorder="1" applyAlignment="1">
      <alignment vertical="center"/>
    </xf>
    <xf numFmtId="0" fontId="0" fillId="9" borderId="0" xfId="0" applyFill="1"/>
    <xf numFmtId="0" fontId="0" fillId="9" borderId="0" xfId="0" applyFill="1"/>
    <xf numFmtId="0" fontId="5" fillId="8" borderId="27" xfId="0" quotePrefix="1" applyNumberFormat="1" applyFont="1" applyFill="1" applyBorder="1" applyAlignment="1">
      <alignment horizontal="center" vertical="center"/>
    </xf>
    <xf numFmtId="0" fontId="28" fillId="2" borderId="1" xfId="0" applyFont="1" applyFill="1" applyBorder="1" applyAlignment="1">
      <alignment horizontal="center" vertical="center"/>
    </xf>
    <xf numFmtId="0" fontId="0" fillId="0" borderId="0" xfId="0"/>
    <xf numFmtId="0" fontId="15" fillId="9" borderId="0" xfId="3" applyFont="1" applyFill="1" applyBorder="1" applyAlignment="1">
      <alignment horizontal="left" vertical="top" wrapText="1"/>
    </xf>
    <xf numFmtId="0" fontId="0" fillId="0" borderId="0" xfId="0" applyAlignment="1">
      <alignment vertical="center"/>
    </xf>
    <xf numFmtId="0" fontId="5" fillId="8" borderId="27" xfId="0" applyNumberFormat="1" applyFont="1" applyFill="1" applyBorder="1" applyAlignment="1">
      <alignment vertical="center" wrapText="1"/>
    </xf>
    <xf numFmtId="0" fontId="5" fillId="7" borderId="27" xfId="0" applyNumberFormat="1" applyFont="1" applyFill="1" applyBorder="1" applyAlignment="1">
      <alignment vertical="center" wrapText="1"/>
    </xf>
    <xf numFmtId="0" fontId="0" fillId="9" borderId="0" xfId="0" applyFill="1"/>
    <xf numFmtId="0" fontId="0" fillId="0" borderId="0" xfId="0"/>
    <xf numFmtId="0" fontId="15" fillId="9" borderId="0" xfId="3" applyFont="1" applyFill="1" applyBorder="1" applyAlignment="1">
      <alignment horizontal="left" vertical="center" wrapText="1"/>
    </xf>
    <xf numFmtId="0" fontId="15" fillId="9" borderId="0" xfId="3" applyFont="1" applyFill="1" applyBorder="1" applyAlignment="1">
      <alignment horizontal="left" vertical="center"/>
    </xf>
    <xf numFmtId="165" fontId="5" fillId="7" borderId="11" xfId="1" applyNumberFormat="1" applyFont="1" applyFill="1" applyBorder="1" applyAlignment="1">
      <alignment horizontal="center" vertical="center"/>
    </xf>
    <xf numFmtId="1" fontId="5" fillId="7" borderId="11" xfId="0" applyNumberFormat="1" applyFont="1" applyFill="1" applyBorder="1" applyAlignment="1">
      <alignment horizontal="center" vertical="center"/>
    </xf>
    <xf numFmtId="0" fontId="4" fillId="6" borderId="10" xfId="0" applyNumberFormat="1" applyFont="1" applyFill="1" applyBorder="1" applyAlignment="1">
      <alignment horizontal="left" vertical="center" wrapText="1" indent="1"/>
    </xf>
    <xf numFmtId="1" fontId="5" fillId="7" borderId="12" xfId="0" applyNumberFormat="1" applyFont="1" applyFill="1" applyBorder="1" applyAlignment="1">
      <alignment horizontal="center" vertical="center"/>
    </xf>
    <xf numFmtId="1" fontId="5" fillId="8" borderId="12" xfId="0" applyNumberFormat="1" applyFont="1" applyFill="1" applyBorder="1" applyAlignment="1">
      <alignment horizontal="center" vertical="center"/>
    </xf>
    <xf numFmtId="0" fontId="50" fillId="42" borderId="0" xfId="0" applyFont="1" applyFill="1" applyBorder="1" applyAlignment="1">
      <alignment vertical="center"/>
    </xf>
    <xf numFmtId="0" fontId="0" fillId="0" borderId="0" xfId="0"/>
    <xf numFmtId="0" fontId="0" fillId="9" borderId="0" xfId="0" applyFill="1"/>
    <xf numFmtId="0" fontId="51" fillId="0" borderId="0" xfId="0" applyFont="1"/>
    <xf numFmtId="0" fontId="0" fillId="9" borderId="0" xfId="0" applyFill="1"/>
    <xf numFmtId="0" fontId="33" fillId="2" borderId="8" xfId="0" applyFont="1" applyFill="1" applyBorder="1" applyAlignment="1">
      <alignment horizontal="left" vertical="center" wrapText="1"/>
    </xf>
    <xf numFmtId="0" fontId="32" fillId="9" borderId="0" xfId="0" applyFont="1" applyFill="1" applyAlignment="1">
      <alignment vertical="top" wrapText="1"/>
    </xf>
    <xf numFmtId="0" fontId="0" fillId="0" borderId="0" xfId="0"/>
    <xf numFmtId="0" fontId="0" fillId="9" borderId="0" xfId="0" applyFill="1"/>
    <xf numFmtId="0" fontId="5" fillId="7" borderId="11" xfId="0" applyNumberFormat="1" applyFont="1" applyFill="1" applyBorder="1" applyAlignment="1">
      <alignment vertical="center" wrapText="1"/>
    </xf>
    <xf numFmtId="0" fontId="0" fillId="0" borderId="0" xfId="0"/>
    <xf numFmtId="0" fontId="0" fillId="9" borderId="0" xfId="0" applyFill="1"/>
    <xf numFmtId="0" fontId="4" fillId="6" borderId="11" xfId="0" applyNumberFormat="1" applyFont="1" applyFill="1" applyBorder="1" applyAlignment="1">
      <alignment horizontal="left" vertical="center" wrapText="1" indent="1"/>
    </xf>
    <xf numFmtId="0" fontId="0" fillId="9" borderId="0" xfId="0" applyFill="1"/>
    <xf numFmtId="0" fontId="3" fillId="4" borderId="0" xfId="0" applyFont="1" applyFill="1" applyBorder="1" applyAlignment="1">
      <alignment horizontal="center" vertical="center" wrapText="1"/>
    </xf>
    <xf numFmtId="0" fontId="0" fillId="0" borderId="0" xfId="0"/>
    <xf numFmtId="0" fontId="0" fillId="9" borderId="0" xfId="0" applyFill="1"/>
    <xf numFmtId="0" fontId="4" fillId="6" borderId="11" xfId="0" applyNumberFormat="1" applyFont="1" applyFill="1" applyBorder="1" applyAlignment="1">
      <alignment vertical="center" wrapText="1"/>
    </xf>
    <xf numFmtId="0" fontId="5" fillId="8" borderId="11" xfId="0" applyNumberFormat="1" applyFont="1" applyFill="1" applyBorder="1" applyAlignment="1">
      <alignment vertical="center" wrapText="1"/>
    </xf>
    <xf numFmtId="0" fontId="5" fillId="8" borderId="11" xfId="0" applyNumberFormat="1" applyFont="1" applyFill="1" applyBorder="1" applyAlignment="1">
      <alignment horizontal="center" vertical="center" wrapText="1"/>
    </xf>
    <xf numFmtId="0" fontId="5" fillId="7" borderId="11" xfId="0" applyNumberFormat="1" applyFont="1" applyFill="1" applyBorder="1" applyAlignment="1">
      <alignment horizontal="center" vertical="center" wrapText="1"/>
    </xf>
    <xf numFmtId="0" fontId="16" fillId="9" borderId="0" xfId="3" applyFont="1" applyFill="1" applyAlignment="1">
      <alignment vertical="center"/>
    </xf>
    <xf numFmtId="0" fontId="0" fillId="0" borderId="0" xfId="0"/>
    <xf numFmtId="0" fontId="5" fillId="0" borderId="0" xfId="0" applyFont="1" applyAlignment="1">
      <alignment wrapText="1"/>
    </xf>
    <xf numFmtId="0" fontId="0" fillId="0" borderId="0" xfId="0"/>
    <xf numFmtId="0" fontId="11" fillId="9" borderId="13" xfId="2" applyFont="1" applyFill="1" applyBorder="1" applyAlignment="1">
      <alignment horizontal="left"/>
    </xf>
    <xf numFmtId="0" fontId="11" fillId="9" borderId="14" xfId="2" applyFont="1" applyFill="1" applyBorder="1" applyAlignment="1">
      <alignment horizontal="left"/>
    </xf>
    <xf numFmtId="0" fontId="11" fillId="9" borderId="15" xfId="2" applyFont="1" applyFill="1" applyBorder="1" applyAlignment="1">
      <alignment horizontal="left"/>
    </xf>
    <xf numFmtId="0" fontId="13" fillId="9" borderId="0" xfId="0" applyFont="1" applyFill="1" applyAlignment="1">
      <alignment horizontal="left" vertical="center"/>
    </xf>
    <xf numFmtId="0" fontId="15" fillId="9" borderId="0" xfId="3" applyFont="1" applyFill="1" applyAlignment="1">
      <alignment horizontal="left" vertical="center" wrapText="1"/>
    </xf>
    <xf numFmtId="0" fontId="15" fillId="9" borderId="0" xfId="0" applyFont="1" applyFill="1" applyAlignment="1">
      <alignment horizontal="left" vertical="center" wrapText="1"/>
    </xf>
    <xf numFmtId="0" fontId="16" fillId="0" borderId="0" xfId="0" applyFont="1" applyFill="1" applyAlignment="1">
      <alignment horizontal="left" vertical="center" wrapText="1"/>
    </xf>
    <xf numFmtId="0" fontId="18" fillId="0" borderId="0" xfId="0" applyFont="1" applyFill="1" applyAlignment="1">
      <alignment horizontal="left" vertical="center" wrapText="1"/>
    </xf>
    <xf numFmtId="0" fontId="16" fillId="9" borderId="0" xfId="3" applyFont="1" applyFill="1" applyAlignment="1">
      <alignment horizontal="left" vertical="center" wrapText="1"/>
    </xf>
    <xf numFmtId="0" fontId="15" fillId="9" borderId="0" xfId="3" applyFont="1" applyFill="1" applyBorder="1" applyAlignment="1">
      <alignment horizontal="left" vertical="center" wrapText="1"/>
    </xf>
    <xf numFmtId="0" fontId="15" fillId="9" borderId="0" xfId="3" applyFont="1" applyFill="1" applyBorder="1" applyAlignment="1">
      <alignment horizontal="left" vertical="top" wrapText="1"/>
    </xf>
    <xf numFmtId="0" fontId="16" fillId="9" borderId="0" xfId="3" applyFont="1" applyFill="1" applyAlignment="1">
      <alignment horizontal="left" vertical="top" wrapText="1"/>
    </xf>
    <xf numFmtId="0" fontId="15" fillId="0" borderId="0" xfId="3" applyFont="1" applyFill="1" applyAlignment="1">
      <alignment horizontal="left" vertical="center" wrapText="1"/>
    </xf>
    <xf numFmtId="0" fontId="18" fillId="9" borderId="0" xfId="0" applyFont="1" applyFill="1" applyAlignment="1">
      <alignment horizontal="left" vertical="center" wrapText="1"/>
    </xf>
    <xf numFmtId="0" fontId="18" fillId="9" borderId="0" xfId="3" applyFont="1" applyFill="1" applyAlignment="1">
      <alignment horizontal="left" vertical="center" wrapText="1"/>
    </xf>
    <xf numFmtId="0" fontId="15" fillId="9" borderId="0" xfId="3" applyFont="1" applyFill="1" applyAlignment="1">
      <alignment horizontal="left" wrapText="1"/>
    </xf>
    <xf numFmtId="0" fontId="22" fillId="9" borderId="0" xfId="3" applyFont="1" applyFill="1" applyAlignment="1">
      <alignment horizontal="left" wrapText="1"/>
    </xf>
    <xf numFmtId="0" fontId="19" fillId="9" borderId="0" xfId="3" applyFont="1" applyFill="1" applyAlignment="1">
      <alignment horizontal="left" vertical="center" wrapText="1"/>
    </xf>
    <xf numFmtId="0" fontId="30" fillId="0" borderId="0" xfId="0" applyFont="1" applyAlignment="1">
      <alignment horizontal="left" vertical="top" wrapText="1"/>
    </xf>
    <xf numFmtId="0" fontId="32" fillId="0" borderId="0" xfId="0" applyFont="1" applyAlignment="1">
      <alignment horizontal="left" vertical="top"/>
    </xf>
    <xf numFmtId="0" fontId="6" fillId="9" borderId="0" xfId="0" applyFont="1" applyFill="1" applyAlignment="1">
      <alignment horizontal="left" vertical="top" wrapText="1"/>
    </xf>
    <xf numFmtId="0" fontId="0" fillId="9" borderId="0" xfId="0" applyFill="1" applyAlignment="1">
      <alignment horizontal="left" vertical="top"/>
    </xf>
    <xf numFmtId="0" fontId="6" fillId="9" borderId="0" xfId="0" applyFont="1" applyFill="1" applyAlignment="1">
      <alignment wrapText="1"/>
    </xf>
    <xf numFmtId="0" fontId="0" fillId="9" borderId="0" xfId="0" applyFill="1"/>
    <xf numFmtId="0" fontId="32" fillId="9" borderId="0" xfId="0" applyFont="1" applyFill="1" applyAlignment="1">
      <alignment horizontal="left" wrapText="1"/>
    </xf>
    <xf numFmtId="0" fontId="30" fillId="0" borderId="0" xfId="0" applyFont="1" applyAlignment="1">
      <alignment wrapText="1"/>
    </xf>
    <xf numFmtId="0" fontId="32" fillId="0" borderId="0" xfId="0" applyFont="1"/>
    <xf numFmtId="0" fontId="30" fillId="9" borderId="16" xfId="46" applyFont="1" applyFill="1" applyBorder="1" applyAlignment="1">
      <alignment horizontal="left" vertical="center" wrapText="1"/>
    </xf>
    <xf numFmtId="0" fontId="30" fillId="9" borderId="0" xfId="46" applyFont="1" applyFill="1" applyBorder="1" applyAlignment="1">
      <alignment horizontal="left" vertical="center" wrapText="1"/>
    </xf>
    <xf numFmtId="0" fontId="30" fillId="9" borderId="0" xfId="46" applyFont="1" applyFill="1" applyAlignment="1">
      <alignment horizontal="left" vertical="center" wrapText="1"/>
    </xf>
    <xf numFmtId="0" fontId="28" fillId="10" borderId="16" xfId="46" applyFont="1" applyFill="1" applyBorder="1" applyAlignment="1">
      <alignment horizontal="left" vertical="center"/>
    </xf>
    <xf numFmtId="0" fontId="28" fillId="10" borderId="0" xfId="46" applyFont="1" applyFill="1" applyBorder="1" applyAlignment="1">
      <alignment horizontal="left" vertical="center"/>
    </xf>
    <xf numFmtId="0" fontId="18" fillId="9" borderId="0" xfId="46" applyFont="1" applyFill="1" applyAlignment="1">
      <alignment horizontal="left" vertical="center" wrapText="1"/>
    </xf>
    <xf numFmtId="0" fontId="26" fillId="9" borderId="0" xfId="46" applyFont="1" applyFill="1" applyAlignment="1">
      <alignment horizontal="left" vertical="center" wrapText="1" indent="2"/>
    </xf>
    <xf numFmtId="0" fontId="18" fillId="9" borderId="0" xfId="46" applyFont="1" applyFill="1" applyAlignment="1">
      <alignment horizontal="left" vertical="center" wrapText="1" indent="2"/>
    </xf>
    <xf numFmtId="0" fontId="24" fillId="9" borderId="0" xfId="46" applyFont="1" applyFill="1" applyAlignment="1">
      <alignment horizontal="left" vertical="center" wrapText="1"/>
    </xf>
    <xf numFmtId="0" fontId="15" fillId="9" borderId="0" xfId="46" applyFont="1" applyFill="1" applyAlignment="1">
      <alignment horizontal="left" vertical="center" wrapText="1"/>
    </xf>
    <xf numFmtId="0" fontId="15" fillId="9" borderId="0" xfId="46" applyFont="1" applyFill="1" applyAlignment="1">
      <alignment vertical="top" wrapText="1"/>
    </xf>
  </cellXfs>
  <cellStyles count="51">
    <cellStyle name="20% - Accent1" xfId="20" builtinId="30" customBuiltin="1"/>
    <cellStyle name="20% - Accent2" xfId="23" builtinId="34" customBuiltin="1"/>
    <cellStyle name="20% - Accent3" xfId="26" builtinId="38" customBuiltin="1"/>
    <cellStyle name="20% - Accent4" xfId="29" builtinId="42" customBuiltin="1"/>
    <cellStyle name="20% - Accent5" xfId="32" builtinId="46" customBuiltin="1"/>
    <cellStyle name="20% - Accent6" xfId="35" builtinId="50" customBuiltin="1"/>
    <cellStyle name="40% - Accent1" xfId="21" builtinId="31" customBuiltin="1"/>
    <cellStyle name="40% - Accent2" xfId="24" builtinId="35" customBuiltin="1"/>
    <cellStyle name="40% - Accent3" xfId="27" builtinId="39" customBuiltin="1"/>
    <cellStyle name="40% - Accent4" xfId="30" builtinId="43" customBuiltin="1"/>
    <cellStyle name="40% - Accent5" xfId="33" builtinId="47" customBuiltin="1"/>
    <cellStyle name="40% - Accent6" xfId="36" builtinId="51" customBuiltin="1"/>
    <cellStyle name="60% - Accent1 2" xfId="38" xr:uid="{00000000-0005-0000-0000-00000C000000}"/>
    <cellStyle name="60% - Accent2 2" xfId="39" xr:uid="{00000000-0005-0000-0000-00000D000000}"/>
    <cellStyle name="60% - Accent3 2" xfId="40" xr:uid="{00000000-0005-0000-0000-00000E000000}"/>
    <cellStyle name="60% - Accent4 2" xfId="41" xr:uid="{00000000-0005-0000-0000-00000F000000}"/>
    <cellStyle name="60% - Accent5 2" xfId="42" xr:uid="{00000000-0005-0000-0000-000010000000}"/>
    <cellStyle name="60% - Accent6 2" xfId="43" xr:uid="{00000000-0005-0000-0000-000011000000}"/>
    <cellStyle name="Accent1" xfId="19" builtinId="29" customBuiltin="1"/>
    <cellStyle name="Accent2" xfId="22" builtinId="33" customBuiltin="1"/>
    <cellStyle name="Accent3" xfId="25" builtinId="37" customBuiltin="1"/>
    <cellStyle name="Accent4" xfId="28" builtinId="41" customBuiltin="1"/>
    <cellStyle name="Accent5" xfId="31" builtinId="45" customBuiltin="1"/>
    <cellStyle name="Accent6" xfId="34" builtinId="49" customBuiltin="1"/>
    <cellStyle name="Bad" xfId="10" builtinId="27" customBuiltin="1"/>
    <cellStyle name="Calculation" xfId="13" builtinId="22" customBuiltin="1"/>
    <cellStyle name="Check Cell" xfId="15" builtinId="23" customBuiltin="1"/>
    <cellStyle name="Comma" xfId="1" builtinId="3"/>
    <cellStyle name="Comma 2" xfId="50" xr:uid="{00000000-0005-0000-0000-00001C000000}"/>
    <cellStyle name="Explanatory Text" xfId="17"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2" builtinId="8"/>
    <cellStyle name="Input" xfId="11" builtinId="20" customBuiltin="1"/>
    <cellStyle name="Linked Cell" xfId="14" builtinId="24" customBuiltin="1"/>
    <cellStyle name="Neutral 2" xfId="37" xr:uid="{00000000-0005-0000-0000-000026000000}"/>
    <cellStyle name="Normal" xfId="0" builtinId="0"/>
    <cellStyle name="Normal 2" xfId="3" xr:uid="{00000000-0005-0000-0000-000028000000}"/>
    <cellStyle name="Normal 2 2" xfId="46" xr:uid="{00000000-0005-0000-0000-000029000000}"/>
    <cellStyle name="Normal 3" xfId="48" xr:uid="{00000000-0005-0000-0000-00002A000000}"/>
    <cellStyle name="Normal 4" xfId="49" xr:uid="{00000000-0005-0000-0000-00002B000000}"/>
    <cellStyle name="Normal 5" xfId="44" xr:uid="{00000000-0005-0000-0000-00002C000000}"/>
    <cellStyle name="Note 2" xfId="45" xr:uid="{00000000-0005-0000-0000-00002D000000}"/>
    <cellStyle name="Output" xfId="12" builtinId="21" customBuiltin="1"/>
    <cellStyle name="Percent 2" xfId="47" xr:uid="{00000000-0005-0000-0000-00002F000000}"/>
    <cellStyle name="Title" xfId="4" builtinId="15" customBuiltin="1"/>
    <cellStyle name="Total" xfId="18" builtinId="25" customBuiltin="1"/>
    <cellStyle name="Warning Text" xfId="16" builtinId="11" customBuiltin="1"/>
  </cellStyles>
  <dxfs count="149">
    <dxf>
      <font>
        <sz val="8"/>
        <name val="Arial"/>
        <family val="2"/>
        <scheme val="none"/>
      </font>
      <numFmt numFmtId="0" formatCode="General"/>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bottom/>
        <vertical/>
        <horizontal/>
      </border>
    </dxf>
    <dxf>
      <font>
        <sz val="8"/>
        <name val="Arial"/>
        <family val="2"/>
        <scheme val="none"/>
      </font>
      <numFmt numFmtId="0" formatCode="General"/>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bottom/>
        <vertical/>
        <horizontal/>
      </border>
    </dxf>
    <dxf>
      <font>
        <sz val="8"/>
        <name val="Arial"/>
        <family val="2"/>
        <scheme val="none"/>
      </font>
      <numFmt numFmtId="0" formatCode="General"/>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bottom/>
        <vertical/>
        <horizontal/>
      </border>
    </dxf>
    <dxf>
      <font>
        <b val="0"/>
        <i val="0"/>
        <strike val="0"/>
        <condense val="0"/>
        <extend val="0"/>
        <outline val="0"/>
        <shadow val="0"/>
        <u val="none"/>
        <vertAlign val="baseline"/>
        <sz val="8"/>
        <color rgb="FF000000"/>
        <name val="Arial"/>
        <family val="2"/>
        <scheme val="none"/>
      </font>
      <numFmt numFmtId="0" formatCode="General"/>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bottom/>
        <vertical/>
        <horizontal/>
      </border>
    </dxf>
    <dxf>
      <font>
        <sz val="8"/>
        <name val="Arial"/>
        <family val="2"/>
        <scheme val="none"/>
      </font>
      <numFmt numFmtId="0" formatCode="General"/>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bottom/>
        <vertical/>
        <horizontal/>
      </border>
    </dxf>
    <dxf>
      <font>
        <sz val="8"/>
        <name val="Arial"/>
        <family val="2"/>
        <scheme val="none"/>
      </font>
      <numFmt numFmtId="0" formatCode="General"/>
      <fill>
        <patternFill patternType="solid">
          <fgColor indexed="64"/>
          <bgColor rgb="FFF9F8F6"/>
        </patternFill>
      </fill>
      <alignment horizontal="general"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E7E3DC"/>
        </patternFill>
      </fill>
      <alignment horizontal="general"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F9F8F6"/>
        </patternFill>
      </fill>
      <alignment horizontal="general"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E7E3DC"/>
        </patternFill>
      </fill>
      <alignment horizontal="general"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F9F8F6"/>
        </patternFill>
      </fill>
      <alignment horizontal="general"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E7E3DC"/>
        </patternFill>
      </fill>
      <alignment horizontal="general"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F9F8F6"/>
        </patternFill>
      </fill>
      <alignment horizontal="general"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E7E3DC"/>
        </patternFill>
      </fill>
      <alignment horizontal="general"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F9F8F6"/>
        </patternFill>
      </fill>
      <alignment horizontal="general"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color rgb="FFFFFFFF"/>
        <name val="Arial"/>
        <family val="2"/>
        <scheme val="none"/>
      </font>
      <numFmt numFmtId="0" formatCode="General"/>
      <fill>
        <patternFill patternType="solid">
          <fgColor indexed="64"/>
          <bgColor rgb="FF948671"/>
        </patternFill>
      </fill>
      <alignment horizontal="general" vertical="center" textRotation="0" wrapText="0" indent="0" justifyLastLine="0" shrinkToFit="0" readingOrder="0"/>
      <border diagonalUp="0" diagonalDown="0">
        <left/>
        <right style="medium">
          <color rgb="FFFFFFFF"/>
        </right>
        <top style="medium">
          <color rgb="FFFFFFFF"/>
        </top>
        <bottom style="medium">
          <color rgb="FFFFFFFF"/>
        </bottom>
        <vertical/>
        <horizontal/>
      </border>
    </dxf>
    <dxf>
      <border outline="0">
        <left style="medium">
          <color rgb="FFFFFFFF"/>
        </left>
        <right style="medium">
          <color rgb="FFFFFFFF"/>
        </right>
        <top style="medium">
          <color rgb="FFFFFFFF"/>
        </top>
        <bottom style="medium">
          <color rgb="FFFFFFFF"/>
        </bottom>
      </border>
    </dxf>
    <dxf>
      <border outline="0">
        <bottom style="medium">
          <color rgb="FFFFFFFF"/>
        </bottom>
      </border>
    </dxf>
    <dxf>
      <font>
        <b/>
        <i val="0"/>
        <strike val="0"/>
        <condense val="0"/>
        <extend val="0"/>
        <outline val="0"/>
        <shadow val="0"/>
        <u val="none"/>
        <vertAlign val="baseline"/>
        <sz val="8"/>
        <color rgb="FF000000"/>
        <name val="Arial"/>
        <family val="2"/>
        <scheme val="none"/>
      </font>
      <fill>
        <patternFill patternType="solid">
          <fgColor indexed="64"/>
          <bgColor rgb="FFFFC222"/>
        </patternFill>
      </fill>
      <alignment horizontal="center" vertical="center" textRotation="0" wrapText="1" indent="0" justifyLastLine="0" shrinkToFit="0" readingOrder="0"/>
      <border diagonalUp="0" diagonalDown="0" outline="0">
        <left style="medium">
          <color rgb="FFFFFFFF"/>
        </left>
        <right style="medium">
          <color rgb="FFFFFFFF"/>
        </right>
        <top/>
        <bottom/>
      </border>
    </dxf>
    <dxf>
      <font>
        <sz val="8"/>
        <name val="Arial"/>
        <family val="2"/>
        <scheme val="none"/>
      </font>
      <numFmt numFmtId="1" formatCode="0"/>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F9F8F6"/>
        </patternFill>
      </fill>
      <alignment horizontal="center"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F9F8F6"/>
        </patternFill>
      </fill>
      <alignment horizontal="center" vertical="center" textRotation="0" wrapText="1" indent="0" justifyLastLine="0" shrinkToFit="0" readingOrder="0"/>
      <border diagonalUp="0" diagonalDown="0">
        <left style="medium">
          <color rgb="FFFFFFFF"/>
        </left>
        <right style="medium">
          <color rgb="FFFFFFFF"/>
        </right>
        <top/>
        <bottom style="medium">
          <color rgb="FFFFFFFF"/>
        </bottom>
        <vertical/>
        <horizontal/>
      </border>
    </dxf>
    <dxf>
      <font>
        <sz val="8"/>
        <name val="Arial"/>
        <family val="2"/>
        <scheme val="none"/>
      </font>
      <numFmt numFmtId="1" formatCode="0"/>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F9F8F6"/>
        </patternFill>
      </fill>
      <alignment horizontal="center"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F9F8F6"/>
        </patternFill>
      </fill>
      <alignment horizontal="center"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color rgb="FFFFFFFF"/>
        <name val="Arial"/>
        <family val="2"/>
        <scheme val="none"/>
      </font>
      <numFmt numFmtId="0" formatCode="General"/>
      <fill>
        <patternFill patternType="solid">
          <fgColor indexed="64"/>
          <bgColor rgb="FF948671"/>
        </patternFill>
      </fill>
      <alignment horizontal="left"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border outline="0">
        <bottom style="medium">
          <color rgb="FFFFFFFF"/>
        </bottom>
      </border>
    </dxf>
    <dxf>
      <font>
        <b/>
        <i val="0"/>
        <strike val="0"/>
        <condense val="0"/>
        <extend val="0"/>
        <outline val="0"/>
        <shadow val="0"/>
        <u val="none"/>
        <vertAlign val="baseline"/>
        <sz val="8"/>
        <color rgb="FF000000"/>
        <name val="Arial"/>
        <family val="2"/>
        <scheme val="none"/>
      </font>
      <fill>
        <patternFill patternType="solid">
          <fgColor indexed="64"/>
          <bgColor rgb="FFFFC222"/>
        </patternFill>
      </fill>
      <alignment horizontal="center" vertical="center" textRotation="0" wrapText="1" indent="0" justifyLastLine="0" shrinkToFit="0" readingOrder="0"/>
      <border diagonalUp="0" diagonalDown="0" outline="0">
        <left style="medium">
          <color rgb="FFFFFFFF"/>
        </left>
        <right style="medium">
          <color rgb="FFFFFFFF"/>
        </right>
        <top/>
        <bottom/>
      </border>
    </dxf>
    <dxf>
      <font>
        <sz val="8"/>
        <name val="Arial"/>
        <family val="2"/>
        <scheme val="none"/>
      </font>
      <numFmt numFmtId="1" formatCode="0"/>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top style="medium">
          <color rgb="FFFFFFFF"/>
        </top>
        <bottom style="medium">
          <color rgb="FFFFFFFF"/>
        </bottom>
        <vertical/>
        <horizontal/>
      </border>
    </dxf>
    <dxf>
      <font>
        <sz val="8"/>
        <name val="Arial"/>
        <family val="2"/>
        <scheme val="none"/>
      </font>
      <numFmt numFmtId="1" formatCode="0"/>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color rgb="FFFFFFFF"/>
        <name val="Arial"/>
        <family val="2"/>
        <scheme val="none"/>
      </font>
      <numFmt numFmtId="0" formatCode="General"/>
      <fill>
        <patternFill patternType="solid">
          <fgColor indexed="64"/>
          <bgColor rgb="FF948671"/>
        </patternFill>
      </fill>
      <alignment horizontal="left" vertical="center" textRotation="0" wrapText="1" indent="1" justifyLastLine="0" shrinkToFit="0" readingOrder="0"/>
      <border diagonalUp="0" diagonalDown="0">
        <left/>
        <right style="medium">
          <color rgb="FFFFFFFF"/>
        </right>
        <top style="medium">
          <color rgb="FFFFFFFF"/>
        </top>
        <bottom style="medium">
          <color rgb="FFFFFFFF"/>
        </bottom>
        <vertical/>
        <horizontal/>
      </border>
    </dxf>
    <dxf>
      <border outline="0">
        <left style="medium">
          <color rgb="FFFFFFFF"/>
        </left>
        <right style="medium">
          <color rgb="FFFFFFFF"/>
        </right>
        <top style="medium">
          <color rgb="FFFFFFFF"/>
        </top>
        <bottom style="medium">
          <color rgb="FFFFFFFF"/>
        </bottom>
      </border>
    </dxf>
    <dxf>
      <border outline="0">
        <bottom style="medium">
          <color rgb="FFFFFFFF"/>
        </bottom>
      </border>
    </dxf>
    <dxf>
      <font>
        <b/>
        <i val="0"/>
        <strike val="0"/>
        <condense val="0"/>
        <extend val="0"/>
        <outline val="0"/>
        <shadow val="0"/>
        <u val="none"/>
        <vertAlign val="baseline"/>
        <sz val="8"/>
        <color theme="1"/>
        <name val="Arial"/>
        <family val="2"/>
        <scheme val="none"/>
      </font>
      <fill>
        <patternFill patternType="solid">
          <fgColor indexed="64"/>
          <bgColor rgb="FFFFC222"/>
        </patternFill>
      </fill>
      <alignment horizontal="left" vertical="center" textRotation="0" wrapText="1" indent="1" justifyLastLine="0" shrinkToFit="0" readingOrder="0"/>
      <border diagonalUp="0" diagonalDown="0" outline="0">
        <left style="medium">
          <color rgb="FFFFFFFF"/>
        </left>
        <right style="medium">
          <color rgb="FFFFFFFF"/>
        </right>
        <top/>
        <bottom/>
      </border>
    </dxf>
    <dxf>
      <font>
        <sz val="8"/>
        <name val="Arial"/>
        <family val="2"/>
        <scheme val="none"/>
      </font>
      <numFmt numFmtId="1" formatCode="0"/>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top style="medium">
          <color rgb="FFFFFFFF"/>
        </top>
        <bottom style="medium">
          <color rgb="FFFFFFFF"/>
        </bottom>
        <vertical/>
        <horizontal/>
      </border>
    </dxf>
    <dxf>
      <font>
        <sz val="8"/>
        <name val="Arial"/>
        <family val="2"/>
        <scheme val="none"/>
      </font>
      <numFmt numFmtId="1" formatCode="0"/>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color rgb="FFFFFFFF"/>
        <name val="Arial"/>
        <family val="2"/>
        <scheme val="none"/>
      </font>
      <numFmt numFmtId="0" formatCode="General"/>
      <fill>
        <patternFill patternType="solid">
          <fgColor indexed="64"/>
          <bgColor rgb="FF948671"/>
        </patternFill>
      </fill>
      <alignment horizontal="left" vertical="center" textRotation="0" wrapText="1" indent="1" justifyLastLine="0" shrinkToFit="0" readingOrder="0"/>
      <border diagonalUp="0" diagonalDown="0">
        <left/>
        <right style="medium">
          <color rgb="FFFFFFFF"/>
        </right>
        <top style="medium">
          <color rgb="FFFFFFFF"/>
        </top>
        <bottom style="medium">
          <color rgb="FFFFFFFF"/>
        </bottom>
        <vertical/>
        <horizontal/>
      </border>
    </dxf>
    <dxf>
      <border outline="0">
        <left style="medium">
          <color rgb="FFFFFFFF"/>
        </left>
        <right style="medium">
          <color rgb="FFFFFFFF"/>
        </right>
        <top style="medium">
          <color rgb="FFFFFFFF"/>
        </top>
        <bottom style="medium">
          <color rgb="FFFFFFFF"/>
        </bottom>
      </border>
    </dxf>
    <dxf>
      <border outline="0">
        <bottom style="medium">
          <color rgb="FFFFFFFF"/>
        </bottom>
      </border>
    </dxf>
    <dxf>
      <font>
        <b/>
        <i val="0"/>
        <strike val="0"/>
        <condense val="0"/>
        <extend val="0"/>
        <outline val="0"/>
        <shadow val="0"/>
        <u val="none"/>
        <vertAlign val="baseline"/>
        <sz val="8"/>
        <color theme="1"/>
        <name val="Arial"/>
        <family val="2"/>
        <scheme val="none"/>
      </font>
      <fill>
        <patternFill patternType="solid">
          <fgColor indexed="64"/>
          <bgColor rgb="FFFFC222"/>
        </patternFill>
      </fill>
      <alignment horizontal="left" vertical="center" textRotation="0" wrapText="1" indent="1" justifyLastLine="0" shrinkToFit="0" readingOrder="0"/>
      <border diagonalUp="0" diagonalDown="0" outline="0">
        <left style="medium">
          <color rgb="FFFFFFFF"/>
        </left>
        <right style="medium">
          <color rgb="FFFFFFFF"/>
        </right>
        <top/>
        <bottom/>
      </border>
    </dxf>
    <dxf>
      <font>
        <sz val="8"/>
        <name val="Arial"/>
        <family val="2"/>
        <scheme val="none"/>
      </font>
      <numFmt numFmtId="1" formatCode="0"/>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top style="medium">
          <color rgb="FFFFFFFF"/>
        </top>
        <bottom style="medium">
          <color rgb="FFFFFFFF"/>
        </bottom>
        <vertical/>
        <horizontal/>
      </border>
    </dxf>
    <dxf>
      <font>
        <sz val="8"/>
        <name val="Arial"/>
        <family val="2"/>
        <scheme val="none"/>
      </font>
      <numFmt numFmtId="1" formatCode="0"/>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color rgb="FFFFFFFF"/>
        <name val="Arial"/>
        <family val="2"/>
        <scheme val="none"/>
      </font>
      <numFmt numFmtId="0" formatCode="General"/>
      <fill>
        <patternFill patternType="solid">
          <fgColor indexed="64"/>
          <bgColor rgb="FF948671"/>
        </patternFill>
      </fill>
      <alignment horizontal="left" vertical="center" textRotation="0" wrapText="1" indent="1" justifyLastLine="0" shrinkToFit="0" readingOrder="0"/>
      <border diagonalUp="0" diagonalDown="0">
        <left/>
        <right style="medium">
          <color rgb="FFFFFFFF"/>
        </right>
        <top style="medium">
          <color rgb="FFFFFFFF"/>
        </top>
        <bottom style="medium">
          <color rgb="FFFFFFFF"/>
        </bottom>
        <vertical/>
        <horizontal/>
      </border>
    </dxf>
    <dxf>
      <border outline="0">
        <left style="medium">
          <color rgb="FFFFFFFF"/>
        </left>
        <right style="medium">
          <color rgb="FFFFFFFF"/>
        </right>
        <top style="medium">
          <color rgb="FFFFFFFF"/>
        </top>
        <bottom style="medium">
          <color rgb="FFFFFFFF"/>
        </bottom>
      </border>
    </dxf>
    <dxf>
      <font>
        <sz val="8"/>
        <name val="Arial"/>
        <family val="2"/>
        <scheme val="none"/>
      </font>
      <fill>
        <patternFill patternType="solid">
          <fgColor indexed="64"/>
          <bgColor rgb="FFF9F8F6"/>
        </patternFill>
      </fill>
      <alignment horizontal="center" vertical="center" textRotation="0" wrapText="0" indent="0" justifyLastLine="0" shrinkToFit="0" readingOrder="0"/>
    </dxf>
    <dxf>
      <border outline="0">
        <bottom style="medium">
          <color rgb="FFFFFFFF"/>
        </bottom>
      </border>
    </dxf>
    <dxf>
      <font>
        <b/>
        <i val="0"/>
        <strike val="0"/>
        <condense val="0"/>
        <extend val="0"/>
        <outline val="0"/>
        <shadow val="0"/>
        <u val="none"/>
        <vertAlign val="baseline"/>
        <sz val="8"/>
        <color theme="1"/>
        <name val="Arial"/>
        <family val="2"/>
        <scheme val="none"/>
      </font>
      <fill>
        <patternFill patternType="solid">
          <fgColor indexed="64"/>
          <bgColor rgb="FFFFC222"/>
        </patternFill>
      </fill>
      <alignment horizontal="left" vertical="center" textRotation="0" wrapText="1" indent="1" justifyLastLine="0" shrinkToFit="0" readingOrder="0"/>
      <border diagonalUp="0" diagonalDown="0" outline="0">
        <left style="medium">
          <color rgb="FFFFFFFF"/>
        </left>
        <right style="medium">
          <color rgb="FFFFFFFF"/>
        </right>
        <top/>
        <bottom/>
      </border>
    </dxf>
    <dxf>
      <font>
        <sz val="8"/>
        <name val="Arial"/>
        <family val="2"/>
        <scheme val="none"/>
      </font>
      <numFmt numFmtId="1" formatCode="0"/>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color rgb="FFFFFFFF"/>
        <name val="Arial"/>
        <family val="2"/>
        <scheme val="none"/>
      </font>
      <numFmt numFmtId="0" formatCode="General"/>
      <fill>
        <patternFill patternType="solid">
          <fgColor indexed="64"/>
          <bgColor rgb="FF948671"/>
        </patternFill>
      </fill>
      <alignment horizontal="left" vertical="center" textRotation="0" wrapText="1" indent="1" justifyLastLine="0" shrinkToFit="0" readingOrder="0"/>
      <border diagonalUp="0" diagonalDown="0">
        <left style="medium">
          <color rgb="FFFFFFFF"/>
        </left>
        <right style="medium">
          <color rgb="FFFFFFFF"/>
        </right>
        <top style="medium">
          <color rgb="FFFFFFFF"/>
        </top>
        <bottom style="medium">
          <color rgb="FFFFFFFF"/>
        </bottom>
        <vertical/>
        <horizontal/>
      </border>
    </dxf>
    <dxf>
      <border outline="0">
        <bottom style="medium">
          <color rgb="FFFFFFFF"/>
        </bottom>
      </border>
    </dxf>
    <dxf>
      <font>
        <b/>
        <i val="0"/>
        <strike val="0"/>
        <condense val="0"/>
        <extend val="0"/>
        <outline val="0"/>
        <shadow val="0"/>
        <u val="none"/>
        <vertAlign val="baseline"/>
        <sz val="8"/>
        <color theme="1"/>
        <name val="Arial"/>
        <family val="2"/>
        <scheme val="none"/>
      </font>
      <fill>
        <patternFill patternType="solid">
          <fgColor indexed="64"/>
          <bgColor rgb="FFFFC222"/>
        </patternFill>
      </fill>
      <alignment horizontal="left" vertical="center" textRotation="0" wrapText="1" indent="1" justifyLastLine="0" shrinkToFit="0" readingOrder="0"/>
      <border diagonalUp="0" diagonalDown="0" outline="0">
        <left style="medium">
          <color rgb="FFFFFFFF"/>
        </left>
        <right style="medium">
          <color rgb="FFFFFFFF"/>
        </right>
        <top/>
        <bottom/>
      </border>
    </dxf>
    <dxf>
      <font>
        <sz val="8"/>
        <name val="Arial"/>
        <family val="2"/>
        <scheme val="none"/>
      </font>
      <numFmt numFmtId="1" formatCode="0"/>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color rgb="FFFFFFFF"/>
        <name val="Arial"/>
        <family val="2"/>
        <scheme val="none"/>
      </font>
      <numFmt numFmtId="0" formatCode="General"/>
      <fill>
        <patternFill patternType="solid">
          <fgColor indexed="64"/>
          <bgColor rgb="FF948671"/>
        </patternFill>
      </fill>
      <alignment horizontal="left" vertical="center" textRotation="0" wrapText="1" indent="1" justifyLastLine="0" shrinkToFit="0" readingOrder="0"/>
      <border diagonalUp="0" diagonalDown="0">
        <left style="medium">
          <color rgb="FFFFFFFF"/>
        </left>
        <right style="medium">
          <color rgb="FFFFFFFF"/>
        </right>
        <top style="medium">
          <color rgb="FFFFFFFF"/>
        </top>
        <bottom style="medium">
          <color rgb="FFFFFFFF"/>
        </bottom>
        <vertical/>
        <horizontal/>
      </border>
    </dxf>
    <dxf>
      <border outline="0">
        <bottom style="medium">
          <color rgb="FFFFFFFF"/>
        </bottom>
      </border>
    </dxf>
    <dxf>
      <font>
        <b/>
        <i val="0"/>
        <strike val="0"/>
        <condense val="0"/>
        <extend val="0"/>
        <outline val="0"/>
        <shadow val="0"/>
        <u val="none"/>
        <vertAlign val="baseline"/>
        <sz val="8"/>
        <color theme="1"/>
        <name val="Arial"/>
        <family val="2"/>
        <scheme val="none"/>
      </font>
      <fill>
        <patternFill patternType="solid">
          <fgColor indexed="64"/>
          <bgColor rgb="FFFFC222"/>
        </patternFill>
      </fill>
      <alignment horizontal="left" vertical="center" textRotation="0" wrapText="1" indent="1" justifyLastLine="0" shrinkToFit="0" readingOrder="0"/>
      <border diagonalUp="0" diagonalDown="0" outline="0">
        <left style="medium">
          <color rgb="FFFFFFFF"/>
        </left>
        <right style="medium">
          <color rgb="FFFFFFFF"/>
        </right>
        <top/>
        <bottom/>
      </border>
    </dxf>
    <dxf>
      <font>
        <sz val="8"/>
        <name val="Arial"/>
        <family val="2"/>
        <scheme val="none"/>
      </font>
      <numFmt numFmtId="1" formatCode="0"/>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color rgb="FFFFFFFF"/>
        <name val="Arial"/>
        <family val="2"/>
        <scheme val="none"/>
      </font>
      <numFmt numFmtId="0" formatCode="General"/>
      <fill>
        <patternFill patternType="solid">
          <fgColor indexed="64"/>
          <bgColor rgb="FF948671"/>
        </patternFill>
      </fill>
      <alignment horizontal="left" vertical="center" textRotation="0" wrapText="1" indent="1" justifyLastLine="0" shrinkToFit="0" readingOrder="0"/>
      <border diagonalUp="0" diagonalDown="0">
        <left style="medium">
          <color rgb="FFFFFFFF"/>
        </left>
        <right style="medium">
          <color rgb="FFFFFFFF"/>
        </right>
        <top style="medium">
          <color rgb="FFFFFFFF"/>
        </top>
        <bottom style="medium">
          <color rgb="FFFFFFFF"/>
        </bottom>
        <vertical/>
        <horizontal/>
      </border>
    </dxf>
    <dxf>
      <border outline="0">
        <bottom style="medium">
          <color rgb="FFFFFFFF"/>
        </bottom>
      </border>
    </dxf>
    <dxf>
      <font>
        <b/>
        <i val="0"/>
        <strike val="0"/>
        <condense val="0"/>
        <extend val="0"/>
        <outline val="0"/>
        <shadow val="0"/>
        <u val="none"/>
        <vertAlign val="baseline"/>
        <sz val="8"/>
        <color theme="1"/>
        <name val="Arial"/>
        <family val="2"/>
        <scheme val="none"/>
      </font>
      <fill>
        <patternFill patternType="solid">
          <fgColor indexed="64"/>
          <bgColor rgb="FFFFC222"/>
        </patternFill>
      </fill>
      <alignment horizontal="left" vertical="center" textRotation="0" wrapText="1" indent="1" justifyLastLine="0" shrinkToFit="0" readingOrder="0"/>
      <border diagonalUp="0" diagonalDown="0" outline="0">
        <left style="medium">
          <color rgb="FFFFFFFF"/>
        </left>
        <right style="medium">
          <color rgb="FFFFFFFF"/>
        </right>
        <top/>
        <bottom/>
      </border>
    </dxf>
    <dxf>
      <font>
        <sz val="8"/>
        <name val="Arial"/>
        <family val="2"/>
        <scheme val="none"/>
      </font>
      <numFmt numFmtId="0" formatCode="General"/>
      <fill>
        <patternFill patternType="solid">
          <fgColor indexed="64"/>
          <bgColor rgb="FFE7E3DC"/>
        </patternFill>
      </fill>
      <alignment horizontal="center"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F9F8F6"/>
        </patternFill>
      </fill>
      <alignment horizontal="center"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E7E3DC"/>
        </patternFill>
      </fill>
      <alignment horizontal="center"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0" formatCode="General"/>
      <fill>
        <patternFill patternType="solid">
          <fgColor indexed="64"/>
          <bgColor rgb="FFF9F8F6"/>
        </patternFill>
      </fill>
      <alignment horizontal="general" vertical="center" textRotation="0" wrapText="1" indent="0" justifyLastLine="0" shrinkToFit="0" readingOrder="0"/>
      <border diagonalUp="0" diagonalDown="0">
        <left style="medium">
          <color rgb="FFFFFFFF"/>
        </left>
        <right style="medium">
          <color rgb="FFFFFFFF"/>
        </right>
        <top/>
        <bottom style="medium">
          <color rgb="FFFFFFFF"/>
        </bottom>
        <vertical/>
        <horizontal/>
      </border>
    </dxf>
    <dxf>
      <font>
        <sz val="8"/>
        <name val="Arial"/>
        <family val="2"/>
        <scheme val="none"/>
      </font>
      <numFmt numFmtId="0" formatCode="General"/>
      <fill>
        <patternFill patternType="solid">
          <fgColor indexed="64"/>
          <bgColor rgb="FFF9F8F6"/>
        </patternFill>
      </fill>
      <alignment horizontal="general"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E7E3DC"/>
        </patternFill>
      </fill>
      <alignment horizontal="general"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F9F8F6"/>
        </patternFill>
      </fill>
      <alignment horizontal="general"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E7E3DC"/>
        </patternFill>
      </fill>
      <alignment horizontal="general"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0" formatCode="General"/>
      <fill>
        <patternFill patternType="solid">
          <fgColor indexed="64"/>
          <bgColor rgb="FFF9F8F6"/>
        </patternFill>
      </fill>
      <alignment horizontal="general" vertical="center" textRotation="0" wrapText="1" indent="0" justifyLastLine="0" shrinkToFit="0" readingOrder="0"/>
      <border diagonalUp="0" diagonalDown="0">
        <left style="medium">
          <color rgb="FFFFFFFF"/>
        </left>
        <right style="medium">
          <color rgb="FFFFFFFF"/>
        </right>
        <top/>
        <bottom/>
        <vertical/>
        <horizontal/>
      </border>
    </dxf>
    <dxf>
      <font>
        <sz val="8"/>
        <name val="Arial"/>
        <family val="2"/>
        <scheme val="none"/>
      </font>
      <numFmt numFmtId="0" formatCode="General"/>
      <fill>
        <patternFill patternType="solid">
          <fgColor indexed="64"/>
          <bgColor rgb="FFE7E3DC"/>
        </patternFill>
      </fill>
      <alignment horizontal="general" vertical="center" textRotation="0" wrapText="1" indent="0" justifyLastLine="0" shrinkToFit="0" readingOrder="0"/>
      <border diagonalUp="0" diagonalDown="0">
        <left style="medium">
          <color rgb="FFFFFFFF"/>
        </left>
        <right style="medium">
          <color rgb="FFFFFFFF"/>
        </right>
        <top/>
        <bottom/>
        <vertical/>
        <horizontal/>
      </border>
    </dxf>
    <dxf>
      <font>
        <sz val="8"/>
        <name val="Arial"/>
        <family val="2"/>
        <scheme val="none"/>
      </font>
      <numFmt numFmtId="0" formatCode="General"/>
      <fill>
        <patternFill patternType="solid">
          <fgColor indexed="64"/>
          <bgColor rgb="FFF9F8F6"/>
        </patternFill>
      </fill>
      <alignment horizontal="general"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color rgb="FFFFFFFF"/>
        <name val="Arial"/>
        <family val="2"/>
        <scheme val="none"/>
      </font>
      <numFmt numFmtId="0" formatCode="General"/>
      <fill>
        <patternFill patternType="solid">
          <fgColor indexed="64"/>
          <bgColor rgb="FF948671"/>
        </patternFill>
      </fill>
      <alignment horizontal="general"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border outline="0">
        <bottom style="medium">
          <color rgb="FFFFFFFF"/>
        </bottom>
      </border>
    </dxf>
    <dxf>
      <font>
        <b/>
        <i val="0"/>
        <strike val="0"/>
        <condense val="0"/>
        <extend val="0"/>
        <outline val="0"/>
        <shadow val="0"/>
        <u val="none"/>
        <vertAlign val="baseline"/>
        <sz val="8"/>
        <color rgb="FF000000"/>
        <name val="Arial"/>
        <family val="2"/>
        <scheme val="none"/>
      </font>
      <fill>
        <patternFill patternType="solid">
          <fgColor indexed="64"/>
          <bgColor rgb="FFFFC222"/>
        </patternFill>
      </fill>
      <alignment horizontal="center" vertical="center" textRotation="0" wrapText="1"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'Victoria Summary'!$B$65</c:f>
              <c:strCache>
                <c:ptCount val="1"/>
                <c:pt idx="0">
                  <c:v>Existing less Announced Withdrawal</c:v>
                </c:pt>
              </c:strCache>
            </c:strRef>
          </c:tx>
          <c:spPr>
            <a:solidFill>
              <a:schemeClr val="accent6">
                <a:lumMod val="75000"/>
              </a:schemeClr>
            </a:solidFill>
            <a:ln>
              <a:noFill/>
            </a:ln>
            <a:effectLst/>
          </c:spPr>
          <c:invertIfNegative val="0"/>
          <c:cat>
            <c:strRef>
              <c:f>'Victoria Summary'!$C$62:$L$62</c:f>
              <c:strCache>
                <c:ptCount val="10"/>
                <c:pt idx="0">
                  <c:v>Coal</c:v>
                </c:pt>
                <c:pt idx="1">
                  <c:v>CCGT</c:v>
                </c:pt>
                <c:pt idx="2">
                  <c:v>OCGT</c:v>
                </c:pt>
                <c:pt idx="3">
                  <c:v>Gas other</c:v>
                </c:pt>
                <c:pt idx="4">
                  <c:v>Solar*</c:v>
                </c:pt>
                <c:pt idx="5">
                  <c:v>Wind</c:v>
                </c:pt>
                <c:pt idx="6">
                  <c:v>Water</c:v>
                </c:pt>
                <c:pt idx="7">
                  <c:v>Biomass</c:v>
                </c:pt>
                <c:pt idx="8">
                  <c:v>Battery Storage</c:v>
                </c:pt>
                <c:pt idx="9">
                  <c:v>Other</c:v>
                </c:pt>
              </c:strCache>
            </c:strRef>
          </c:cat>
          <c:val>
            <c:numRef>
              <c:f>'Victoria Summary'!$C$65:$L$65</c:f>
              <c:numCache>
                <c:formatCode>_-* #,##0_-;\-* #,##0_-;_-* "-"??_-;_-@_-</c:formatCode>
                <c:ptCount val="10"/>
                <c:pt idx="0">
                  <c:v>4660</c:v>
                </c:pt>
                <c:pt idx="1">
                  <c:v>21</c:v>
                </c:pt>
                <c:pt idx="2">
                  <c:v>1916.8</c:v>
                </c:pt>
                <c:pt idx="3">
                  <c:v>522.61199999999997</c:v>
                </c:pt>
                <c:pt idx="4">
                  <c:v>76.311499999999995</c:v>
                </c:pt>
                <c:pt idx="5">
                  <c:v>1612.9</c:v>
                </c:pt>
                <c:pt idx="6">
                  <c:v>2286.2370000000001</c:v>
                </c:pt>
                <c:pt idx="7">
                  <c:v>57.604000000000013</c:v>
                </c:pt>
                <c:pt idx="8">
                  <c:v>25</c:v>
                </c:pt>
                <c:pt idx="9">
                  <c:v>0</c:v>
                </c:pt>
              </c:numCache>
            </c:numRef>
          </c:val>
          <c:extLst>
            <c:ext xmlns:c16="http://schemas.microsoft.com/office/drawing/2014/chart" uri="{C3380CC4-5D6E-409C-BE32-E72D297353CC}">
              <c16:uniqueId val="{00000001-A3D1-482D-B116-277E85E54BB3}"/>
            </c:ext>
          </c:extLst>
        </c:ser>
        <c:ser>
          <c:idx val="0"/>
          <c:order val="1"/>
          <c:tx>
            <c:strRef>
              <c:f>'Victoria Summary'!$B$64</c:f>
              <c:strCache>
                <c:ptCount val="1"/>
                <c:pt idx="0">
                  <c:v>Announced Withdrawal</c:v>
                </c:pt>
              </c:strCache>
            </c:strRef>
          </c:tx>
          <c:spPr>
            <a:solidFill>
              <a:srgbClr val="FFC000"/>
            </a:solidFill>
            <a:ln>
              <a:noFill/>
            </a:ln>
            <a:effectLst/>
          </c:spPr>
          <c:invertIfNegative val="0"/>
          <c:cat>
            <c:strRef>
              <c:f>'Victoria Summary'!$C$62:$L$62</c:f>
              <c:strCache>
                <c:ptCount val="10"/>
                <c:pt idx="0">
                  <c:v>Coal</c:v>
                </c:pt>
                <c:pt idx="1">
                  <c:v>CCGT</c:v>
                </c:pt>
                <c:pt idx="2">
                  <c:v>OCGT</c:v>
                </c:pt>
                <c:pt idx="3">
                  <c:v>Gas other</c:v>
                </c:pt>
                <c:pt idx="4">
                  <c:v>Solar*</c:v>
                </c:pt>
                <c:pt idx="5">
                  <c:v>Wind</c:v>
                </c:pt>
                <c:pt idx="6">
                  <c:v>Water</c:v>
                </c:pt>
                <c:pt idx="7">
                  <c:v>Biomass</c:v>
                </c:pt>
                <c:pt idx="8">
                  <c:v>Battery Storage</c:v>
                </c:pt>
                <c:pt idx="9">
                  <c:v>Other</c:v>
                </c:pt>
              </c:strCache>
            </c:strRef>
          </c:cat>
          <c:val>
            <c:numRef>
              <c:f>'Victoria Summary'!$C$64:$L$64</c:f>
              <c:numCache>
                <c:formatCode>_-* #,##0_-;\-* #,##0_-;_-*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A3D1-482D-B116-277E85E54BB3}"/>
            </c:ext>
          </c:extLst>
        </c:ser>
        <c:ser>
          <c:idx val="2"/>
          <c:order val="2"/>
          <c:tx>
            <c:strRef>
              <c:f>'Victoria Summary'!$B$67</c:f>
              <c:strCache>
                <c:ptCount val="1"/>
                <c:pt idx="0">
                  <c:v>Committed</c:v>
                </c:pt>
              </c:strCache>
            </c:strRef>
          </c:tx>
          <c:spPr>
            <a:solidFill>
              <a:schemeClr val="tx2"/>
            </a:solidFill>
            <a:ln>
              <a:noFill/>
            </a:ln>
            <a:effectLst/>
          </c:spPr>
          <c:invertIfNegative val="0"/>
          <c:cat>
            <c:strRef>
              <c:f>'Victoria Summary'!$C$62:$L$62</c:f>
              <c:strCache>
                <c:ptCount val="10"/>
                <c:pt idx="0">
                  <c:v>Coal</c:v>
                </c:pt>
                <c:pt idx="1">
                  <c:v>CCGT</c:v>
                </c:pt>
                <c:pt idx="2">
                  <c:v>OCGT</c:v>
                </c:pt>
                <c:pt idx="3">
                  <c:v>Gas other</c:v>
                </c:pt>
                <c:pt idx="4">
                  <c:v>Solar*</c:v>
                </c:pt>
                <c:pt idx="5">
                  <c:v>Wind</c:v>
                </c:pt>
                <c:pt idx="6">
                  <c:v>Water</c:v>
                </c:pt>
                <c:pt idx="7">
                  <c:v>Biomass</c:v>
                </c:pt>
                <c:pt idx="8">
                  <c:v>Battery Storage</c:v>
                </c:pt>
                <c:pt idx="9">
                  <c:v>Other</c:v>
                </c:pt>
              </c:strCache>
            </c:strRef>
          </c:cat>
          <c:val>
            <c:numRef>
              <c:f>'Victoria Summary'!$C$67:$L$67</c:f>
              <c:numCache>
                <c:formatCode>_-* #,##0_-;\-* #,##0_-;_-* "-"??_-;_-@_-</c:formatCode>
                <c:ptCount val="10"/>
                <c:pt idx="0">
                  <c:v>0</c:v>
                </c:pt>
                <c:pt idx="1">
                  <c:v>0</c:v>
                </c:pt>
                <c:pt idx="2">
                  <c:v>0</c:v>
                </c:pt>
                <c:pt idx="3">
                  <c:v>0</c:v>
                </c:pt>
                <c:pt idx="4">
                  <c:v>674.02</c:v>
                </c:pt>
                <c:pt idx="5">
                  <c:v>2105.25</c:v>
                </c:pt>
                <c:pt idx="6">
                  <c:v>0</c:v>
                </c:pt>
                <c:pt idx="7">
                  <c:v>0</c:v>
                </c:pt>
                <c:pt idx="8">
                  <c:v>50</c:v>
                </c:pt>
                <c:pt idx="9">
                  <c:v>0</c:v>
                </c:pt>
              </c:numCache>
            </c:numRef>
          </c:val>
          <c:extLst>
            <c:ext xmlns:c16="http://schemas.microsoft.com/office/drawing/2014/chart" uri="{C3380CC4-5D6E-409C-BE32-E72D297353CC}">
              <c16:uniqueId val="{00000002-A3D1-482D-B116-277E85E54BB3}"/>
            </c:ext>
          </c:extLst>
        </c:ser>
        <c:ser>
          <c:idx val="3"/>
          <c:order val="3"/>
          <c:tx>
            <c:strRef>
              <c:f>'Victoria Summary'!$B$68</c:f>
              <c:strCache>
                <c:ptCount val="1"/>
                <c:pt idx="0">
                  <c:v>Proposed</c:v>
                </c:pt>
              </c:strCache>
            </c:strRef>
          </c:tx>
          <c:spPr>
            <a:solidFill>
              <a:schemeClr val="accent1">
                <a:lumMod val="40000"/>
                <a:lumOff val="60000"/>
              </a:schemeClr>
            </a:solidFill>
            <a:ln>
              <a:noFill/>
            </a:ln>
            <a:effectLst/>
          </c:spPr>
          <c:invertIfNegative val="0"/>
          <c:cat>
            <c:strRef>
              <c:f>'Victoria Summary'!$C$62:$L$62</c:f>
              <c:strCache>
                <c:ptCount val="10"/>
                <c:pt idx="0">
                  <c:v>Coal</c:v>
                </c:pt>
                <c:pt idx="1">
                  <c:v>CCGT</c:v>
                </c:pt>
                <c:pt idx="2">
                  <c:v>OCGT</c:v>
                </c:pt>
                <c:pt idx="3">
                  <c:v>Gas other</c:v>
                </c:pt>
                <c:pt idx="4">
                  <c:v>Solar*</c:v>
                </c:pt>
                <c:pt idx="5">
                  <c:v>Wind</c:v>
                </c:pt>
                <c:pt idx="6">
                  <c:v>Water</c:v>
                </c:pt>
                <c:pt idx="7">
                  <c:v>Biomass</c:v>
                </c:pt>
                <c:pt idx="8">
                  <c:v>Battery Storage</c:v>
                </c:pt>
                <c:pt idx="9">
                  <c:v>Other</c:v>
                </c:pt>
              </c:strCache>
            </c:strRef>
          </c:cat>
          <c:val>
            <c:numRef>
              <c:f>'Victoria Summary'!$C$68:$L$68</c:f>
              <c:numCache>
                <c:formatCode>_-* #,##0_-;\-* #,##0_-;_-* "-"??_-;_-@_-</c:formatCode>
                <c:ptCount val="10"/>
                <c:pt idx="0">
                  <c:v>0</c:v>
                </c:pt>
                <c:pt idx="1">
                  <c:v>0</c:v>
                </c:pt>
                <c:pt idx="2">
                  <c:v>765</c:v>
                </c:pt>
                <c:pt idx="3">
                  <c:v>0</c:v>
                </c:pt>
                <c:pt idx="4">
                  <c:v>2400.6999999999998</c:v>
                </c:pt>
                <c:pt idx="5">
                  <c:v>5549.4999999999991</c:v>
                </c:pt>
                <c:pt idx="6">
                  <c:v>34</c:v>
                </c:pt>
                <c:pt idx="7">
                  <c:v>0</c:v>
                </c:pt>
                <c:pt idx="8">
                  <c:v>92</c:v>
                </c:pt>
                <c:pt idx="9">
                  <c:v>0</c:v>
                </c:pt>
              </c:numCache>
            </c:numRef>
          </c:val>
          <c:extLst>
            <c:ext xmlns:c16="http://schemas.microsoft.com/office/drawing/2014/chart" uri="{C3380CC4-5D6E-409C-BE32-E72D297353CC}">
              <c16:uniqueId val="{00000003-A3D1-482D-B116-277E85E54BB3}"/>
            </c:ext>
          </c:extLst>
        </c:ser>
        <c:ser>
          <c:idx val="4"/>
          <c:order val="4"/>
          <c:tx>
            <c:strRef>
              <c:f>'Victoria Summary'!$B$69</c:f>
              <c:strCache>
                <c:ptCount val="1"/>
                <c:pt idx="0">
                  <c:v>Withdrawn</c:v>
                </c:pt>
              </c:strCache>
            </c:strRef>
          </c:tx>
          <c:spPr>
            <a:solidFill>
              <a:schemeClr val="accent2"/>
            </a:solidFill>
            <a:ln>
              <a:noFill/>
            </a:ln>
            <a:effectLst/>
          </c:spPr>
          <c:invertIfNegative val="0"/>
          <c:cat>
            <c:strRef>
              <c:f>'Victoria Summary'!$C$62:$L$62</c:f>
              <c:strCache>
                <c:ptCount val="10"/>
                <c:pt idx="0">
                  <c:v>Coal</c:v>
                </c:pt>
                <c:pt idx="1">
                  <c:v>CCGT</c:v>
                </c:pt>
                <c:pt idx="2">
                  <c:v>OCGT</c:v>
                </c:pt>
                <c:pt idx="3">
                  <c:v>Gas other</c:v>
                </c:pt>
                <c:pt idx="4">
                  <c:v>Solar*</c:v>
                </c:pt>
                <c:pt idx="5">
                  <c:v>Wind</c:v>
                </c:pt>
                <c:pt idx="6">
                  <c:v>Water</c:v>
                </c:pt>
                <c:pt idx="7">
                  <c:v>Biomass</c:v>
                </c:pt>
                <c:pt idx="8">
                  <c:v>Battery Storage</c:v>
                </c:pt>
                <c:pt idx="9">
                  <c:v>Other</c:v>
                </c:pt>
              </c:strCache>
            </c:strRef>
          </c:cat>
          <c:val>
            <c:numRef>
              <c:f>'Victoria Summary'!$C$69:$L$69</c:f>
              <c:numCache>
                <c:formatCode>_-* #,##0_-;\-* #,##0_-;_-*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A3D1-482D-B116-277E85E54BB3}"/>
            </c:ext>
          </c:extLst>
        </c:ser>
        <c:ser>
          <c:idx val="5"/>
          <c:order val="5"/>
          <c:tx>
            <c:strRef>
              <c:f>'Victoria Summary'!$B$66</c:f>
              <c:strCache>
                <c:ptCount val="1"/>
                <c:pt idx="0">
                  <c:v>Upgrade</c:v>
                </c:pt>
              </c:strCache>
            </c:strRef>
          </c:tx>
          <c:spPr>
            <a:solidFill>
              <a:schemeClr val="tx1"/>
            </a:solidFill>
            <a:ln>
              <a:noFill/>
            </a:ln>
            <a:effectLst/>
          </c:spPr>
          <c:invertIfNegative val="0"/>
          <c:cat>
            <c:strRef>
              <c:f>'Victoria Summary'!$C$62:$L$62</c:f>
              <c:strCache>
                <c:ptCount val="10"/>
                <c:pt idx="0">
                  <c:v>Coal</c:v>
                </c:pt>
                <c:pt idx="1">
                  <c:v>CCGT</c:v>
                </c:pt>
                <c:pt idx="2">
                  <c:v>OCGT</c:v>
                </c:pt>
                <c:pt idx="3">
                  <c:v>Gas other</c:v>
                </c:pt>
                <c:pt idx="4">
                  <c:v>Solar*</c:v>
                </c:pt>
                <c:pt idx="5">
                  <c:v>Wind</c:v>
                </c:pt>
                <c:pt idx="6">
                  <c:v>Water</c:v>
                </c:pt>
                <c:pt idx="7">
                  <c:v>Biomass</c:v>
                </c:pt>
                <c:pt idx="8">
                  <c:v>Battery Storage</c:v>
                </c:pt>
                <c:pt idx="9">
                  <c:v>Other</c:v>
                </c:pt>
              </c:strCache>
            </c:strRef>
          </c:cat>
          <c:val>
            <c:numRef>
              <c:f>'Victoria Summary'!$C$66:$L$66</c:f>
              <c:numCache>
                <c:formatCode>_-* #,##0_-;\-* #,##0_-;_-* "-"??_-;_-@_-</c:formatCode>
                <c:ptCount val="10"/>
                <c:pt idx="0">
                  <c:v>80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A680-46F3-954F-A6D4736B8B67}"/>
            </c:ext>
          </c:extLst>
        </c:ser>
        <c:dLbls>
          <c:showLegendKey val="0"/>
          <c:showVal val="0"/>
          <c:showCatName val="0"/>
          <c:showSerName val="0"/>
          <c:showPercent val="0"/>
          <c:showBubbleSize val="0"/>
        </c:dLbls>
        <c:gapWidth val="150"/>
        <c:overlap val="100"/>
        <c:axId val="1023113008"/>
        <c:axId val="1023113336"/>
      </c:barChart>
      <c:catAx>
        <c:axId val="1023113008"/>
        <c:scaling>
          <c:orientation val="minMax"/>
        </c:scaling>
        <c:delete val="0"/>
        <c:axPos val="b"/>
        <c:minorGridlines>
          <c:spPr>
            <a:ln w="9525" cap="flat" cmpd="sng" algn="ctr">
              <a:solidFill>
                <a:schemeClr val="bg1"/>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23113336"/>
        <c:crosses val="autoZero"/>
        <c:auto val="1"/>
        <c:lblAlgn val="ctr"/>
        <c:lblOffset val="100"/>
        <c:noMultiLvlLbl val="0"/>
      </c:catAx>
      <c:valAx>
        <c:axId val="1023113336"/>
        <c:scaling>
          <c:orientation val="minMax"/>
        </c:scaling>
        <c:delete val="0"/>
        <c:axPos val="l"/>
        <c:minorGridlines>
          <c:spPr>
            <a:ln w="9525" cap="flat" cmpd="sng" algn="ctr">
              <a:solidFill>
                <a:schemeClr val="bg1"/>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AU"/>
                  <a:t>Generation</a:t>
                </a:r>
                <a:r>
                  <a:rPr lang="en-AU" baseline="0"/>
                  <a:t> capacity (MW)</a:t>
                </a:r>
                <a:endParaRPr lang="en-AU"/>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23113008"/>
        <c:crosses val="autoZero"/>
        <c:crossBetween val="between"/>
      </c:valAx>
      <c:spPr>
        <a:solidFill>
          <a:schemeClr val="bg1">
            <a:lumMod val="9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280986</xdr:colOff>
      <xdr:row>39</xdr:row>
      <xdr:rowOff>157161</xdr:rowOff>
    </xdr:from>
    <xdr:to>
      <xdr:col>12</xdr:col>
      <xdr:colOff>571499</xdr:colOff>
      <xdr:row>60</xdr:row>
      <xdr:rowOff>28574</xdr:rowOff>
    </xdr:to>
    <xdr:graphicFrame macro="">
      <xdr:nvGraphicFramePr>
        <xdr:cNvPr id="3" name="Chart 2">
          <a:extLst>
            <a:ext uri="{FF2B5EF4-FFF2-40B4-BE49-F238E27FC236}">
              <a16:creationId xmlns:a16="http://schemas.microsoft.com/office/drawing/2014/main" id="{F1CC7371-0D3A-4FD3-8A85-2971C5B52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aredocs/sites/nd/BusinessAsUsual/Generation%20Information/GenInfo/2018/March_Update_v3/Generation_Information_VIC_March_2018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Victoria Summary"/>
      <sheetName val="Change Log"/>
      <sheetName val="Existing S &amp; SS Generation"/>
      <sheetName val="Summer Scheduled Capacities"/>
      <sheetName val="Winter Scheduled Capacities"/>
      <sheetName val="Existing NS Generation"/>
      <sheetName val="New Developments"/>
      <sheetName val="Background Information"/>
    </sheetNames>
    <sheetDataSet>
      <sheetData sheetId="0">
        <row r="3">
          <cell r="I3" t="str">
            <v>Legend</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xistingstable" displayName="existingstable" ref="A2:L29" totalsRowShown="0" headerRowDxfId="148" headerRowBorderDxfId="147">
  <tableColumns count="12">
    <tableColumn id="1" xr3:uid="{00000000-0010-0000-0000-000001000000}" name="Power Station" dataDxfId="146"/>
    <tableColumn id="2" xr3:uid="{00000000-0010-0000-0000-000002000000}" name="Owner" dataDxfId="145"/>
    <tableColumn id="3" xr3:uid="{CB523207-2F1A-4BE9-8F8E-0A55F980CDFE}" name="Unit Number and Nameplate Capacity (MW)" dataDxfId="144"/>
    <tableColumn id="4" xr3:uid="{A1F0AC89-4BF2-4CA7-9EFD-8F3D3CCEA2C0}" name="Nameplate Capacity (MW)" dataDxfId="143"/>
    <tableColumn id="5" xr3:uid="{00000000-0010-0000-0000-000005000000}" name="Technology Type" dataDxfId="142"/>
    <tableColumn id="6" xr3:uid="{00000000-0010-0000-0000-000006000000}" name="Fuel Type" dataDxfId="141"/>
    <tableColumn id="7" xr3:uid="{00000000-0010-0000-0000-000007000000}" name="Dispatch Type" dataDxfId="140"/>
    <tableColumn id="8" xr3:uid="{00000000-0010-0000-0000-000008000000}" name="Service Status" dataDxfId="139"/>
    <tableColumn id="12" xr3:uid="{5A54D5BD-4135-4D8A-97BE-40126E56C5A4}" name="Closure Date" dataDxfId="138"/>
    <tableColumn id="9" xr3:uid="{00000000-0010-0000-0000-000009000000}" name="Region" dataDxfId="137"/>
    <tableColumn id="10" xr3:uid="{00000000-0010-0000-0000-00000A000000}" name="summary_status" dataDxfId="136"/>
    <tableColumn id="11" xr3:uid="{00000000-0010-0000-0000-00000B000000}" name="summary_bucket" dataDxfId="13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sumcapsalltable" displayName="sumcapsalltable" ref="A2:O48" totalsRowShown="0" headerRowDxfId="134" headerRowBorderDxfId="133">
  <tableColumns count="15">
    <tableColumn id="1" xr3:uid="{00000000-0010-0000-0100-000001000000}" name="PowerStation" dataDxfId="132"/>
    <tableColumn id="2" xr3:uid="{00000000-0010-0000-0100-000002000000}" name="201819" dataDxfId="131" dataCellStyle="Comma"/>
    <tableColumn id="3" xr3:uid="{00000000-0010-0000-0100-000003000000}" name="201920" dataDxfId="130" dataCellStyle="Comma"/>
    <tableColumn id="4" xr3:uid="{00000000-0010-0000-0100-000004000000}" name="202021" dataDxfId="129" dataCellStyle="Comma"/>
    <tableColumn id="5" xr3:uid="{00000000-0010-0000-0100-000005000000}" name="202122" dataDxfId="128" dataCellStyle="Comma"/>
    <tableColumn id="6" xr3:uid="{00000000-0010-0000-0100-000006000000}" name="202223" dataDxfId="127" dataCellStyle="Comma"/>
    <tableColumn id="7" xr3:uid="{00000000-0010-0000-0100-000007000000}" name="202324" dataDxfId="126" dataCellStyle="Comma"/>
    <tableColumn id="8" xr3:uid="{00000000-0010-0000-0100-000008000000}" name="202425" dataDxfId="125" dataCellStyle="Comma"/>
    <tableColumn id="9" xr3:uid="{00000000-0010-0000-0100-000009000000}" name="202526" dataDxfId="124" dataCellStyle="Comma"/>
    <tableColumn id="10" xr3:uid="{00000000-0010-0000-0100-00000A000000}" name="202627" dataDxfId="123" dataCellStyle="Comma"/>
    <tableColumn id="11" xr3:uid="{00000000-0010-0000-0100-00000B000000}" name="202728" dataDxfId="122" dataCellStyle="Comma"/>
    <tableColumn id="12" xr3:uid="{00000000-0010-0000-0100-00000C000000}" name="DispatchType" dataDxfId="121"/>
    <tableColumn id="13" xr3:uid="{00000000-0010-0000-0100-00000D000000}" name="FuelType" dataDxfId="120"/>
    <tableColumn id="14" xr3:uid="{00000000-0010-0000-0100-00000E000000}" name="Region" dataDxfId="119"/>
    <tableColumn id="15" xr3:uid="{00000000-0010-0000-0100-00000F000000}" name="Season" dataDxfId="1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sumcapsStable" displayName="sumcapsStable" ref="A58:O78" totalsRowShown="0" headerRowDxfId="117" headerRowBorderDxfId="116">
  <autoFilter ref="A58:O78" xr:uid="{06E751B1-9A4F-4616-BBE9-C2E196A58BC3}"/>
  <tableColumns count="15">
    <tableColumn id="1" xr3:uid="{00000000-0010-0000-0200-000001000000}" name="PowerStation" dataDxfId="115"/>
    <tableColumn id="2" xr3:uid="{00000000-0010-0000-0200-000002000000}" name="201819" dataDxfId="114" dataCellStyle="Comma"/>
    <tableColumn id="3" xr3:uid="{00000000-0010-0000-0200-000003000000}" name="201920" dataDxfId="113" dataCellStyle="Comma"/>
    <tableColumn id="4" xr3:uid="{00000000-0010-0000-0200-000004000000}" name="202021" dataDxfId="112" dataCellStyle="Comma"/>
    <tableColumn id="5" xr3:uid="{00000000-0010-0000-0200-000005000000}" name="202122" dataDxfId="111" dataCellStyle="Comma"/>
    <tableColumn id="6" xr3:uid="{00000000-0010-0000-0200-000006000000}" name="202223" dataDxfId="110" dataCellStyle="Comma"/>
    <tableColumn id="7" xr3:uid="{00000000-0010-0000-0200-000007000000}" name="202324" dataDxfId="109" dataCellStyle="Comma"/>
    <tableColumn id="8" xr3:uid="{00000000-0010-0000-0200-000008000000}" name="202425" dataDxfId="108" dataCellStyle="Comma"/>
    <tableColumn id="9" xr3:uid="{00000000-0010-0000-0200-000009000000}" name="202526" dataDxfId="107" dataCellStyle="Comma"/>
    <tableColumn id="10" xr3:uid="{00000000-0010-0000-0200-00000A000000}" name="202627" dataDxfId="106" dataCellStyle="Comma"/>
    <tableColumn id="11" xr3:uid="{00000000-0010-0000-0200-00000B000000}" name="202728" dataDxfId="105" dataCellStyle="Comma"/>
    <tableColumn id="12" xr3:uid="{00000000-0010-0000-0200-00000C000000}" name="DispatchType" dataDxfId="104"/>
    <tableColumn id="13" xr3:uid="{00000000-0010-0000-0200-00000D000000}" name="FuelType" dataDxfId="103"/>
    <tableColumn id="14" xr3:uid="{00000000-0010-0000-0200-00000E000000}" name="Region" dataDxfId="102"/>
    <tableColumn id="15" xr3:uid="{00000000-0010-0000-0200-00000F000000}" name="Season" dataDxfId="10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Query1" displayName="Query1" ref="A85:O111" totalsRowShown="0" headerRowDxfId="100" headerRowBorderDxfId="99">
  <autoFilter ref="A85:O111" xr:uid="{F76E70E0-9ED7-4A69-9169-878C837B952A}"/>
  <tableColumns count="15">
    <tableColumn id="1" xr3:uid="{00000000-0010-0000-0300-000001000000}" name="PowerStation" dataDxfId="98"/>
    <tableColumn id="2" xr3:uid="{00000000-0010-0000-0300-000002000000}" name="201819" dataDxfId="97" dataCellStyle="Comma"/>
    <tableColumn id="3" xr3:uid="{00000000-0010-0000-0300-000003000000}" name="201920" dataDxfId="96" dataCellStyle="Comma"/>
    <tableColumn id="4" xr3:uid="{00000000-0010-0000-0300-000004000000}" name="202021" dataDxfId="95" dataCellStyle="Comma"/>
    <tableColumn id="5" xr3:uid="{00000000-0010-0000-0300-000005000000}" name="202122" dataDxfId="94" dataCellStyle="Comma"/>
    <tableColumn id="6" xr3:uid="{00000000-0010-0000-0300-000006000000}" name="202223" dataDxfId="93" dataCellStyle="Comma"/>
    <tableColumn id="7" xr3:uid="{00000000-0010-0000-0300-000007000000}" name="202324" dataDxfId="92" dataCellStyle="Comma"/>
    <tableColumn id="8" xr3:uid="{00000000-0010-0000-0300-000008000000}" name="202425" dataDxfId="91" dataCellStyle="Comma"/>
    <tableColumn id="9" xr3:uid="{00000000-0010-0000-0300-000009000000}" name="202526" dataDxfId="90" dataCellStyle="Comma"/>
    <tableColumn id="10" xr3:uid="{00000000-0010-0000-0300-00000A000000}" name="202627" dataDxfId="89" dataCellStyle="Comma"/>
    <tableColumn id="11" xr3:uid="{00000000-0010-0000-0300-00000B000000}" name="202728" dataDxfId="88" dataCellStyle="Comma"/>
    <tableColumn id="12" xr3:uid="{00000000-0010-0000-0300-00000C000000}" name="DispatchType" dataDxfId="87"/>
    <tableColumn id="13" xr3:uid="{00000000-0010-0000-0300-00000D000000}" name="FuelType" dataDxfId="86"/>
    <tableColumn id="14" xr3:uid="{00000000-0010-0000-0300-00000E000000}" name="Region" dataDxfId="85"/>
    <tableColumn id="15" xr3:uid="{00000000-0010-0000-0300-00000F000000}" name="Season" dataDxfId="8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wincapsalltable" displayName="wincapsalltable" ref="A2:O48" totalsRowShown="0" headerRowDxfId="83" dataDxfId="81" headerRowBorderDxfId="82" tableBorderDxfId="80">
  <tableColumns count="15">
    <tableColumn id="1" xr3:uid="{00000000-0010-0000-0400-000001000000}" name="PowerStation" dataDxfId="79"/>
    <tableColumn id="2" xr3:uid="{00000000-0010-0000-0400-000002000000}" name="2019" dataDxfId="78" dataCellStyle="Comma"/>
    <tableColumn id="3" xr3:uid="{00000000-0010-0000-0400-000003000000}" name="2020" dataDxfId="77" dataCellStyle="Comma"/>
    <tableColumn id="4" xr3:uid="{00000000-0010-0000-0400-000004000000}" name="2021" dataDxfId="76" dataCellStyle="Comma"/>
    <tableColumn id="5" xr3:uid="{00000000-0010-0000-0400-000005000000}" name="2022" dataDxfId="75" dataCellStyle="Comma"/>
    <tableColumn id="6" xr3:uid="{00000000-0010-0000-0400-000006000000}" name="2023" dataDxfId="74" dataCellStyle="Comma"/>
    <tableColumn id="7" xr3:uid="{00000000-0010-0000-0400-000007000000}" name="2024" dataDxfId="73" dataCellStyle="Comma"/>
    <tableColumn id="8" xr3:uid="{00000000-0010-0000-0400-000008000000}" name="2025" dataDxfId="72" dataCellStyle="Comma"/>
    <tableColumn id="9" xr3:uid="{00000000-0010-0000-0400-000009000000}" name="2026" dataDxfId="71" dataCellStyle="Comma"/>
    <tableColumn id="10" xr3:uid="{00000000-0010-0000-0400-00000A000000}" name="2027" dataDxfId="70" dataCellStyle="Comma"/>
    <tableColumn id="11" xr3:uid="{00000000-0010-0000-0400-00000B000000}" name="2028" dataDxfId="69" dataCellStyle="Comma"/>
    <tableColumn id="12" xr3:uid="{00000000-0010-0000-0400-00000C000000}" name="DispatchType" dataDxfId="68"/>
    <tableColumn id="13" xr3:uid="{00000000-0010-0000-0400-00000D000000}" name="FuelType" dataDxfId="67"/>
    <tableColumn id="14" xr3:uid="{00000000-0010-0000-0400-00000E000000}" name="Region" dataDxfId="66"/>
    <tableColumn id="15" xr3:uid="{00000000-0010-0000-0400-00000F000000}" name="Season" dataDxfId="6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wincapsStable" displayName="wincapsStable" ref="A58:O78" totalsRowShown="0" headerRowDxfId="64" headerRowBorderDxfId="63" tableBorderDxfId="62">
  <autoFilter ref="A58:O78" xr:uid="{3C1416DF-9337-403B-B2F6-F620D336F6C3}"/>
  <tableColumns count="15">
    <tableColumn id="1" xr3:uid="{00000000-0010-0000-0500-000001000000}" name="PowerStation" dataDxfId="61"/>
    <tableColumn id="2" xr3:uid="{00000000-0010-0000-0500-000002000000}" name="2019" dataDxfId="60" dataCellStyle="Comma"/>
    <tableColumn id="3" xr3:uid="{00000000-0010-0000-0500-000003000000}" name="2020" dataDxfId="59" dataCellStyle="Comma"/>
    <tableColumn id="4" xr3:uid="{00000000-0010-0000-0500-000004000000}" name="2021" dataDxfId="58" dataCellStyle="Comma"/>
    <tableColumn id="5" xr3:uid="{00000000-0010-0000-0500-000005000000}" name="2022" dataDxfId="57" dataCellStyle="Comma"/>
    <tableColumn id="6" xr3:uid="{00000000-0010-0000-0500-000006000000}" name="2023" dataDxfId="56" dataCellStyle="Comma"/>
    <tableColumn id="7" xr3:uid="{00000000-0010-0000-0500-000007000000}" name="2024" dataDxfId="55" dataCellStyle="Comma"/>
    <tableColumn id="8" xr3:uid="{00000000-0010-0000-0500-000008000000}" name="2025" dataDxfId="54" dataCellStyle="Comma"/>
    <tableColumn id="9" xr3:uid="{00000000-0010-0000-0500-000009000000}" name="2026" dataDxfId="53" dataCellStyle="Comma"/>
    <tableColumn id="10" xr3:uid="{00000000-0010-0000-0500-00000A000000}" name="2027" dataDxfId="52" dataCellStyle="Comma"/>
    <tableColumn id="11" xr3:uid="{00000000-0010-0000-0500-00000B000000}" name="2028" dataDxfId="51" dataCellStyle="Comma"/>
    <tableColumn id="12" xr3:uid="{00000000-0010-0000-0500-00000C000000}" name="DispatchType" dataDxfId="50"/>
    <tableColumn id="13" xr3:uid="{00000000-0010-0000-0500-00000D000000}" name="FuelType" dataDxfId="49"/>
    <tableColumn id="14" xr3:uid="{00000000-0010-0000-0500-00000E000000}" name="Region" dataDxfId="48"/>
    <tableColumn id="15" xr3:uid="{00000000-0010-0000-0500-00000F000000}" name="Season" dataDxfId="4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wincapsSStable" displayName="wincapsSStable" ref="A85:O111" totalsRowShown="0" headerRowDxfId="46" headerRowBorderDxfId="45" tableBorderDxfId="44">
  <autoFilter ref="A85:O111" xr:uid="{B093C1B4-1F57-4E4A-8240-6DF5BAFC3D88}"/>
  <tableColumns count="15">
    <tableColumn id="1" xr3:uid="{00000000-0010-0000-0600-000001000000}" name="PowerStation" dataDxfId="43"/>
    <tableColumn id="2" xr3:uid="{00000000-0010-0000-0600-000002000000}" name="2019" dataDxfId="42" dataCellStyle="Comma"/>
    <tableColumn id="3" xr3:uid="{00000000-0010-0000-0600-000003000000}" name="2020" dataDxfId="41" dataCellStyle="Comma"/>
    <tableColumn id="4" xr3:uid="{00000000-0010-0000-0600-000004000000}" name="2021" dataDxfId="40" dataCellStyle="Comma"/>
    <tableColumn id="5" xr3:uid="{00000000-0010-0000-0600-000005000000}" name="2022" dataDxfId="39" dataCellStyle="Comma"/>
    <tableColumn id="6" xr3:uid="{00000000-0010-0000-0600-000006000000}" name="2023" dataDxfId="38" dataCellStyle="Comma"/>
    <tableColumn id="7" xr3:uid="{00000000-0010-0000-0600-000007000000}" name="2024" dataDxfId="37" dataCellStyle="Comma"/>
    <tableColumn id="8" xr3:uid="{00000000-0010-0000-0600-000008000000}" name="2025" dataDxfId="36" dataCellStyle="Comma"/>
    <tableColumn id="9" xr3:uid="{00000000-0010-0000-0600-000009000000}" name="2026" dataDxfId="35" dataCellStyle="Comma"/>
    <tableColumn id="10" xr3:uid="{00000000-0010-0000-0600-00000A000000}" name="2027" dataDxfId="34" dataCellStyle="Comma"/>
    <tableColumn id="11" xr3:uid="{00000000-0010-0000-0600-00000B000000}" name="2028" dataDxfId="33" dataCellStyle="Comma"/>
    <tableColumn id="12" xr3:uid="{00000000-0010-0000-0600-00000C000000}" name="DispatchType" dataDxfId="32"/>
    <tableColumn id="13" xr3:uid="{00000000-0010-0000-0600-00000D000000}" name="FuelType" dataDxfId="31"/>
    <tableColumn id="14" xr3:uid="{00000000-0010-0000-0600-00000E000000}" name="Region" dataDxfId="30"/>
    <tableColumn id="15" xr3:uid="{00000000-0010-0000-0600-00000F000000}" name="Season" dataDxfId="2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existingnstable" displayName="existingnstable" ref="A2:I80" totalsRowShown="0" headerRowDxfId="28" headerRowBorderDxfId="27">
  <tableColumns count="9">
    <tableColumn id="1" xr3:uid="{00000000-0010-0000-0700-000001000000}" name="Power Station" dataDxfId="26"/>
    <tableColumn id="2" xr3:uid="{00000000-0010-0000-0700-000002000000}" name="Owner" dataDxfId="25"/>
    <tableColumn id="3" xr3:uid="{00000000-0010-0000-0700-000003000000}" name="Nameplate Capacity (MW)" dataDxfId="24" dataCellStyle="Comma"/>
    <tableColumn id="4" xr3:uid="{00000000-0010-0000-0700-000004000000}" name="Technology Type" dataDxfId="23"/>
    <tableColumn id="5" xr3:uid="{00000000-0010-0000-0700-000005000000}" name="Fuel Type" dataDxfId="22"/>
    <tableColumn id="6" xr3:uid="{BB52F3D4-E3A3-4585-A4CE-C6F2BE891FE2}" name="Service Status" dataDxfId="21"/>
    <tableColumn id="7" xr3:uid="{00000000-0010-0000-0700-000007000000}" name="Region" dataDxfId="20"/>
    <tableColumn id="8" xr3:uid="{00000000-0010-0000-0700-000008000000}" name="summary_bucket" dataDxfId="19"/>
    <tableColumn id="9" xr3:uid="{00000000-0010-0000-0700-000009000000}" name="summary_status" dataDxfId="18"/>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8000000}" name="newdevtable" displayName="newdevtable" ref="A2:O74" totalsRowShown="0" headerRowDxfId="17" headerRowBorderDxfId="16" tableBorderDxfId="15">
  <tableColumns count="15">
    <tableColumn id="1" xr3:uid="{00000000-0010-0000-0800-000001000000}" name="Project" dataDxfId="14"/>
    <tableColumn id="2" xr3:uid="{00000000-0010-0000-0800-000002000000}" name="Owner" dataDxfId="13"/>
    <tableColumn id="3" xr3:uid="{00000000-0010-0000-0800-000003000000}" name="Unit Id" dataDxfId="12"/>
    <tableColumn id="4" xr3:uid="{00000000-0010-0000-0800-000004000000}" name="Technology Type" dataDxfId="11"/>
    <tableColumn id="5" xr3:uid="{00000000-0010-0000-0800-000005000000}" name="Fuel Type" dataDxfId="10"/>
    <tableColumn id="6" xr3:uid="{00000000-0010-0000-0800-000006000000}" name="Unit Status" dataDxfId="9"/>
    <tableColumn id="7" xr3:uid="{00000000-0010-0000-0800-000007000000}" name="Nameplate Capacity (MW)" dataDxfId="8"/>
    <tableColumn id="8" xr3:uid="{00000000-0010-0000-0800-000008000000}" name="Dispatch Type" dataDxfId="7"/>
    <tableColumn id="9" xr3:uid="{00000000-0010-0000-0800-000009000000}" name="Full Commercial Use Date" dataDxfId="6"/>
    <tableColumn id="15" xr3:uid="{00000000-0010-0000-0800-00000F000000}" name="Source" dataDxfId="5"/>
    <tableColumn id="10" xr3:uid="{00000000-0010-0000-0800-00000A000000}" name="summary_status" dataDxfId="4"/>
    <tableColumn id="11" xr3:uid="{00000000-0010-0000-0800-00000B000000}" name="nameplatecapacity_mw_max" dataDxfId="3"/>
    <tableColumn id="12" xr3:uid="{00000000-0010-0000-0800-00000C000000}" name="capacity_empty" dataDxfId="2"/>
    <tableColumn id="13" xr3:uid="{00000000-0010-0000-0800-00000D000000}" name="region" dataDxfId="1"/>
    <tableColumn id="14" xr3:uid="{00000000-0010-0000-0800-00000E000000}" name="summary_bucket"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aemo.com.au/Electricity/National-Electricity-Market-NEM/Planning-and-forecasting/Generation-inform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1"/>
  <sheetViews>
    <sheetView showGridLines="0" tabSelected="1" workbookViewId="0"/>
  </sheetViews>
  <sheetFormatPr defaultRowHeight="15"/>
  <cols>
    <col min="1" max="1" width="4.7109375" customWidth="1"/>
    <col min="2" max="2" width="40.7109375" customWidth="1"/>
    <col min="11" max="11" width="9.140625" style="6"/>
  </cols>
  <sheetData>
    <row r="1" spans="1:11" ht="15.75" thickBot="1">
      <c r="A1" s="19" t="s">
        <v>16</v>
      </c>
    </row>
    <row r="2" spans="1:11" ht="16.5" thickTop="1" thickBot="1">
      <c r="B2" s="4" t="s">
        <v>190</v>
      </c>
      <c r="C2" s="3"/>
      <c r="D2" s="3"/>
      <c r="E2" s="3"/>
      <c r="F2" s="3"/>
      <c r="G2" s="3"/>
      <c r="H2" s="3"/>
      <c r="I2" s="3"/>
      <c r="J2" s="5"/>
      <c r="K2" s="7"/>
    </row>
    <row r="3" spans="1:11">
      <c r="B3" s="5" t="s">
        <v>191</v>
      </c>
      <c r="J3" s="5"/>
      <c r="K3" s="7"/>
    </row>
    <row r="4" spans="1:11">
      <c r="B4" s="20" t="s">
        <v>366</v>
      </c>
      <c r="C4" s="21"/>
      <c r="D4" s="21"/>
      <c r="E4" s="21"/>
      <c r="F4" s="21"/>
      <c r="G4" s="21"/>
      <c r="H4" s="21"/>
      <c r="I4" s="21"/>
      <c r="J4" s="20"/>
      <c r="K4" s="21"/>
    </row>
    <row r="5" spans="1:11" ht="15.75" thickBot="1">
      <c r="B5" s="184" t="s">
        <v>367</v>
      </c>
      <c r="C5" s="185"/>
      <c r="D5" s="185"/>
      <c r="E5" s="185"/>
      <c r="F5" s="185"/>
      <c r="G5" s="185"/>
      <c r="H5" s="185"/>
      <c r="I5" s="186"/>
      <c r="J5" s="20"/>
      <c r="K5" s="21"/>
    </row>
    <row r="6" spans="1:11" ht="15.75" thickTop="1">
      <c r="B6" s="22"/>
      <c r="C6" s="22"/>
      <c r="D6" s="22"/>
      <c r="E6" s="22"/>
      <c r="F6" s="22"/>
      <c r="G6" s="22"/>
      <c r="H6" s="22"/>
      <c r="I6" s="22"/>
      <c r="J6" s="23"/>
      <c r="K6" s="21"/>
    </row>
    <row r="7" spans="1:11">
      <c r="B7" s="24" t="s">
        <v>715</v>
      </c>
      <c r="C7" s="23"/>
      <c r="D7" s="23"/>
      <c r="E7" s="23"/>
      <c r="F7" s="23"/>
      <c r="G7" s="23"/>
      <c r="H7" s="23"/>
      <c r="I7" s="23"/>
      <c r="J7" s="21"/>
      <c r="K7" s="21"/>
    </row>
    <row r="8" spans="1:11" s="10" customFormat="1" ht="15.75" thickBot="1">
      <c r="B8" s="23"/>
      <c r="C8" s="23"/>
      <c r="D8" s="23"/>
      <c r="E8" s="23"/>
      <c r="F8" s="23"/>
      <c r="G8" s="23"/>
      <c r="H8" s="23"/>
      <c r="I8" s="23"/>
      <c r="J8" s="21"/>
      <c r="K8" s="21"/>
    </row>
    <row r="9" spans="1:11" s="10" customFormat="1" ht="20.25" thickBot="1">
      <c r="B9" s="25" t="s">
        <v>368</v>
      </c>
      <c r="C9" s="21"/>
      <c r="D9" s="21"/>
      <c r="E9" s="21"/>
      <c r="F9" s="21"/>
      <c r="G9" s="21"/>
      <c r="H9" s="21"/>
      <c r="I9" s="21"/>
      <c r="J9" s="21"/>
      <c r="K9" s="21"/>
    </row>
    <row r="10" spans="1:11" s="10" customFormat="1">
      <c r="B10" s="21"/>
      <c r="C10" s="21"/>
      <c r="D10" s="21"/>
      <c r="E10" s="21"/>
      <c r="F10" s="21"/>
      <c r="G10" s="21"/>
      <c r="H10" s="21"/>
      <c r="I10" s="21"/>
      <c r="J10" s="21"/>
      <c r="K10" s="21"/>
    </row>
    <row r="11" spans="1:11" s="10" customFormat="1">
      <c r="B11" s="26" t="s">
        <v>369</v>
      </c>
      <c r="C11" s="21"/>
      <c r="D11" s="21"/>
      <c r="E11" s="21"/>
      <c r="F11" s="21"/>
      <c r="G11" s="21"/>
      <c r="H11" s="21"/>
      <c r="I11" s="21"/>
      <c r="J11" s="21"/>
      <c r="K11" s="21"/>
    </row>
    <row r="12" spans="1:11" s="160" customFormat="1">
      <c r="C12" s="161"/>
      <c r="D12" s="161"/>
      <c r="E12" s="161"/>
      <c r="F12" s="161"/>
      <c r="G12" s="161"/>
      <c r="H12" s="161"/>
      <c r="I12" s="161"/>
      <c r="J12" s="161"/>
      <c r="K12" s="161"/>
    </row>
    <row r="13" spans="1:11" s="160" customFormat="1">
      <c r="B13" s="159" t="s">
        <v>682</v>
      </c>
      <c r="C13" s="161"/>
      <c r="D13" s="161"/>
      <c r="E13" s="161"/>
      <c r="F13" s="161"/>
      <c r="G13" s="161"/>
      <c r="H13" s="161"/>
      <c r="I13" s="161"/>
      <c r="J13" s="161"/>
      <c r="K13" s="161"/>
    </row>
    <row r="14" spans="1:11" s="166" customFormat="1">
      <c r="B14" s="159" t="s">
        <v>695</v>
      </c>
      <c r="C14" s="167"/>
      <c r="D14" s="167"/>
      <c r="E14" s="167"/>
      <c r="F14" s="167"/>
      <c r="G14" s="167"/>
      <c r="H14" s="167"/>
      <c r="I14" s="167"/>
      <c r="J14" s="167"/>
      <c r="K14" s="167"/>
    </row>
    <row r="15" spans="1:11" s="169" customFormat="1">
      <c r="B15" s="159" t="s">
        <v>703</v>
      </c>
      <c r="C15" s="170"/>
      <c r="D15" s="170"/>
      <c r="E15" s="170"/>
      <c r="F15" s="170"/>
      <c r="G15" s="170"/>
      <c r="H15" s="170"/>
      <c r="I15" s="170"/>
      <c r="J15" s="170"/>
      <c r="K15" s="170"/>
    </row>
    <row r="16" spans="1:11" s="174" customFormat="1" ht="21.6" customHeight="1">
      <c r="B16" s="180" t="s">
        <v>714</v>
      </c>
      <c r="C16" s="41"/>
      <c r="D16" s="41"/>
      <c r="E16" s="41"/>
      <c r="F16" s="41"/>
      <c r="G16" s="41"/>
      <c r="H16" s="41"/>
      <c r="I16" s="41"/>
      <c r="J16" s="41"/>
      <c r="K16" s="41"/>
    </row>
    <row r="17" spans="2:11" s="174" customFormat="1" ht="21.6" customHeight="1">
      <c r="B17" s="192" t="s">
        <v>712</v>
      </c>
      <c r="C17" s="188"/>
      <c r="D17" s="188"/>
      <c r="E17" s="188"/>
      <c r="F17" s="188"/>
      <c r="G17" s="188"/>
      <c r="H17" s="188"/>
      <c r="I17" s="188"/>
      <c r="J17" s="188"/>
      <c r="K17" s="188"/>
    </row>
    <row r="18" spans="2:11" s="181" customFormat="1" ht="29.25" customHeight="1">
      <c r="B18" s="180" t="s">
        <v>721</v>
      </c>
      <c r="C18" s="180"/>
      <c r="D18" s="180"/>
      <c r="E18" s="180"/>
      <c r="F18" s="180"/>
      <c r="G18" s="180"/>
      <c r="H18" s="180"/>
      <c r="I18" s="180"/>
      <c r="J18" s="180"/>
      <c r="K18" s="180"/>
    </row>
    <row r="19" spans="2:11" s="160" customFormat="1">
      <c r="B19" s="162"/>
      <c r="C19" s="161"/>
      <c r="D19" s="161"/>
      <c r="E19" s="161"/>
      <c r="F19" s="161"/>
      <c r="G19" s="161"/>
      <c r="H19" s="161"/>
      <c r="I19" s="161"/>
      <c r="J19" s="161"/>
      <c r="K19" s="161"/>
    </row>
    <row r="20" spans="2:11" s="10" customFormat="1">
      <c r="B20" s="187" t="s">
        <v>373</v>
      </c>
      <c r="C20" s="187"/>
      <c r="D20" s="187"/>
      <c r="E20" s="187"/>
      <c r="F20" s="187"/>
      <c r="G20" s="21"/>
      <c r="H20" s="21"/>
      <c r="I20" s="21"/>
      <c r="J20" s="21"/>
      <c r="K20" s="21"/>
    </row>
    <row r="21" spans="2:11" s="10" customFormat="1">
      <c r="B21" s="27" t="s">
        <v>201</v>
      </c>
      <c r="C21" s="21"/>
      <c r="D21" s="21"/>
      <c r="E21" s="21"/>
      <c r="F21" s="21"/>
      <c r="G21" s="21"/>
      <c r="H21" s="21"/>
      <c r="I21" s="21"/>
      <c r="J21" s="21"/>
      <c r="K21" s="21"/>
    </row>
    <row r="22" spans="2:11" s="10" customFormat="1">
      <c r="B22" s="188" t="s">
        <v>560</v>
      </c>
      <c r="C22" s="188"/>
      <c r="D22" s="188"/>
      <c r="E22" s="188"/>
      <c r="F22" s="188"/>
      <c r="G22" s="188"/>
      <c r="H22" s="188"/>
      <c r="I22" s="188"/>
      <c r="J22" s="21"/>
      <c r="K22" s="21"/>
    </row>
    <row r="23" spans="2:11" s="86" customFormat="1">
      <c r="B23" s="85"/>
      <c r="C23" s="85"/>
      <c r="D23" s="85"/>
      <c r="E23" s="85"/>
      <c r="F23" s="85"/>
      <c r="G23" s="85"/>
      <c r="H23" s="85"/>
      <c r="I23" s="85"/>
      <c r="J23" s="87"/>
      <c r="K23" s="87"/>
    </row>
    <row r="24" spans="2:11" s="10" customFormat="1">
      <c r="B24" s="27" t="s">
        <v>375</v>
      </c>
      <c r="C24" s="21"/>
      <c r="D24" s="21"/>
      <c r="E24" s="21"/>
      <c r="F24" s="21"/>
      <c r="G24" s="21"/>
      <c r="H24" s="21"/>
      <c r="I24" s="21"/>
      <c r="J24" s="21"/>
      <c r="K24" s="21"/>
    </row>
    <row r="25" spans="2:11" s="10" customFormat="1">
      <c r="B25" s="188" t="s">
        <v>376</v>
      </c>
      <c r="C25" s="188"/>
      <c r="D25" s="188"/>
      <c r="E25" s="188"/>
      <c r="F25" s="188"/>
      <c r="G25" s="188"/>
      <c r="H25" s="188"/>
      <c r="I25" s="188"/>
      <c r="J25" s="30"/>
      <c r="K25" s="30"/>
    </row>
    <row r="26" spans="2:11" s="10" customFormat="1">
      <c r="B26" s="29"/>
      <c r="C26" s="21"/>
      <c r="D26" s="21"/>
      <c r="E26" s="21"/>
      <c r="F26" s="21"/>
      <c r="G26" s="21"/>
      <c r="H26" s="21"/>
      <c r="I26" s="21"/>
      <c r="J26" s="21"/>
      <c r="K26" s="21"/>
    </row>
    <row r="27" spans="2:11" s="10" customFormat="1">
      <c r="B27" s="29" t="s">
        <v>377</v>
      </c>
      <c r="C27" s="21"/>
      <c r="D27" s="21"/>
      <c r="E27" s="21"/>
      <c r="F27" s="21"/>
      <c r="G27" s="21"/>
      <c r="H27" s="21"/>
      <c r="I27" s="21"/>
      <c r="J27" s="21"/>
      <c r="K27" s="21"/>
    </row>
    <row r="28" spans="2:11" s="10" customFormat="1">
      <c r="B28" s="189" t="s">
        <v>378</v>
      </c>
      <c r="C28" s="189"/>
      <c r="D28" s="189"/>
      <c r="E28" s="189"/>
      <c r="F28" s="189"/>
      <c r="G28" s="189"/>
      <c r="H28" s="189"/>
      <c r="I28" s="189"/>
      <c r="J28" s="189"/>
      <c r="K28" s="189"/>
    </row>
    <row r="29" spans="2:11" s="10" customFormat="1" ht="39" customHeight="1">
      <c r="B29" s="190" t="s">
        <v>704</v>
      </c>
      <c r="C29" s="190"/>
      <c r="D29" s="190"/>
      <c r="E29" s="190"/>
      <c r="F29" s="190"/>
      <c r="G29" s="190"/>
      <c r="H29" s="190"/>
      <c r="I29" s="190"/>
      <c r="J29" s="31"/>
      <c r="K29" s="31"/>
    </row>
    <row r="30" spans="2:11" s="10" customFormat="1" ht="42" customHeight="1">
      <c r="B30" s="191" t="s">
        <v>722</v>
      </c>
      <c r="C30" s="191"/>
      <c r="D30" s="191"/>
      <c r="E30" s="191"/>
      <c r="F30" s="191"/>
      <c r="G30" s="191"/>
      <c r="H30" s="191"/>
      <c r="I30" s="191"/>
      <c r="J30" s="32"/>
      <c r="K30" s="32"/>
    </row>
    <row r="31" spans="2:11" s="10" customFormat="1" ht="24" customHeight="1">
      <c r="B31" s="191" t="s">
        <v>673</v>
      </c>
      <c r="C31" s="191"/>
      <c r="D31" s="191"/>
      <c r="E31" s="191"/>
      <c r="F31" s="191"/>
      <c r="G31" s="191"/>
      <c r="H31" s="191"/>
      <c r="I31" s="191"/>
      <c r="J31" s="33"/>
      <c r="K31" s="33"/>
    </row>
    <row r="32" spans="2:11" s="10" customFormat="1">
      <c r="B32" s="33"/>
      <c r="C32" s="33"/>
      <c r="D32" s="33"/>
      <c r="E32" s="33"/>
      <c r="F32" s="33"/>
      <c r="G32" s="33"/>
      <c r="H32" s="33"/>
      <c r="I32" s="33"/>
      <c r="J32" s="33"/>
      <c r="K32" s="33"/>
    </row>
    <row r="33" spans="2:11" s="10" customFormat="1">
      <c r="B33" s="29" t="s">
        <v>379</v>
      </c>
      <c r="C33" s="21"/>
      <c r="D33" s="21"/>
      <c r="E33" s="21"/>
      <c r="F33" s="21"/>
      <c r="G33" s="21"/>
      <c r="H33" s="21"/>
      <c r="I33" s="21"/>
      <c r="J33" s="21"/>
      <c r="K33" s="21"/>
    </row>
    <row r="34" spans="2:11" s="10" customFormat="1">
      <c r="B34" s="34" t="s">
        <v>380</v>
      </c>
      <c r="C34" s="21"/>
      <c r="D34" s="21"/>
      <c r="E34" s="21"/>
      <c r="F34" s="21"/>
      <c r="G34" s="21"/>
      <c r="H34" s="21"/>
      <c r="I34" s="21"/>
      <c r="J34" s="21"/>
      <c r="K34" s="21"/>
    </row>
    <row r="35" spans="2:11" s="10" customFormat="1">
      <c r="B35" s="29"/>
      <c r="C35" s="21"/>
      <c r="D35" s="21"/>
      <c r="E35" s="21"/>
      <c r="F35" s="21"/>
      <c r="G35" s="21"/>
      <c r="H35" s="21"/>
      <c r="I35" s="21"/>
      <c r="J35" s="21"/>
      <c r="K35" s="21"/>
    </row>
    <row r="36" spans="2:11" s="10" customFormat="1">
      <c r="B36" s="26" t="s">
        <v>381</v>
      </c>
      <c r="C36" s="21"/>
      <c r="D36" s="21"/>
      <c r="E36" s="21"/>
      <c r="F36" s="21"/>
      <c r="G36" s="21"/>
      <c r="H36" s="21"/>
      <c r="I36" s="21"/>
      <c r="J36" s="21"/>
      <c r="K36" s="21"/>
    </row>
    <row r="37" spans="2:11" s="10" customFormat="1">
      <c r="B37" s="34" t="s">
        <v>382</v>
      </c>
      <c r="C37" s="33"/>
      <c r="D37" s="33"/>
      <c r="E37" s="33"/>
      <c r="F37" s="33"/>
      <c r="G37" s="33"/>
      <c r="H37" s="33"/>
      <c r="I37" s="33"/>
      <c r="J37" s="33"/>
      <c r="K37" s="35"/>
    </row>
    <row r="38" spans="2:11" s="10" customFormat="1">
      <c r="B38" s="21"/>
      <c r="C38" s="21"/>
      <c r="D38" s="21"/>
      <c r="E38" s="21"/>
      <c r="F38" s="21"/>
      <c r="G38" s="21"/>
      <c r="H38" s="21"/>
      <c r="I38" s="21"/>
      <c r="J38" s="21"/>
      <c r="K38" s="21"/>
    </row>
    <row r="39" spans="2:11" s="10" customFormat="1">
      <c r="B39" s="26" t="s">
        <v>383</v>
      </c>
      <c r="C39" s="21"/>
      <c r="D39" s="21"/>
      <c r="E39" s="21"/>
      <c r="F39" s="21"/>
      <c r="G39" s="21"/>
      <c r="H39" s="21"/>
      <c r="I39" s="21"/>
      <c r="J39" s="21"/>
      <c r="K39" s="21"/>
    </row>
    <row r="62" spans="2:13" ht="23.25" thickBot="1">
      <c r="B62" s="1" t="s">
        <v>192</v>
      </c>
      <c r="C62" s="1" t="s">
        <v>193</v>
      </c>
      <c r="D62" s="1" t="s">
        <v>35</v>
      </c>
      <c r="E62" s="1" t="s">
        <v>20</v>
      </c>
      <c r="F62" s="1" t="s">
        <v>194</v>
      </c>
      <c r="G62" s="1" t="s">
        <v>595</v>
      </c>
      <c r="H62" s="1" t="s">
        <v>14</v>
      </c>
      <c r="I62" s="1" t="s">
        <v>24</v>
      </c>
      <c r="J62" s="1" t="s">
        <v>195</v>
      </c>
      <c r="K62" s="1" t="s">
        <v>555</v>
      </c>
      <c r="L62" s="1" t="s">
        <v>196</v>
      </c>
      <c r="M62" s="1" t="s">
        <v>86</v>
      </c>
    </row>
    <row r="63" spans="2:13" ht="15.75" thickBot="1">
      <c r="B63" s="2" t="s">
        <v>197</v>
      </c>
      <c r="C63" s="36">
        <f>C64+C65</f>
        <v>4660</v>
      </c>
      <c r="D63" s="37">
        <f t="shared" ref="D63:L63" si="0">D64+D65</f>
        <v>21</v>
      </c>
      <c r="E63" s="36">
        <f t="shared" si="0"/>
        <v>1916.8</v>
      </c>
      <c r="F63" s="37">
        <f t="shared" si="0"/>
        <v>522.61199999999997</v>
      </c>
      <c r="G63" s="36">
        <f t="shared" si="0"/>
        <v>76.311499999999995</v>
      </c>
      <c r="H63" s="37">
        <f t="shared" si="0"/>
        <v>1612.9</v>
      </c>
      <c r="I63" s="36">
        <f t="shared" si="0"/>
        <v>2286.2370000000001</v>
      </c>
      <c r="J63" s="37">
        <f t="shared" si="0"/>
        <v>57.604000000000013</v>
      </c>
      <c r="K63" s="36">
        <f t="shared" si="0"/>
        <v>25</v>
      </c>
      <c r="L63" s="37">
        <f t="shared" si="0"/>
        <v>0</v>
      </c>
      <c r="M63" s="36">
        <f t="shared" ref="M63:M69" si="1">SUM(C63:L63)</f>
        <v>11178.464499999998</v>
      </c>
    </row>
    <row r="64" spans="2:13" ht="15.75" thickBot="1">
      <c r="B64" s="2" t="s">
        <v>53</v>
      </c>
      <c r="C64" s="36">
        <f>SUMIFS(existingstable[Nameplate Capacity (MW)],existingstable[summary_status],'Victoria Summary'!$B64,existingstable[summary_bucket],'Victoria Summary'!C$62) + SUMIFS(existingnstable[Nameplate Capacity (MW)],existingnstable[summary_status],'Victoria Summary'!$B64,existingnstable[summary_bucket],'Victoria Summary'!C$62)</f>
        <v>0</v>
      </c>
      <c r="D64" s="37">
        <f>SUMIFS(existingstable[Nameplate Capacity (MW)],existingstable[summary_status],'Victoria Summary'!$B64,existingstable[summary_bucket],'Victoria Summary'!D$62) + SUMIFS(existingnstable[Nameplate Capacity (MW)],existingnstable[summary_status],'Victoria Summary'!$B64,existingnstable[summary_bucket],'Victoria Summary'!D$62)</f>
        <v>0</v>
      </c>
      <c r="E64" s="36">
        <f>SUMIFS(existingstable[Nameplate Capacity (MW)],existingstable[summary_status],'Victoria Summary'!$B64,existingstable[summary_bucket],'Victoria Summary'!E$62) + SUMIFS(existingnstable[Nameplate Capacity (MW)],existingnstable[summary_status],'Victoria Summary'!$B64,existingnstable[summary_bucket],'Victoria Summary'!E$62)</f>
        <v>0</v>
      </c>
      <c r="F64" s="37">
        <f>SUMIFS(existingstable[Nameplate Capacity (MW)],existingstable[summary_status],'Victoria Summary'!$B64,existingstable[summary_bucket],'Victoria Summary'!F$62) + SUMIFS(existingnstable[Nameplate Capacity (MW)],existingnstable[summary_status],'Victoria Summary'!$B64,existingnstable[summary_bucket],'Victoria Summary'!F$62)</f>
        <v>0</v>
      </c>
      <c r="G64" s="36">
        <f>SUMIFS(existingstable[Nameplate Capacity (MW)],existingstable[summary_status],'Victoria Summary'!$B64,existingstable[summary_bucket],'Victoria Summary'!G$62) + SUMIFS(existingnstable[Nameplate Capacity (MW)],existingnstable[summary_status],'Victoria Summary'!$B64,existingnstable[summary_bucket],'Victoria Summary'!G$62)</f>
        <v>0</v>
      </c>
      <c r="H64" s="37">
        <f>SUMIFS(existingstable[Nameplate Capacity (MW)],existingstable[summary_status],'Victoria Summary'!$B64,existingstable[summary_bucket],'Victoria Summary'!H$62) + SUMIFS(existingnstable[Nameplate Capacity (MW)],existingnstable[summary_status],'Victoria Summary'!$B64,existingnstable[summary_bucket],'Victoria Summary'!H$62)</f>
        <v>0</v>
      </c>
      <c r="I64" s="36">
        <f>SUMIFS(existingstable[Nameplate Capacity (MW)],existingstable[summary_status],'Victoria Summary'!$B64,existingstable[summary_bucket],'Victoria Summary'!I$62) + SUMIFS(existingnstable[Nameplate Capacity (MW)],existingnstable[summary_status],'Victoria Summary'!$B64,existingnstable[summary_bucket],'Victoria Summary'!I$62)</f>
        <v>0</v>
      </c>
      <c r="J64" s="37">
        <f>SUMIFS(existingstable[Nameplate Capacity (MW)],existingstable[summary_status],'Victoria Summary'!$B64,existingstable[summary_bucket],'Victoria Summary'!J$62) + SUMIFS(existingnstable[Nameplate Capacity (MW)],existingnstable[summary_status],'Victoria Summary'!$B64,existingnstable[summary_bucket],'Victoria Summary'!J$62)</f>
        <v>0</v>
      </c>
      <c r="K64" s="36">
        <f>SUMIFS(existingstable[Nameplate Capacity (MW)],existingstable[summary_status],'Victoria Summary'!$B64,existingstable[summary_bucket],'Victoria Summary'!K$62) + SUMIFS(existingnstable[Nameplate Capacity (MW)],existingnstable[summary_status],'Victoria Summary'!$B64,existingnstable[summary_bucket],'Victoria Summary'!K$62)</f>
        <v>0</v>
      </c>
      <c r="L64" s="37">
        <f>SUMIFS(existingstable[Nameplate Capacity (MW)],existingstable[summary_status],'Victoria Summary'!$B64,existingstable[summary_bucket],'Victoria Summary'!L$62) + SUMIFS(existingnstable[Nameplate Capacity (MW)],existingnstable[summary_status],'Victoria Summary'!$B64,existingnstable[summary_bucket],'Victoria Summary'!L$62)</f>
        <v>0</v>
      </c>
      <c r="M64" s="36">
        <f t="shared" si="1"/>
        <v>0</v>
      </c>
    </row>
    <row r="65" spans="2:13" ht="15.75" thickBot="1">
      <c r="B65" s="2" t="s">
        <v>198</v>
      </c>
      <c r="C65" s="36">
        <f>SUMIFS(existingstable[Nameplate Capacity (MW)],existingstable[summary_status],'Victoria Summary'!$B65,existingstable[summary_bucket],'Victoria Summary'!C$62) + SUMIFS(existingnstable[Nameplate Capacity (MW)],existingnstable[summary_status],'Victoria Summary'!$B65,existingnstable[summary_bucket],'Victoria Summary'!C$62)</f>
        <v>4660</v>
      </c>
      <c r="D65" s="37">
        <f>SUMIFS(existingstable[Nameplate Capacity (MW)],existingstable[summary_status],'Victoria Summary'!$B65,existingstable[summary_bucket],'Victoria Summary'!D$62) + SUMIFS(existingnstable[Nameplate Capacity (MW)],existingnstable[summary_status],'Victoria Summary'!$B65,existingnstable[summary_bucket],'Victoria Summary'!D$62)</f>
        <v>21</v>
      </c>
      <c r="E65" s="36">
        <f>SUMIFS(existingstable[Nameplate Capacity (MW)],existingstable[summary_status],'Victoria Summary'!$B65,existingstable[summary_bucket],'Victoria Summary'!E$62) + SUMIFS(existingnstable[Nameplate Capacity (MW)],existingnstable[summary_status],'Victoria Summary'!$B65,existingnstable[summary_bucket],'Victoria Summary'!E$62)</f>
        <v>1916.8</v>
      </c>
      <c r="F65" s="37">
        <f>SUMIFS(existingstable[Nameplate Capacity (MW)],existingstable[summary_status],'Victoria Summary'!$B65,existingstable[summary_bucket],'Victoria Summary'!F$62) + SUMIFS(existingnstable[Nameplate Capacity (MW)],existingnstable[summary_status],'Victoria Summary'!$B65,existingnstable[summary_bucket],'Victoria Summary'!F$62)</f>
        <v>522.61199999999997</v>
      </c>
      <c r="G65" s="36">
        <f>SUMIFS(existingstable[Nameplate Capacity (MW)],existingstable[summary_status],'Victoria Summary'!$B65,existingstable[summary_bucket],'Victoria Summary'!G$62) + SUMIFS(existingnstable[Nameplate Capacity (MW)],existingnstable[summary_status],'Victoria Summary'!$B65,existingnstable[summary_bucket],'Victoria Summary'!G$62)</f>
        <v>76.311499999999995</v>
      </c>
      <c r="H65" s="37">
        <f>SUMIFS(existingstable[Nameplate Capacity (MW)],existingstable[summary_status],'Victoria Summary'!$B65,existingstable[summary_bucket],'Victoria Summary'!H$62) + SUMIFS(existingnstable[Nameplate Capacity (MW)],existingnstable[summary_status],'Victoria Summary'!$B65,existingnstable[summary_bucket],'Victoria Summary'!H$62)</f>
        <v>1612.9</v>
      </c>
      <c r="I65" s="36">
        <f>SUMIFS(existingstable[Nameplate Capacity (MW)],existingstable[summary_status],'Victoria Summary'!$B65,existingstable[summary_bucket],'Victoria Summary'!I$62) + SUMIFS(existingnstable[Nameplate Capacity (MW)],existingnstable[summary_status],'Victoria Summary'!$B65,existingnstable[summary_bucket],'Victoria Summary'!I$62)</f>
        <v>2286.2370000000001</v>
      </c>
      <c r="J65" s="37">
        <f>SUMIFS(existingstable[Nameplate Capacity (MW)],existingstable[summary_status],'Victoria Summary'!$B65,existingstable[summary_bucket],'Victoria Summary'!J$62) + SUMIFS(existingnstable[Nameplate Capacity (MW)],existingnstable[summary_status],'Victoria Summary'!$B65,existingnstable[summary_bucket],'Victoria Summary'!J$62)</f>
        <v>57.604000000000013</v>
      </c>
      <c r="K65" s="36">
        <f>SUMIFS(existingstable[Nameplate Capacity (MW)],existingstable[summary_status],'Victoria Summary'!$B65,existingstable[summary_bucket],'Victoria Summary'!K$62) + SUMIFS(existingnstable[Nameplate Capacity (MW)],existingnstable[summary_status],'Victoria Summary'!$B65,existingnstable[summary_bucket],'Victoria Summary'!K$62)</f>
        <v>25</v>
      </c>
      <c r="L65" s="37">
        <f>SUMIFS(existingstable[Nameplate Capacity (MW)],existingstable[summary_status],'Victoria Summary'!$B65,existingstable[summary_bucket],'Victoria Summary'!L$62) + SUMIFS(existingnstable[Nameplate Capacity (MW)],existingnstable[summary_status],'Victoria Summary'!$B65,existingnstable[summary_bucket],'Victoria Summary'!L$62)</f>
        <v>0</v>
      </c>
      <c r="M65" s="36">
        <f t="shared" si="1"/>
        <v>11178.464499999998</v>
      </c>
    </row>
    <row r="66" spans="2:13" s="99" customFormat="1" ht="15.75" thickBot="1">
      <c r="B66" s="2" t="s">
        <v>566</v>
      </c>
      <c r="C66" s="36">
        <f>SUMIFS(newdevtable[nameplatecapacity_mw_max],newdevtable[summary_status],'Victoria Summary'!$B66,newdevtable[summary_bucket],'Victoria Summary'!C$62)</f>
        <v>80</v>
      </c>
      <c r="D66" s="37">
        <f>SUMIFS(newdevtable[nameplatecapacity_mw_max],newdevtable[summary_status],'Victoria Summary'!$B66,newdevtable[summary_bucket],'Victoria Summary'!D$62)</f>
        <v>0</v>
      </c>
      <c r="E66" s="36">
        <f>SUMIFS(newdevtable[nameplatecapacity_mw_max],newdevtable[summary_status],'Victoria Summary'!$B66,newdevtable[summary_bucket],'Victoria Summary'!E$62)</f>
        <v>0</v>
      </c>
      <c r="F66" s="37">
        <f>SUMIFS(newdevtable[nameplatecapacity_mw_max],newdevtable[summary_status],'Victoria Summary'!$B66,newdevtable[summary_bucket],'Victoria Summary'!F$62)</f>
        <v>0</v>
      </c>
      <c r="G66" s="36">
        <f>SUMIFS(newdevtable[nameplatecapacity_mw_max],newdevtable[summary_status],'Victoria Summary'!$B66,newdevtable[summary_bucket],'Victoria Summary'!G$62)</f>
        <v>0</v>
      </c>
      <c r="H66" s="37">
        <f>SUMIFS(newdevtable[nameplatecapacity_mw_max],newdevtable[summary_status],'Victoria Summary'!$B66,newdevtable[summary_bucket],'Victoria Summary'!H$62)</f>
        <v>0</v>
      </c>
      <c r="I66" s="36">
        <f>SUMIFS(newdevtable[nameplatecapacity_mw_max],newdevtable[summary_status],'Victoria Summary'!$B66,newdevtable[summary_bucket],'Victoria Summary'!I$62)</f>
        <v>0</v>
      </c>
      <c r="J66" s="37">
        <f>SUMIFS(newdevtable[nameplatecapacity_mw_max],newdevtable[summary_status],'Victoria Summary'!$B66,newdevtable[summary_bucket],'Victoria Summary'!J$62)</f>
        <v>0</v>
      </c>
      <c r="K66" s="36">
        <f>SUMIFS(newdevtable[nameplatecapacity_mw_max],newdevtable[summary_status],'Victoria Summary'!$B66,newdevtable[summary_bucket],'Victoria Summary'!K$62)</f>
        <v>0</v>
      </c>
      <c r="L66" s="37">
        <f>SUMIFS(newdevtable[nameplatecapacity_mw_max],newdevtable[summary_status],'Victoria Summary'!$B66,newdevtable[summary_bucket],'Victoria Summary'!L$62)</f>
        <v>0</v>
      </c>
      <c r="M66" s="36">
        <f>SUM(C66:L66)</f>
        <v>80</v>
      </c>
    </row>
    <row r="67" spans="2:13" ht="15.75" thickBot="1">
      <c r="B67" s="2" t="s">
        <v>199</v>
      </c>
      <c r="C67" s="36">
        <f>SUMIFS(newdevtable[nameplatecapacity_mw_max],newdevtable[summary_status],'Victoria Summary'!$B67,newdevtable[summary_bucket],'Victoria Summary'!C$62)</f>
        <v>0</v>
      </c>
      <c r="D67" s="37">
        <f>SUMIFS(newdevtable[nameplatecapacity_mw_max],newdevtable[summary_status],'Victoria Summary'!$B67,newdevtable[summary_bucket],'Victoria Summary'!D$62)</f>
        <v>0</v>
      </c>
      <c r="E67" s="36">
        <f>SUMIFS(newdevtable[nameplatecapacity_mw_max],newdevtable[summary_status],'Victoria Summary'!$B67,newdevtable[summary_bucket],'Victoria Summary'!E$62)</f>
        <v>0</v>
      </c>
      <c r="F67" s="37">
        <f>SUMIFS(newdevtable[nameplatecapacity_mw_max],newdevtable[summary_status],'Victoria Summary'!$B67,newdevtable[summary_bucket],'Victoria Summary'!F$62)</f>
        <v>0</v>
      </c>
      <c r="G67" s="36">
        <f>SUMIFS(newdevtable[nameplatecapacity_mw_max],newdevtable[summary_status],'Victoria Summary'!$B67,newdevtable[summary_bucket],'Victoria Summary'!G$62)</f>
        <v>674.02</v>
      </c>
      <c r="H67" s="37">
        <f>SUMIFS(newdevtable[nameplatecapacity_mw_max],newdevtable[summary_status],'Victoria Summary'!$B67,newdevtable[summary_bucket],'Victoria Summary'!H$62)</f>
        <v>2105.25</v>
      </c>
      <c r="I67" s="36">
        <f>SUMIFS(newdevtable[nameplatecapacity_mw_max],newdevtable[summary_status],'Victoria Summary'!$B67,newdevtable[summary_bucket],'Victoria Summary'!I$62)</f>
        <v>0</v>
      </c>
      <c r="J67" s="37">
        <f>SUMIFS(newdevtable[nameplatecapacity_mw_max],newdevtable[summary_status],'Victoria Summary'!$B67,newdevtable[summary_bucket],'Victoria Summary'!J$62)</f>
        <v>0</v>
      </c>
      <c r="K67" s="36">
        <f>SUMIFS(newdevtable[nameplatecapacity_mw_max],newdevtable[summary_status],'Victoria Summary'!$B67,newdevtable[summary_bucket],'Victoria Summary'!K$62)</f>
        <v>50</v>
      </c>
      <c r="L67" s="37">
        <f>SUMIFS(newdevtable[nameplatecapacity_mw_max],newdevtable[summary_status],'Victoria Summary'!$B67,newdevtable[summary_bucket],'Victoria Summary'!L$62)</f>
        <v>0</v>
      </c>
      <c r="M67" s="36">
        <f t="shared" si="1"/>
        <v>2829.27</v>
      </c>
    </row>
    <row r="68" spans="2:13" ht="15.75" thickBot="1">
      <c r="B68" s="2" t="s">
        <v>200</v>
      </c>
      <c r="C68" s="36">
        <f>SUMIFS(newdevtable[nameplatecapacity_mw_max],newdevtable[summary_status],'Victoria Summary'!$B68,newdevtable[summary_bucket],'Victoria Summary'!C$62)</f>
        <v>0</v>
      </c>
      <c r="D68" s="37">
        <f>SUMIFS(newdevtable[nameplatecapacity_mw_max],newdevtable[summary_status],'Victoria Summary'!$B68,newdevtable[summary_bucket],'Victoria Summary'!D$62)</f>
        <v>0</v>
      </c>
      <c r="E68" s="36">
        <f>SUMIFS(newdevtable[nameplatecapacity_mw_max],newdevtable[summary_status],'Victoria Summary'!$B68,newdevtable[summary_bucket],'Victoria Summary'!E$62)</f>
        <v>765</v>
      </c>
      <c r="F68" s="37">
        <f>SUMIFS(newdevtable[nameplatecapacity_mw_max],newdevtable[summary_status],'Victoria Summary'!$B68,newdevtable[summary_bucket],'Victoria Summary'!F$62)</f>
        <v>0</v>
      </c>
      <c r="G68" s="36">
        <f>SUMIFS(newdevtable[nameplatecapacity_mw_max],newdevtable[summary_status],'Victoria Summary'!$B68,newdevtable[summary_bucket],'Victoria Summary'!G$62)</f>
        <v>2400.6999999999998</v>
      </c>
      <c r="H68" s="37">
        <f>SUMIFS(newdevtable[nameplatecapacity_mw_max],newdevtable[summary_status],'Victoria Summary'!$B68,newdevtable[summary_bucket],'Victoria Summary'!H$62)</f>
        <v>5549.4999999999991</v>
      </c>
      <c r="I68" s="36">
        <f>SUMIFS(newdevtable[nameplatecapacity_mw_max],newdevtable[summary_status],'Victoria Summary'!$B68,newdevtable[summary_bucket],'Victoria Summary'!I$62)</f>
        <v>34</v>
      </c>
      <c r="J68" s="37">
        <f>SUMIFS(newdevtable[nameplatecapacity_mw_max],newdevtable[summary_status],'Victoria Summary'!$B68,newdevtable[summary_bucket],'Victoria Summary'!J$62)</f>
        <v>0</v>
      </c>
      <c r="K68" s="36">
        <f>SUMIFS(newdevtable[nameplatecapacity_mw_max],newdevtable[summary_status],'Victoria Summary'!$B68,newdevtable[summary_bucket],'Victoria Summary'!K$62)</f>
        <v>92</v>
      </c>
      <c r="L68" s="37">
        <f>SUMIFS(newdevtable[nameplatecapacity_mw_max],newdevtable[summary_status],'Victoria Summary'!$B68,newdevtable[summary_bucket],'Victoria Summary'!L$62)</f>
        <v>0</v>
      </c>
      <c r="M68" s="36">
        <f>SUM(C68:L68)</f>
        <v>8841.1999999999989</v>
      </c>
    </row>
    <row r="69" spans="2:13" ht="15.75" thickBot="1">
      <c r="B69" s="2" t="s">
        <v>201</v>
      </c>
      <c r="C69" s="36">
        <f>SUMIFS(existingstable[Nameplate Capacity (MW)],existingstable[summary_status],'Victoria Summary'!$B69,existingstable[summary_bucket],'Victoria Summary'!C$62) + SUMIFS(existingnstable[Nameplate Capacity (MW)],existingnstable[summary_status],'Victoria Summary'!$B69,existingnstable[summary_bucket],'Victoria Summary'!C$62)</f>
        <v>0</v>
      </c>
      <c r="D69" s="37">
        <f>SUMIFS(existingstable[Nameplate Capacity (MW)],existingstable[summary_status],'Victoria Summary'!$B69,existingstable[summary_bucket],'Victoria Summary'!D$62) + SUMIFS(existingnstable[Nameplate Capacity (MW)],existingnstable[summary_status],'Victoria Summary'!$B69,existingnstable[summary_bucket],'Victoria Summary'!D$62)</f>
        <v>0</v>
      </c>
      <c r="E69" s="36">
        <f>SUMIFS(existingstable[Nameplate Capacity (MW)],existingstable[summary_status],'Victoria Summary'!$B69,existingstable[summary_bucket],'Victoria Summary'!E$62) + SUMIFS(existingnstable[Nameplate Capacity (MW)],existingnstable[summary_status],'Victoria Summary'!$B69,existingnstable[summary_bucket],'Victoria Summary'!E$62)</f>
        <v>0</v>
      </c>
      <c r="F69" s="37">
        <f>SUMIFS(existingstable[Nameplate Capacity (MW)],existingstable[summary_status],'Victoria Summary'!$B69,existingstable[summary_bucket],'Victoria Summary'!F$62) + SUMIFS(existingnstable[Nameplate Capacity (MW)],existingnstable[summary_status],'Victoria Summary'!$B69,existingnstable[summary_bucket],'Victoria Summary'!F$62)</f>
        <v>0</v>
      </c>
      <c r="G69" s="36">
        <f>SUMIFS(existingstable[Nameplate Capacity (MW)],existingstable[summary_status],'Victoria Summary'!$B69,existingstable[summary_bucket],'Victoria Summary'!G$62) + SUMIFS(existingnstable[Nameplate Capacity (MW)],existingnstable[summary_status],'Victoria Summary'!$B69,existingnstable[summary_bucket],'Victoria Summary'!G$62)</f>
        <v>0</v>
      </c>
      <c r="H69" s="37">
        <f>SUMIFS(existingstable[Nameplate Capacity (MW)],existingstable[summary_status],'Victoria Summary'!$B69,existingstable[summary_bucket],'Victoria Summary'!H$62) + SUMIFS(existingnstable[Nameplate Capacity (MW)],existingnstable[summary_status],'Victoria Summary'!$B69,existingnstable[summary_bucket],'Victoria Summary'!H$62)</f>
        <v>0</v>
      </c>
      <c r="I69" s="36">
        <f>SUMIFS(existingstable[Nameplate Capacity (MW)],existingstable[summary_status],'Victoria Summary'!$B69,existingstable[summary_bucket],'Victoria Summary'!I$62) + SUMIFS(existingnstable[Nameplate Capacity (MW)],existingnstable[summary_status],'Victoria Summary'!$B69,existingnstable[summary_bucket],'Victoria Summary'!I$62)</f>
        <v>0</v>
      </c>
      <c r="J69" s="37">
        <f>SUMIFS(existingstable[Nameplate Capacity (MW)],existingstable[summary_status],'Victoria Summary'!$B69,existingstable[summary_bucket],'Victoria Summary'!J$62) + SUMIFS(existingnstable[Nameplate Capacity (MW)],existingnstable[summary_status],'Victoria Summary'!$B69,existingnstable[summary_bucket],'Victoria Summary'!J$62)</f>
        <v>0</v>
      </c>
      <c r="K69" s="36">
        <f>SUMIFS(existingstable[Nameplate Capacity (MW)],existingstable[summary_status],'Victoria Summary'!$B69,existingstable[summary_bucket],'Victoria Summary'!K$62) + SUMIFS(existingnstable[Nameplate Capacity (MW)],existingnstable[summary_status],'Victoria Summary'!$B69,existingnstable[summary_bucket],'Victoria Summary'!K$62)</f>
        <v>0</v>
      </c>
      <c r="L69" s="37">
        <f>SUMIFS(existingstable[Nameplate Capacity (MW)],existingstable[summary_status],'Victoria Summary'!$B69,existingstable[summary_bucket],'Victoria Summary'!L$62) + SUMIFS(existingnstable[Nameplate Capacity (MW)],existingnstable[summary_status],'Victoria Summary'!$B69,existingnstable[summary_bucket],'Victoria Summary'!L$62)</f>
        <v>0</v>
      </c>
      <c r="M69" s="36">
        <f t="shared" si="1"/>
        <v>0</v>
      </c>
    </row>
    <row r="70" spans="2:13">
      <c r="B70" s="182" t="s">
        <v>202</v>
      </c>
      <c r="C70" s="183"/>
      <c r="D70" s="183"/>
      <c r="E70" s="183"/>
      <c r="F70" s="183"/>
      <c r="G70" s="183"/>
      <c r="H70" s="183"/>
      <c r="I70" s="183"/>
      <c r="J70" s="183"/>
      <c r="K70" s="183"/>
      <c r="L70" s="183"/>
    </row>
    <row r="71" spans="2:13">
      <c r="B71" s="182" t="s">
        <v>596</v>
      </c>
      <c r="C71" s="183"/>
      <c r="D71" s="183"/>
      <c r="E71" s="183"/>
      <c r="F71" s="183"/>
      <c r="G71" s="183"/>
      <c r="H71" s="183"/>
      <c r="I71" s="183"/>
      <c r="J71" s="183"/>
      <c r="K71" s="183"/>
    </row>
  </sheetData>
  <mergeCells count="11">
    <mergeCell ref="B71:K71"/>
    <mergeCell ref="B5:I5"/>
    <mergeCell ref="B70:L70"/>
    <mergeCell ref="B20:F20"/>
    <mergeCell ref="B22:I22"/>
    <mergeCell ref="B25:I25"/>
    <mergeCell ref="B28:K28"/>
    <mergeCell ref="B29:I29"/>
    <mergeCell ref="B30:I30"/>
    <mergeCell ref="B31:I31"/>
    <mergeCell ref="B17:K17"/>
  </mergeCells>
  <hyperlinks>
    <hyperlink ref="B5:I5" r:id="rId1" display="http://www.aemo.com.au/Electricity/National-Electricity-Market-NEM/Planning-and-forecasting/Generation-information" xr:uid="{00000000-0004-0000-0000-000000000000}"/>
  </hyperlinks>
  <pageMargins left="0.7" right="0.7" top="0.75" bottom="0.75" header="0.3" footer="0.3"/>
  <pageSetup paperSize="9"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32"/>
  <sheetViews>
    <sheetView showGridLines="0" workbookViewId="0"/>
  </sheetViews>
  <sheetFormatPr defaultColWidth="9.140625" defaultRowHeight="14.25"/>
  <cols>
    <col min="1" max="1" width="3.42578125" style="49" customWidth="1"/>
    <col min="2" max="3" width="9.140625" style="49"/>
    <col min="4" max="4" width="13.140625" style="49" customWidth="1"/>
    <col min="5" max="28" width="9.140625" style="49"/>
    <col min="29" max="16384" width="9.140625" style="40"/>
  </cols>
  <sheetData>
    <row r="1" spans="1:28" ht="19.5">
      <c r="A1" s="38"/>
      <c r="B1" s="39" t="s">
        <v>384</v>
      </c>
      <c r="C1" s="38"/>
      <c r="D1" s="38"/>
      <c r="E1" s="38"/>
      <c r="F1" s="38"/>
      <c r="G1" s="38"/>
      <c r="H1" s="38"/>
      <c r="I1" s="38"/>
      <c r="J1" s="38"/>
      <c r="K1" s="38"/>
      <c r="L1" s="38"/>
      <c r="M1" s="38"/>
      <c r="N1" s="38"/>
      <c r="O1" s="38"/>
      <c r="P1" s="38"/>
      <c r="Q1" s="38"/>
      <c r="R1" s="38"/>
      <c r="S1" s="38"/>
      <c r="T1" s="38"/>
      <c r="U1" s="38"/>
      <c r="V1" s="38"/>
      <c r="W1" s="38"/>
      <c r="X1" s="38"/>
      <c r="Y1" s="38"/>
      <c r="Z1" s="38"/>
      <c r="AA1" s="38"/>
      <c r="AB1" s="38"/>
    </row>
    <row r="2" spans="1:28">
      <c r="A2" s="38"/>
      <c r="B2" s="41" t="s">
        <v>385</v>
      </c>
      <c r="C2" s="38"/>
      <c r="D2" s="38"/>
      <c r="E2" s="38"/>
      <c r="F2" s="38"/>
      <c r="G2" s="38"/>
      <c r="H2" s="38"/>
      <c r="I2" s="38"/>
      <c r="J2" s="38"/>
      <c r="K2" s="38"/>
      <c r="L2" s="38"/>
      <c r="M2" s="38"/>
      <c r="N2" s="38"/>
      <c r="O2" s="38"/>
      <c r="P2" s="38"/>
      <c r="Q2" s="38"/>
      <c r="R2" s="38"/>
      <c r="S2" s="38"/>
      <c r="T2" s="38"/>
      <c r="U2" s="38"/>
      <c r="V2" s="38"/>
      <c r="W2" s="38"/>
      <c r="X2" s="38"/>
      <c r="Y2" s="38"/>
      <c r="Z2" s="38"/>
      <c r="AA2" s="38"/>
      <c r="AB2" s="38"/>
    </row>
    <row r="3" spans="1:28">
      <c r="A3" s="38"/>
      <c r="B3" s="38"/>
      <c r="C3" s="38"/>
      <c r="D3" s="38"/>
      <c r="E3" s="38"/>
      <c r="F3" s="38"/>
      <c r="G3" s="38"/>
      <c r="H3" s="38"/>
      <c r="I3" s="38"/>
      <c r="J3" s="38"/>
      <c r="K3" s="38"/>
      <c r="L3" s="38"/>
      <c r="M3" s="38"/>
      <c r="N3" s="38"/>
      <c r="O3" s="38"/>
      <c r="P3" s="38"/>
      <c r="Q3" s="38"/>
      <c r="R3" s="38"/>
      <c r="S3" s="38"/>
      <c r="T3" s="38"/>
      <c r="U3" s="38"/>
      <c r="V3" s="38"/>
      <c r="W3" s="38"/>
      <c r="X3" s="38"/>
      <c r="Y3" s="38"/>
      <c r="Z3" s="38"/>
      <c r="AA3" s="38"/>
      <c r="AB3" s="38"/>
    </row>
    <row r="4" spans="1:28" ht="15">
      <c r="A4" s="38"/>
      <c r="B4" s="42" t="s">
        <v>386</v>
      </c>
      <c r="C4" s="38"/>
      <c r="D4" s="43">
        <v>41263</v>
      </c>
      <c r="E4" s="44"/>
      <c r="F4" s="44"/>
      <c r="G4" s="44"/>
      <c r="H4" s="44"/>
      <c r="I4" s="44"/>
      <c r="J4" s="44"/>
      <c r="K4" s="44"/>
      <c r="L4" s="44"/>
      <c r="M4" s="44"/>
      <c r="N4" s="38"/>
      <c r="O4" s="38"/>
      <c r="P4" s="38"/>
      <c r="Q4" s="38"/>
      <c r="R4" s="38"/>
      <c r="S4" s="38"/>
      <c r="T4" s="38"/>
      <c r="U4" s="38"/>
      <c r="V4" s="38"/>
      <c r="W4" s="38"/>
      <c r="X4" s="38"/>
      <c r="Y4" s="38"/>
      <c r="Z4" s="38"/>
      <c r="AA4" s="38"/>
      <c r="AB4" s="38"/>
    </row>
    <row r="5" spans="1:28" ht="57" customHeight="1">
      <c r="A5" s="38"/>
      <c r="B5" s="199" t="s">
        <v>387</v>
      </c>
      <c r="C5" s="199"/>
      <c r="D5" s="199"/>
      <c r="E5" s="199"/>
      <c r="F5" s="199"/>
      <c r="G5" s="199"/>
      <c r="H5" s="199"/>
      <c r="I5" s="199"/>
      <c r="J5" s="199"/>
      <c r="K5" s="199"/>
      <c r="L5" s="45"/>
      <c r="M5" s="38"/>
      <c r="N5" s="38"/>
      <c r="O5" s="38"/>
      <c r="P5" s="38"/>
      <c r="Q5" s="38"/>
      <c r="R5" s="38"/>
      <c r="S5" s="38"/>
      <c r="T5" s="38"/>
      <c r="U5" s="38"/>
      <c r="V5" s="38"/>
      <c r="W5" s="38"/>
      <c r="X5" s="38"/>
      <c r="Y5" s="38"/>
      <c r="Z5" s="38"/>
      <c r="AA5" s="38"/>
      <c r="AB5" s="38"/>
    </row>
    <row r="6" spans="1:28" ht="40.5" customHeight="1">
      <c r="A6" s="38"/>
      <c r="B6" s="188" t="s">
        <v>388</v>
      </c>
      <c r="C6" s="188"/>
      <c r="D6" s="188"/>
      <c r="E6" s="188"/>
      <c r="F6" s="188"/>
      <c r="G6" s="188"/>
      <c r="H6" s="188"/>
      <c r="I6" s="188"/>
      <c r="J6" s="188"/>
      <c r="K6" s="188"/>
      <c r="L6" s="45"/>
      <c r="M6" s="38"/>
      <c r="N6" s="38"/>
      <c r="O6" s="38"/>
      <c r="P6" s="38"/>
      <c r="Q6" s="38"/>
      <c r="R6" s="38"/>
      <c r="S6" s="38"/>
      <c r="T6" s="38"/>
      <c r="U6" s="38"/>
      <c r="V6" s="38"/>
      <c r="W6" s="38"/>
      <c r="X6" s="38"/>
      <c r="Y6" s="38"/>
      <c r="Z6" s="38"/>
      <c r="AA6" s="38"/>
      <c r="AB6" s="38"/>
    </row>
    <row r="7" spans="1:28">
      <c r="A7" s="38"/>
      <c r="B7" s="200"/>
      <c r="C7" s="200"/>
      <c r="D7" s="200"/>
      <c r="E7" s="200"/>
      <c r="F7" s="200"/>
      <c r="G7" s="200"/>
      <c r="H7" s="200"/>
      <c r="I7" s="200"/>
      <c r="J7" s="200"/>
      <c r="K7" s="200"/>
      <c r="L7" s="38"/>
      <c r="M7" s="38"/>
      <c r="N7" s="38"/>
      <c r="O7" s="38"/>
      <c r="P7" s="38"/>
      <c r="Q7" s="38"/>
      <c r="R7" s="38"/>
      <c r="S7" s="38"/>
      <c r="T7" s="38"/>
      <c r="U7" s="38"/>
      <c r="V7" s="38"/>
      <c r="W7" s="38"/>
      <c r="X7" s="38"/>
      <c r="Y7" s="38"/>
      <c r="Z7" s="38"/>
      <c r="AA7" s="38"/>
      <c r="AB7" s="38"/>
    </row>
    <row r="8" spans="1:28" ht="15">
      <c r="A8" s="38"/>
      <c r="B8" s="42" t="s">
        <v>386</v>
      </c>
      <c r="C8" s="38"/>
      <c r="D8" s="43">
        <v>41455</v>
      </c>
      <c r="E8" s="38"/>
      <c r="F8" s="38"/>
      <c r="G8" s="38"/>
      <c r="H8" s="38"/>
      <c r="I8" s="38"/>
      <c r="J8" s="38"/>
      <c r="K8" s="38"/>
      <c r="L8" s="38"/>
      <c r="M8" s="38"/>
      <c r="N8" s="38"/>
      <c r="O8" s="38"/>
      <c r="P8" s="38"/>
      <c r="Q8" s="38"/>
      <c r="R8" s="38"/>
      <c r="S8" s="38"/>
      <c r="T8" s="38"/>
      <c r="U8" s="38"/>
      <c r="V8" s="38"/>
      <c r="W8" s="38"/>
      <c r="X8" s="38"/>
      <c r="Y8" s="38"/>
      <c r="Z8" s="38"/>
      <c r="AA8" s="38"/>
      <c r="AB8" s="38"/>
    </row>
    <row r="9" spans="1:28" ht="18" customHeight="1">
      <c r="A9" s="38"/>
      <c r="B9" s="198" t="s">
        <v>389</v>
      </c>
      <c r="C9" s="198"/>
      <c r="D9" s="198"/>
      <c r="E9" s="198"/>
      <c r="F9" s="198"/>
      <c r="G9" s="198"/>
      <c r="H9" s="198"/>
      <c r="I9" s="198"/>
      <c r="J9" s="198"/>
      <c r="K9" s="198"/>
      <c r="L9" s="38"/>
      <c r="M9" s="38"/>
      <c r="N9" s="38"/>
      <c r="O9" s="38"/>
      <c r="P9" s="38"/>
      <c r="Q9" s="38"/>
      <c r="R9" s="38"/>
      <c r="S9" s="38"/>
      <c r="T9" s="38"/>
      <c r="U9" s="38"/>
      <c r="V9" s="38"/>
      <c r="W9" s="38"/>
      <c r="X9" s="38"/>
      <c r="Y9" s="38"/>
      <c r="Z9" s="38"/>
      <c r="AA9" s="38"/>
      <c r="AB9" s="38"/>
    </row>
    <row r="10" spans="1:28" ht="24.75" customHeight="1">
      <c r="A10" s="38"/>
      <c r="B10" s="201" t="s">
        <v>617</v>
      </c>
      <c r="C10" s="201"/>
      <c r="D10" s="201"/>
      <c r="E10" s="201"/>
      <c r="F10" s="201"/>
      <c r="G10" s="201"/>
      <c r="H10" s="201"/>
      <c r="I10" s="201"/>
      <c r="J10" s="201"/>
      <c r="K10" s="201"/>
      <c r="L10" s="38"/>
      <c r="M10" s="38"/>
      <c r="N10" s="38"/>
      <c r="O10" s="38"/>
      <c r="P10" s="38"/>
      <c r="Q10" s="38"/>
      <c r="R10" s="38"/>
      <c r="S10" s="38"/>
      <c r="T10" s="38"/>
      <c r="U10" s="38"/>
      <c r="V10" s="38"/>
      <c r="W10" s="38"/>
      <c r="X10" s="38"/>
      <c r="Y10" s="38"/>
      <c r="Z10" s="38"/>
      <c r="AA10" s="38"/>
      <c r="AB10" s="38"/>
    </row>
    <row r="11" spans="1:28" ht="22.5" customHeight="1">
      <c r="A11" s="38"/>
      <c r="B11" s="188" t="s">
        <v>390</v>
      </c>
      <c r="C11" s="188"/>
      <c r="D11" s="188"/>
      <c r="E11" s="188"/>
      <c r="F11" s="188"/>
      <c r="G11" s="188"/>
      <c r="H11" s="188"/>
      <c r="I11" s="188"/>
      <c r="J11" s="188"/>
      <c r="K11" s="188"/>
      <c r="L11" s="38"/>
      <c r="M11" s="38"/>
      <c r="N11" s="38"/>
      <c r="O11" s="38"/>
      <c r="P11" s="38"/>
      <c r="Q11" s="38"/>
      <c r="R11" s="38"/>
      <c r="S11" s="38"/>
      <c r="T11" s="38"/>
      <c r="U11" s="38"/>
      <c r="V11" s="38"/>
      <c r="W11" s="38"/>
      <c r="X11" s="38"/>
      <c r="Y11" s="38"/>
      <c r="Z11" s="38"/>
      <c r="AA11" s="38"/>
      <c r="AB11" s="38"/>
    </row>
    <row r="12" spans="1:28" ht="27.75" customHeight="1">
      <c r="A12" s="38"/>
      <c r="B12" s="198" t="s">
        <v>391</v>
      </c>
      <c r="C12" s="198"/>
      <c r="D12" s="198"/>
      <c r="E12" s="198"/>
      <c r="F12" s="198"/>
      <c r="G12" s="198"/>
      <c r="H12" s="198"/>
      <c r="I12" s="198"/>
      <c r="J12" s="198"/>
      <c r="K12" s="198"/>
      <c r="L12" s="38"/>
      <c r="M12" s="38"/>
      <c r="N12" s="38"/>
      <c r="O12" s="38"/>
      <c r="P12" s="38"/>
      <c r="Q12" s="38"/>
      <c r="R12" s="38"/>
      <c r="S12" s="38"/>
      <c r="T12" s="38"/>
      <c r="U12" s="38"/>
      <c r="V12" s="38"/>
      <c r="W12" s="38"/>
      <c r="X12" s="38"/>
      <c r="Y12" s="38"/>
      <c r="Z12" s="38"/>
      <c r="AA12" s="38"/>
      <c r="AB12" s="38"/>
    </row>
    <row r="13" spans="1:28" ht="28.5" customHeight="1">
      <c r="A13" s="38"/>
      <c r="B13" s="198" t="s">
        <v>392</v>
      </c>
      <c r="C13" s="198"/>
      <c r="D13" s="198"/>
      <c r="E13" s="198"/>
      <c r="F13" s="198"/>
      <c r="G13" s="198"/>
      <c r="H13" s="198"/>
      <c r="I13" s="198"/>
      <c r="J13" s="198"/>
      <c r="K13" s="198"/>
      <c r="L13" s="38"/>
      <c r="M13" s="38"/>
      <c r="N13" s="38"/>
      <c r="O13" s="38"/>
      <c r="P13" s="38"/>
      <c r="Q13" s="38"/>
      <c r="R13" s="38"/>
      <c r="S13" s="38"/>
      <c r="T13" s="38"/>
      <c r="U13" s="38"/>
      <c r="V13" s="38"/>
      <c r="W13" s="38"/>
      <c r="X13" s="38"/>
      <c r="Y13" s="38"/>
      <c r="Z13" s="38"/>
      <c r="AA13" s="38"/>
      <c r="AB13" s="38"/>
    </row>
    <row r="14" spans="1:28" ht="23.25" customHeight="1">
      <c r="A14" s="38"/>
      <c r="B14" s="188" t="s">
        <v>393</v>
      </c>
      <c r="C14" s="188"/>
      <c r="D14" s="188"/>
      <c r="E14" s="188"/>
      <c r="F14" s="188"/>
      <c r="G14" s="188"/>
      <c r="H14" s="188"/>
      <c r="I14" s="188"/>
      <c r="J14" s="188"/>
      <c r="K14" s="188"/>
      <c r="L14" s="38"/>
      <c r="M14" s="38"/>
      <c r="N14" s="38"/>
      <c r="O14" s="38"/>
      <c r="P14" s="38"/>
      <c r="Q14" s="38"/>
      <c r="R14" s="38"/>
      <c r="S14" s="38"/>
      <c r="T14" s="38"/>
      <c r="U14" s="38"/>
      <c r="V14" s="38"/>
      <c r="W14" s="38"/>
      <c r="X14" s="38"/>
      <c r="Y14" s="38"/>
      <c r="Z14" s="38"/>
      <c r="AA14" s="38"/>
      <c r="AB14" s="38"/>
    </row>
    <row r="15" spans="1:28">
      <c r="A15" s="38"/>
      <c r="B15" s="38"/>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row>
    <row r="16" spans="1:28" ht="15">
      <c r="A16" s="38"/>
      <c r="B16" s="42" t="s">
        <v>386</v>
      </c>
      <c r="C16" s="38"/>
      <c r="D16" s="43">
        <v>41499</v>
      </c>
      <c r="E16" s="38"/>
      <c r="F16" s="38"/>
      <c r="G16" s="38"/>
      <c r="H16" s="38"/>
      <c r="I16" s="38"/>
      <c r="J16" s="38"/>
      <c r="K16" s="38"/>
      <c r="L16" s="38"/>
      <c r="M16" s="38"/>
      <c r="N16" s="38"/>
      <c r="O16" s="38"/>
      <c r="P16" s="38"/>
      <c r="Q16" s="38"/>
      <c r="R16" s="38"/>
      <c r="S16" s="38"/>
      <c r="T16" s="38"/>
      <c r="U16" s="38"/>
      <c r="V16" s="38"/>
      <c r="W16" s="38"/>
      <c r="X16" s="38"/>
      <c r="Y16" s="38"/>
      <c r="Z16" s="38"/>
      <c r="AA16" s="38"/>
      <c r="AB16" s="38"/>
    </row>
    <row r="17" spans="1:28" ht="21.75" customHeight="1">
      <c r="A17" s="38"/>
      <c r="B17" s="198" t="s">
        <v>394</v>
      </c>
      <c r="C17" s="198"/>
      <c r="D17" s="198"/>
      <c r="E17" s="198"/>
      <c r="F17" s="198"/>
      <c r="G17" s="198"/>
      <c r="H17" s="198"/>
      <c r="I17" s="198"/>
      <c r="J17" s="198"/>
      <c r="K17" s="198"/>
      <c r="L17" s="38"/>
      <c r="M17" s="38"/>
      <c r="N17" s="38"/>
      <c r="O17" s="38"/>
      <c r="P17" s="38"/>
      <c r="Q17" s="38"/>
      <c r="R17" s="38"/>
      <c r="S17" s="38"/>
      <c r="T17" s="38"/>
      <c r="U17" s="38"/>
      <c r="V17" s="38"/>
      <c r="W17" s="38"/>
      <c r="X17" s="38"/>
      <c r="Y17" s="38"/>
      <c r="Z17" s="38"/>
      <c r="AA17" s="38"/>
      <c r="AB17" s="38"/>
    </row>
    <row r="18" spans="1:28">
      <c r="A18" s="38"/>
      <c r="B18" s="38"/>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row>
    <row r="19" spans="1:28" ht="15">
      <c r="A19" s="38"/>
      <c r="B19" s="42" t="s">
        <v>386</v>
      </c>
      <c r="C19" s="38"/>
      <c r="D19" s="43">
        <v>41593</v>
      </c>
      <c r="E19" s="38"/>
      <c r="F19" s="38"/>
      <c r="G19" s="38"/>
      <c r="H19" s="38"/>
      <c r="I19" s="38"/>
      <c r="J19" s="38"/>
      <c r="K19" s="38"/>
      <c r="L19" s="38"/>
      <c r="M19" s="38"/>
      <c r="N19" s="38"/>
      <c r="O19" s="38"/>
      <c r="P19" s="38"/>
      <c r="Q19" s="38"/>
      <c r="R19" s="38"/>
      <c r="S19" s="38"/>
      <c r="T19" s="38"/>
      <c r="U19" s="38"/>
      <c r="V19" s="38"/>
      <c r="W19" s="38"/>
      <c r="X19" s="38"/>
      <c r="Y19" s="38"/>
      <c r="Z19" s="38"/>
      <c r="AA19" s="38"/>
      <c r="AB19" s="38"/>
    </row>
    <row r="20" spans="1:28" s="38" customFormat="1" ht="23.25" customHeight="1">
      <c r="B20" s="198" t="s">
        <v>395</v>
      </c>
      <c r="C20" s="198"/>
      <c r="D20" s="198"/>
      <c r="E20" s="198"/>
      <c r="F20" s="198"/>
      <c r="G20" s="198"/>
      <c r="H20" s="198"/>
      <c r="I20" s="198"/>
      <c r="J20" s="198"/>
      <c r="K20" s="198"/>
    </row>
    <row r="21" spans="1:28" s="38" customFormat="1" ht="37.5" customHeight="1">
      <c r="B21" s="198" t="s">
        <v>396</v>
      </c>
      <c r="C21" s="198"/>
      <c r="D21" s="198"/>
      <c r="E21" s="198"/>
      <c r="F21" s="198"/>
      <c r="G21" s="198"/>
      <c r="H21" s="198"/>
      <c r="I21" s="198"/>
      <c r="J21" s="198"/>
      <c r="K21" s="198"/>
    </row>
    <row r="22" spans="1:28">
      <c r="A22" s="38"/>
      <c r="B22" s="38"/>
      <c r="C22" s="38"/>
      <c r="D22" s="38"/>
      <c r="E22" s="38"/>
      <c r="F22" s="38"/>
      <c r="G22" s="38"/>
      <c r="H22" s="38"/>
      <c r="I22" s="38"/>
      <c r="J22" s="38"/>
      <c r="K22" s="38"/>
      <c r="L22" s="38"/>
      <c r="M22" s="38"/>
      <c r="N22" s="38"/>
      <c r="O22" s="38"/>
      <c r="P22" s="38"/>
      <c r="Q22" s="38"/>
      <c r="R22" s="38"/>
      <c r="S22" s="38"/>
      <c r="T22" s="38"/>
      <c r="U22" s="38"/>
      <c r="V22" s="38"/>
      <c r="W22" s="38"/>
      <c r="X22" s="38"/>
      <c r="Y22" s="38"/>
      <c r="Z22" s="38"/>
      <c r="AA22" s="38"/>
      <c r="AB22" s="38"/>
    </row>
    <row r="23" spans="1:28" ht="15">
      <c r="A23" s="38"/>
      <c r="B23" s="42" t="s">
        <v>386</v>
      </c>
      <c r="C23" s="38"/>
      <c r="D23" s="43">
        <v>41789</v>
      </c>
      <c r="E23" s="38"/>
      <c r="F23" s="38"/>
      <c r="G23" s="38"/>
      <c r="H23" s="38"/>
      <c r="I23" s="38"/>
      <c r="J23" s="38"/>
      <c r="K23" s="38"/>
      <c r="L23" s="38"/>
      <c r="M23" s="38"/>
      <c r="N23" s="38"/>
      <c r="O23" s="38"/>
      <c r="P23" s="38"/>
      <c r="Q23" s="38"/>
      <c r="R23" s="38"/>
      <c r="S23" s="38"/>
      <c r="T23" s="38"/>
      <c r="U23" s="38"/>
      <c r="V23" s="38"/>
      <c r="W23" s="38"/>
      <c r="X23" s="38"/>
      <c r="Y23" s="38"/>
      <c r="Z23" s="38"/>
      <c r="AA23" s="38"/>
      <c r="AB23" s="38"/>
    </row>
    <row r="24" spans="1:28" ht="24" customHeight="1">
      <c r="A24" s="38"/>
      <c r="B24" s="198" t="s">
        <v>397</v>
      </c>
      <c r="C24" s="198"/>
      <c r="D24" s="198"/>
      <c r="E24" s="198"/>
      <c r="F24" s="198"/>
      <c r="G24" s="198"/>
      <c r="H24" s="198"/>
      <c r="I24" s="198"/>
      <c r="J24" s="198"/>
      <c r="K24" s="198"/>
      <c r="L24" s="38"/>
      <c r="M24" s="38"/>
      <c r="N24" s="38"/>
      <c r="O24" s="38"/>
      <c r="P24" s="38"/>
      <c r="Q24" s="38"/>
      <c r="R24" s="38"/>
      <c r="S24" s="38"/>
      <c r="T24" s="38"/>
      <c r="U24" s="38"/>
      <c r="V24" s="38"/>
      <c r="W24" s="38"/>
      <c r="X24" s="38"/>
      <c r="Y24" s="38"/>
      <c r="Z24" s="38"/>
      <c r="AA24" s="38"/>
      <c r="AB24" s="38"/>
    </row>
    <row r="25" spans="1:28" ht="24" customHeight="1">
      <c r="A25" s="38"/>
      <c r="B25" s="198" t="s">
        <v>398</v>
      </c>
      <c r="C25" s="198"/>
      <c r="D25" s="198"/>
      <c r="E25" s="198"/>
      <c r="F25" s="198"/>
      <c r="G25" s="198"/>
      <c r="H25" s="198"/>
      <c r="I25" s="198"/>
      <c r="J25" s="198"/>
      <c r="K25" s="198"/>
      <c r="L25" s="38"/>
      <c r="M25" s="38"/>
      <c r="N25" s="38"/>
      <c r="O25" s="38"/>
      <c r="P25" s="38"/>
      <c r="Q25" s="38"/>
      <c r="R25" s="38"/>
      <c r="S25" s="38"/>
      <c r="T25" s="38"/>
      <c r="U25" s="38"/>
      <c r="V25" s="38"/>
      <c r="W25" s="38"/>
      <c r="X25" s="38"/>
      <c r="Y25" s="38"/>
      <c r="Z25" s="38"/>
      <c r="AA25" s="38"/>
      <c r="AB25" s="38"/>
    </row>
    <row r="26" spans="1:28" ht="41.25" customHeight="1">
      <c r="A26" s="38"/>
      <c r="B26" s="198" t="s">
        <v>399</v>
      </c>
      <c r="C26" s="198"/>
      <c r="D26" s="198"/>
      <c r="E26" s="198"/>
      <c r="F26" s="198"/>
      <c r="G26" s="198"/>
      <c r="H26" s="198"/>
      <c r="I26" s="198"/>
      <c r="J26" s="198"/>
      <c r="K26" s="198"/>
      <c r="L26" s="38"/>
      <c r="M26" s="38"/>
      <c r="N26" s="38"/>
      <c r="O26" s="38"/>
      <c r="P26" s="38"/>
      <c r="Q26" s="38"/>
      <c r="R26" s="38"/>
      <c r="S26" s="38"/>
      <c r="T26" s="38"/>
      <c r="U26" s="38"/>
      <c r="V26" s="38"/>
      <c r="W26" s="38"/>
      <c r="X26" s="38"/>
      <c r="Y26" s="38"/>
      <c r="Z26" s="38"/>
      <c r="AA26" s="38"/>
      <c r="AB26" s="38"/>
    </row>
    <row r="27" spans="1:28" ht="27" customHeight="1">
      <c r="A27" s="38"/>
      <c r="B27" s="198" t="s">
        <v>400</v>
      </c>
      <c r="C27" s="198"/>
      <c r="D27" s="198"/>
      <c r="E27" s="198"/>
      <c r="F27" s="198"/>
      <c r="G27" s="198"/>
      <c r="H27" s="198"/>
      <c r="I27" s="198"/>
      <c r="J27" s="198"/>
      <c r="K27" s="198"/>
      <c r="L27" s="38"/>
      <c r="M27" s="38"/>
      <c r="N27" s="38"/>
      <c r="O27" s="38"/>
      <c r="P27" s="38"/>
      <c r="Q27" s="38"/>
      <c r="R27" s="38"/>
      <c r="S27" s="38"/>
      <c r="T27" s="38"/>
      <c r="U27" s="38"/>
      <c r="V27" s="38"/>
      <c r="W27" s="38"/>
      <c r="X27" s="38"/>
      <c r="Y27" s="38"/>
      <c r="Z27" s="38"/>
      <c r="AA27" s="38"/>
      <c r="AB27" s="38"/>
    </row>
    <row r="28" spans="1:28" ht="28.5" customHeight="1">
      <c r="A28" s="38"/>
      <c r="B28" s="198" t="s">
        <v>401</v>
      </c>
      <c r="C28" s="198"/>
      <c r="D28" s="198"/>
      <c r="E28" s="198"/>
      <c r="F28" s="198"/>
      <c r="G28" s="198"/>
      <c r="H28" s="198"/>
      <c r="I28" s="198"/>
      <c r="J28" s="198"/>
      <c r="K28" s="198"/>
      <c r="L28" s="38"/>
      <c r="M28" s="38"/>
      <c r="N28" s="38"/>
      <c r="O28" s="38"/>
      <c r="P28" s="38"/>
      <c r="Q28" s="38"/>
      <c r="R28" s="38"/>
      <c r="S28" s="38"/>
      <c r="T28" s="38"/>
      <c r="U28" s="38"/>
      <c r="V28" s="38"/>
      <c r="W28" s="38"/>
      <c r="X28" s="38"/>
      <c r="Y28" s="38"/>
      <c r="Z28" s="38"/>
      <c r="AA28" s="38"/>
      <c r="AB28" s="38"/>
    </row>
    <row r="29" spans="1:28" ht="39" customHeight="1">
      <c r="A29" s="38"/>
      <c r="B29" s="198" t="s">
        <v>402</v>
      </c>
      <c r="C29" s="198"/>
      <c r="D29" s="198"/>
      <c r="E29" s="198"/>
      <c r="F29" s="198"/>
      <c r="G29" s="198"/>
      <c r="H29" s="198"/>
      <c r="I29" s="198"/>
      <c r="J29" s="198"/>
      <c r="K29" s="198"/>
      <c r="L29" s="38"/>
      <c r="M29" s="38"/>
      <c r="N29" s="38"/>
      <c r="O29" s="38"/>
      <c r="P29" s="38"/>
      <c r="Q29" s="38"/>
      <c r="R29" s="38"/>
      <c r="S29" s="38"/>
      <c r="T29" s="38"/>
      <c r="U29" s="38"/>
      <c r="V29" s="38"/>
      <c r="W29" s="38"/>
      <c r="X29" s="38"/>
      <c r="Y29" s="38"/>
      <c r="Z29" s="38"/>
      <c r="AA29" s="38"/>
      <c r="AB29" s="38"/>
    </row>
    <row r="30" spans="1:28">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row>
    <row r="31" spans="1:28" ht="15">
      <c r="A31" s="38"/>
      <c r="B31" s="42" t="s">
        <v>386</v>
      </c>
      <c r="C31" s="38"/>
      <c r="D31" s="43">
        <v>41858</v>
      </c>
      <c r="E31" s="38"/>
      <c r="F31" s="38"/>
      <c r="G31" s="38"/>
      <c r="H31" s="38"/>
      <c r="I31" s="38"/>
      <c r="J31" s="38"/>
      <c r="K31" s="38"/>
      <c r="L31" s="38"/>
      <c r="M31" s="38"/>
      <c r="N31" s="38"/>
      <c r="O31" s="38"/>
      <c r="P31" s="38"/>
      <c r="Q31" s="38"/>
      <c r="R31" s="38"/>
      <c r="S31" s="38"/>
      <c r="T31" s="38"/>
      <c r="U31" s="38"/>
      <c r="V31" s="38"/>
      <c r="W31" s="38"/>
      <c r="X31" s="38"/>
      <c r="Y31" s="38"/>
      <c r="Z31" s="38"/>
      <c r="AA31" s="38"/>
      <c r="AB31" s="38"/>
    </row>
    <row r="32" spans="1:28" ht="33" customHeight="1">
      <c r="A32" s="38"/>
      <c r="B32" s="198" t="s">
        <v>403</v>
      </c>
      <c r="C32" s="198"/>
      <c r="D32" s="198"/>
      <c r="E32" s="198"/>
      <c r="F32" s="198"/>
      <c r="G32" s="198"/>
      <c r="H32" s="198"/>
      <c r="I32" s="198"/>
      <c r="J32" s="198"/>
      <c r="K32" s="198"/>
      <c r="L32" s="38"/>
      <c r="M32" s="38"/>
      <c r="N32" s="38"/>
      <c r="O32" s="38"/>
      <c r="P32" s="38"/>
      <c r="Q32" s="38"/>
      <c r="R32" s="38"/>
      <c r="S32" s="38"/>
      <c r="T32" s="38"/>
      <c r="U32" s="38"/>
      <c r="V32" s="38"/>
      <c r="W32" s="38"/>
      <c r="X32" s="38"/>
      <c r="Y32" s="38"/>
      <c r="Z32" s="38"/>
      <c r="AA32" s="38"/>
      <c r="AB32" s="38"/>
    </row>
    <row r="33" spans="1:28" ht="24" customHeight="1">
      <c r="A33" s="38"/>
      <c r="B33" s="198" t="s">
        <v>404</v>
      </c>
      <c r="C33" s="198"/>
      <c r="D33" s="198"/>
      <c r="E33" s="198"/>
      <c r="F33" s="198"/>
      <c r="G33" s="198"/>
      <c r="H33" s="198"/>
      <c r="I33" s="198"/>
      <c r="J33" s="198"/>
      <c r="K33" s="198"/>
      <c r="L33" s="38"/>
      <c r="M33" s="38"/>
      <c r="N33" s="38"/>
      <c r="O33" s="38"/>
      <c r="P33" s="38"/>
      <c r="Q33" s="38"/>
      <c r="R33" s="38"/>
      <c r="S33" s="38"/>
      <c r="T33" s="38"/>
      <c r="U33" s="38"/>
      <c r="V33" s="38"/>
      <c r="W33" s="38"/>
      <c r="X33" s="38"/>
      <c r="Y33" s="38"/>
      <c r="Z33" s="38"/>
      <c r="AA33" s="38"/>
      <c r="AB33" s="38"/>
    </row>
    <row r="34" spans="1:28">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row>
    <row r="35" spans="1:28" ht="15">
      <c r="A35" s="38"/>
      <c r="B35" s="42" t="s">
        <v>386</v>
      </c>
      <c r="C35" s="38"/>
      <c r="D35" s="43">
        <v>41983</v>
      </c>
      <c r="E35" s="38"/>
      <c r="F35" s="38"/>
      <c r="G35" s="38"/>
      <c r="H35" s="38"/>
      <c r="I35" s="38"/>
      <c r="J35" s="38"/>
      <c r="K35" s="38"/>
      <c r="L35" s="38"/>
      <c r="M35" s="38"/>
      <c r="N35" s="38"/>
      <c r="O35" s="38"/>
      <c r="P35" s="38"/>
      <c r="Q35" s="38"/>
      <c r="R35" s="38"/>
      <c r="S35" s="38"/>
      <c r="T35" s="38"/>
      <c r="U35" s="38"/>
      <c r="V35" s="38"/>
      <c r="W35" s="38"/>
      <c r="X35" s="38"/>
      <c r="Y35" s="38"/>
      <c r="Z35" s="38"/>
      <c r="AA35" s="38"/>
      <c r="AB35" s="38"/>
    </row>
    <row r="36" spans="1:28" ht="28.5" customHeight="1">
      <c r="A36" s="38"/>
      <c r="B36" s="198" t="s">
        <v>405</v>
      </c>
      <c r="C36" s="198"/>
      <c r="D36" s="198"/>
      <c r="E36" s="198"/>
      <c r="F36" s="198"/>
      <c r="G36" s="198"/>
      <c r="H36" s="198"/>
      <c r="I36" s="198"/>
      <c r="J36" s="198"/>
      <c r="K36" s="198"/>
      <c r="L36" s="38"/>
      <c r="M36" s="38"/>
      <c r="N36" s="38"/>
      <c r="O36" s="38"/>
      <c r="P36" s="38"/>
      <c r="Q36" s="38"/>
      <c r="R36" s="38"/>
      <c r="S36" s="38"/>
      <c r="T36" s="38"/>
      <c r="U36" s="38"/>
      <c r="V36" s="38"/>
      <c r="W36" s="38"/>
      <c r="X36" s="38"/>
      <c r="Y36" s="38"/>
      <c r="Z36" s="38"/>
      <c r="AA36" s="38"/>
      <c r="AB36" s="38"/>
    </row>
    <row r="37" spans="1:28" ht="29.25" customHeight="1">
      <c r="A37" s="38"/>
      <c r="B37" s="198" t="s">
        <v>406</v>
      </c>
      <c r="C37" s="198"/>
      <c r="D37" s="198"/>
      <c r="E37" s="198"/>
      <c r="F37" s="198"/>
      <c r="G37" s="198"/>
      <c r="H37" s="198"/>
      <c r="I37" s="198"/>
      <c r="J37" s="198"/>
      <c r="K37" s="198"/>
      <c r="L37" s="38"/>
      <c r="M37" s="38"/>
      <c r="N37" s="38"/>
      <c r="O37" s="38"/>
      <c r="P37" s="38"/>
      <c r="Q37" s="38"/>
      <c r="R37" s="38"/>
      <c r="S37" s="38"/>
      <c r="T37" s="38"/>
      <c r="U37" s="38"/>
      <c r="V37" s="38"/>
      <c r="W37" s="38"/>
      <c r="X37" s="38"/>
      <c r="Y37" s="38"/>
      <c r="Z37" s="38"/>
      <c r="AA37" s="38"/>
      <c r="AB37" s="38"/>
    </row>
    <row r="38" spans="1:28" ht="27.75" customHeight="1">
      <c r="A38" s="38"/>
      <c r="B38" s="198" t="s">
        <v>407</v>
      </c>
      <c r="C38" s="198"/>
      <c r="D38" s="198"/>
      <c r="E38" s="198"/>
      <c r="F38" s="198"/>
      <c r="G38" s="198"/>
      <c r="H38" s="198"/>
      <c r="I38" s="198"/>
      <c r="J38" s="198"/>
      <c r="K38" s="198"/>
      <c r="L38" s="38"/>
      <c r="M38" s="38"/>
      <c r="N38" s="38"/>
      <c r="O38" s="38"/>
      <c r="P38" s="38"/>
      <c r="Q38" s="38"/>
      <c r="R38" s="38"/>
      <c r="S38" s="38"/>
      <c r="T38" s="38"/>
      <c r="U38" s="38"/>
      <c r="V38" s="38"/>
      <c r="W38" s="38"/>
      <c r="X38" s="38"/>
      <c r="Y38" s="38"/>
      <c r="Z38" s="38"/>
      <c r="AA38" s="38"/>
      <c r="AB38" s="38"/>
    </row>
    <row r="39" spans="1:28">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row>
    <row r="40" spans="1:28" ht="15">
      <c r="A40" s="38"/>
      <c r="B40" s="42" t="s">
        <v>386</v>
      </c>
      <c r="C40" s="38"/>
      <c r="D40" s="43">
        <v>42139</v>
      </c>
      <c r="E40" s="38"/>
      <c r="F40" s="38"/>
      <c r="G40" s="38"/>
      <c r="H40" s="38"/>
      <c r="I40" s="38"/>
      <c r="J40" s="38"/>
      <c r="K40" s="38"/>
      <c r="L40" s="38"/>
      <c r="M40" s="38"/>
      <c r="N40" s="38"/>
      <c r="O40" s="38"/>
      <c r="P40" s="38"/>
      <c r="Q40" s="38"/>
      <c r="R40" s="38"/>
      <c r="S40" s="38"/>
      <c r="T40" s="38"/>
      <c r="U40" s="38"/>
      <c r="V40" s="38"/>
      <c r="W40" s="38"/>
      <c r="X40" s="38"/>
      <c r="Y40" s="38"/>
      <c r="Z40" s="38"/>
      <c r="AA40" s="38"/>
      <c r="AB40" s="38"/>
    </row>
    <row r="41" spans="1:28" ht="22.5" customHeight="1">
      <c r="A41" s="38"/>
      <c r="B41" s="188" t="s">
        <v>408</v>
      </c>
      <c r="C41" s="188"/>
      <c r="D41" s="188"/>
      <c r="E41" s="188"/>
      <c r="F41" s="188"/>
      <c r="G41" s="188"/>
      <c r="H41" s="188"/>
      <c r="I41" s="188"/>
      <c r="J41" s="188"/>
      <c r="K41" s="188"/>
      <c r="L41" s="38"/>
      <c r="M41" s="38"/>
      <c r="N41" s="38"/>
      <c r="O41" s="38"/>
      <c r="P41" s="38"/>
      <c r="Q41" s="38"/>
      <c r="R41" s="38"/>
      <c r="S41" s="38"/>
      <c r="T41" s="38"/>
      <c r="U41" s="38"/>
      <c r="V41" s="38"/>
      <c r="W41" s="38"/>
      <c r="X41" s="38"/>
      <c r="Y41" s="38"/>
      <c r="Z41" s="38"/>
      <c r="AA41" s="38"/>
      <c r="AB41" s="38"/>
    </row>
    <row r="42" spans="1:28" ht="34.5" customHeight="1">
      <c r="A42" s="38"/>
      <c r="B42" s="198" t="s">
        <v>409</v>
      </c>
      <c r="C42" s="198"/>
      <c r="D42" s="198"/>
      <c r="E42" s="198"/>
      <c r="F42" s="198"/>
      <c r="G42" s="198"/>
      <c r="H42" s="198"/>
      <c r="I42" s="198"/>
      <c r="J42" s="198"/>
      <c r="K42" s="198"/>
      <c r="L42" s="38"/>
      <c r="M42" s="38"/>
      <c r="N42" s="38"/>
      <c r="O42" s="38"/>
      <c r="P42" s="38"/>
      <c r="Q42" s="38"/>
      <c r="R42" s="38"/>
      <c r="S42" s="38"/>
      <c r="T42" s="38"/>
      <c r="U42" s="38"/>
      <c r="V42" s="38"/>
      <c r="W42" s="38"/>
      <c r="X42" s="38"/>
      <c r="Y42" s="38"/>
      <c r="Z42" s="38"/>
      <c r="AA42" s="38"/>
      <c r="AB42" s="38"/>
    </row>
    <row r="43" spans="1:28" ht="22.5" customHeight="1">
      <c r="A43" s="38"/>
      <c r="B43" s="198" t="s">
        <v>410</v>
      </c>
      <c r="C43" s="198"/>
      <c r="D43" s="198"/>
      <c r="E43" s="198"/>
      <c r="F43" s="198"/>
      <c r="G43" s="198"/>
      <c r="H43" s="198"/>
      <c r="I43" s="198"/>
      <c r="J43" s="198"/>
      <c r="K43" s="198"/>
      <c r="L43" s="38"/>
      <c r="M43" s="38"/>
      <c r="N43" s="38"/>
      <c r="O43" s="38"/>
      <c r="P43" s="38"/>
      <c r="Q43" s="38"/>
      <c r="R43" s="38"/>
      <c r="S43" s="38"/>
      <c r="T43" s="38"/>
      <c r="U43" s="38"/>
      <c r="V43" s="38"/>
      <c r="W43" s="38"/>
      <c r="X43" s="38"/>
      <c r="Y43" s="38"/>
      <c r="Z43" s="38"/>
      <c r="AA43" s="38"/>
      <c r="AB43" s="38"/>
    </row>
    <row r="44" spans="1:28" ht="34.5" customHeight="1">
      <c r="A44" s="38"/>
      <c r="B44" s="198" t="s">
        <v>411</v>
      </c>
      <c r="C44" s="198"/>
      <c r="D44" s="198"/>
      <c r="E44" s="198"/>
      <c r="F44" s="198"/>
      <c r="G44" s="198"/>
      <c r="H44" s="198"/>
      <c r="I44" s="198"/>
      <c r="J44" s="198"/>
      <c r="K44" s="198"/>
      <c r="L44" s="38"/>
      <c r="M44" s="38"/>
      <c r="N44" s="38"/>
      <c r="O44" s="38"/>
      <c r="P44" s="38"/>
      <c r="Q44" s="38"/>
      <c r="R44" s="38"/>
      <c r="S44" s="38"/>
      <c r="T44" s="38"/>
      <c r="U44" s="38"/>
      <c r="V44" s="38"/>
      <c r="W44" s="38"/>
      <c r="X44" s="38"/>
      <c r="Y44" s="38"/>
      <c r="Z44" s="38"/>
      <c r="AA44" s="38"/>
      <c r="AB44" s="38"/>
    </row>
    <row r="45" spans="1:28">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c r="AA45" s="38"/>
      <c r="AB45" s="38"/>
    </row>
    <row r="46" spans="1:28" ht="15">
      <c r="A46" s="38"/>
      <c r="B46" s="42" t="s">
        <v>386</v>
      </c>
      <c r="C46" s="38"/>
      <c r="D46" s="43">
        <v>42229</v>
      </c>
      <c r="E46" s="38"/>
      <c r="F46" s="38"/>
      <c r="G46" s="38"/>
      <c r="H46" s="38"/>
      <c r="I46" s="38"/>
      <c r="J46" s="38"/>
      <c r="K46" s="38"/>
      <c r="L46" s="38"/>
      <c r="M46" s="38"/>
      <c r="N46" s="38"/>
      <c r="O46" s="38"/>
      <c r="P46" s="38"/>
      <c r="Q46" s="38"/>
      <c r="R46" s="38"/>
      <c r="S46" s="38"/>
      <c r="T46" s="38"/>
      <c r="U46" s="38"/>
      <c r="V46" s="38"/>
      <c r="W46" s="38"/>
      <c r="X46" s="38"/>
      <c r="Y46" s="38"/>
      <c r="Z46" s="38"/>
      <c r="AA46" s="38"/>
      <c r="AB46" s="38"/>
    </row>
    <row r="47" spans="1:28" s="38" customFormat="1" ht="31.5" customHeight="1">
      <c r="A47" s="46"/>
      <c r="B47" s="192" t="s">
        <v>412</v>
      </c>
      <c r="C47" s="192"/>
      <c r="D47" s="192"/>
      <c r="E47" s="192"/>
      <c r="F47" s="192"/>
      <c r="G47" s="192"/>
      <c r="H47" s="192"/>
      <c r="I47" s="192"/>
      <c r="J47" s="192"/>
      <c r="K47" s="192"/>
    </row>
    <row r="48" spans="1:28" s="38" customFormat="1" ht="43.5" customHeight="1">
      <c r="B48" s="198" t="s">
        <v>413</v>
      </c>
      <c r="C48" s="198"/>
      <c r="D48" s="198"/>
      <c r="E48" s="198"/>
      <c r="F48" s="198"/>
      <c r="G48" s="198"/>
      <c r="H48" s="198"/>
      <c r="I48" s="198"/>
      <c r="J48" s="198"/>
      <c r="K48" s="198"/>
    </row>
    <row r="49" spans="2:11" s="38" customFormat="1" ht="39.75" customHeight="1">
      <c r="B49" s="198" t="s">
        <v>414</v>
      </c>
      <c r="C49" s="198"/>
      <c r="D49" s="198"/>
      <c r="E49" s="198"/>
      <c r="F49" s="198"/>
      <c r="G49" s="198"/>
      <c r="H49" s="198"/>
      <c r="I49" s="198"/>
      <c r="J49" s="198"/>
      <c r="K49" s="198"/>
    </row>
    <row r="50" spans="2:11" s="38" customFormat="1" ht="29.25" customHeight="1">
      <c r="B50" s="198" t="s">
        <v>415</v>
      </c>
      <c r="C50" s="198"/>
      <c r="D50" s="198"/>
      <c r="E50" s="198"/>
      <c r="F50" s="198"/>
      <c r="G50" s="198"/>
      <c r="H50" s="198"/>
      <c r="I50" s="198"/>
      <c r="J50" s="198"/>
      <c r="K50" s="198"/>
    </row>
    <row r="51" spans="2:11" s="38" customFormat="1" ht="27" customHeight="1">
      <c r="B51" s="198" t="s">
        <v>416</v>
      </c>
      <c r="C51" s="198"/>
      <c r="D51" s="198"/>
      <c r="E51" s="198"/>
      <c r="F51" s="198"/>
      <c r="G51" s="198"/>
      <c r="H51" s="198"/>
      <c r="I51" s="198"/>
      <c r="J51" s="198"/>
      <c r="K51" s="198"/>
    </row>
    <row r="52" spans="2:11" s="38" customFormat="1"/>
    <row r="53" spans="2:11" s="38" customFormat="1" ht="15">
      <c r="B53" s="42" t="s">
        <v>386</v>
      </c>
      <c r="D53" s="43">
        <v>42300</v>
      </c>
    </row>
    <row r="54" spans="2:11" s="38" customFormat="1" ht="31.5" customHeight="1">
      <c r="B54" s="198" t="s">
        <v>417</v>
      </c>
      <c r="C54" s="198"/>
      <c r="D54" s="198"/>
      <c r="E54" s="198"/>
      <c r="F54" s="198"/>
      <c r="G54" s="198"/>
      <c r="H54" s="198"/>
      <c r="I54" s="198"/>
      <c r="J54" s="198"/>
      <c r="K54" s="198"/>
    </row>
    <row r="55" spans="2:11" s="38" customFormat="1"/>
    <row r="56" spans="2:11" s="38" customFormat="1" ht="15">
      <c r="B56" s="42" t="s">
        <v>386</v>
      </c>
      <c r="D56" s="43">
        <v>42432</v>
      </c>
    </row>
    <row r="57" spans="2:11" s="38" customFormat="1" ht="30.75" customHeight="1">
      <c r="B57" s="188" t="s">
        <v>418</v>
      </c>
      <c r="C57" s="188"/>
      <c r="D57" s="188"/>
      <c r="E57" s="188"/>
      <c r="F57" s="188"/>
      <c r="G57" s="188"/>
      <c r="H57" s="188"/>
      <c r="I57" s="188"/>
      <c r="J57" s="188"/>
      <c r="K57" s="188"/>
    </row>
    <row r="58" spans="2:11" s="38" customFormat="1" ht="31.5" customHeight="1">
      <c r="B58" s="198" t="s">
        <v>417</v>
      </c>
      <c r="C58" s="198"/>
      <c r="D58" s="198"/>
      <c r="E58" s="198"/>
      <c r="F58" s="198"/>
      <c r="G58" s="198"/>
      <c r="H58" s="198"/>
      <c r="I58" s="198"/>
      <c r="J58" s="198"/>
      <c r="K58" s="198"/>
    </row>
    <row r="59" spans="2:11" s="38" customFormat="1"/>
    <row r="60" spans="2:11" s="38" customFormat="1" ht="15">
      <c r="B60" s="42" t="s">
        <v>386</v>
      </c>
      <c r="D60" s="43">
        <v>42475</v>
      </c>
    </row>
    <row r="61" spans="2:11" s="38" customFormat="1" ht="30" customHeight="1">
      <c r="B61" s="188" t="s">
        <v>418</v>
      </c>
      <c r="C61" s="188"/>
      <c r="D61" s="188"/>
      <c r="E61" s="188"/>
      <c r="F61" s="188"/>
      <c r="G61" s="188"/>
      <c r="H61" s="188"/>
      <c r="I61" s="188"/>
      <c r="J61" s="188"/>
      <c r="K61" s="188"/>
    </row>
    <row r="62" spans="2:11" s="38" customFormat="1" ht="29.25" customHeight="1">
      <c r="B62" s="198" t="s">
        <v>417</v>
      </c>
      <c r="C62" s="198"/>
      <c r="D62" s="198"/>
      <c r="E62" s="198"/>
      <c r="F62" s="198"/>
      <c r="G62" s="198"/>
      <c r="H62" s="198"/>
      <c r="I62" s="198"/>
      <c r="J62" s="198"/>
      <c r="K62" s="198"/>
    </row>
    <row r="63" spans="2:11" s="38" customFormat="1"/>
    <row r="64" spans="2:11" s="38" customFormat="1" ht="15">
      <c r="B64" s="42" t="s">
        <v>386</v>
      </c>
      <c r="D64" s="43">
        <v>42593</v>
      </c>
    </row>
    <row r="65" spans="1:28" s="38" customFormat="1">
      <c r="B65" s="188" t="s">
        <v>419</v>
      </c>
      <c r="C65" s="188"/>
      <c r="D65" s="188"/>
      <c r="E65" s="188"/>
      <c r="F65" s="188"/>
      <c r="G65" s="188"/>
      <c r="H65" s="188"/>
      <c r="I65" s="188"/>
      <c r="J65" s="188"/>
      <c r="K65" s="188"/>
    </row>
    <row r="66" spans="1:28" s="38" customFormat="1">
      <c r="B66" s="188" t="s">
        <v>420</v>
      </c>
      <c r="C66" s="188"/>
      <c r="D66" s="188"/>
      <c r="E66" s="188"/>
      <c r="F66" s="188"/>
      <c r="G66" s="188"/>
      <c r="H66" s="188"/>
      <c r="I66" s="188"/>
      <c r="J66" s="188"/>
      <c r="K66" s="188"/>
    </row>
    <row r="67" spans="1:28" s="38" customFormat="1"/>
    <row r="68" spans="1:28" s="38" customFormat="1" ht="15">
      <c r="B68" s="42" t="s">
        <v>386</v>
      </c>
      <c r="D68" s="43">
        <v>42692</v>
      </c>
    </row>
    <row r="69" spans="1:28" s="10" customFormat="1" ht="15">
      <c r="A69" s="21"/>
      <c r="B69" s="188" t="s">
        <v>421</v>
      </c>
      <c r="C69" s="188"/>
      <c r="D69" s="188"/>
      <c r="E69" s="188"/>
      <c r="F69" s="188"/>
      <c r="G69" s="188"/>
      <c r="H69" s="188"/>
      <c r="I69" s="188"/>
      <c r="J69" s="188"/>
      <c r="K69" s="188"/>
      <c r="L69" s="21"/>
      <c r="M69" s="21"/>
      <c r="N69" s="21"/>
      <c r="O69" s="21"/>
      <c r="P69" s="21"/>
      <c r="Q69" s="21"/>
      <c r="R69" s="21"/>
      <c r="S69" s="21"/>
      <c r="T69" s="21"/>
      <c r="U69" s="21"/>
      <c r="V69" s="21"/>
      <c r="W69" s="21"/>
      <c r="X69" s="21"/>
      <c r="Y69" s="21"/>
      <c r="Z69" s="21"/>
      <c r="AA69" s="21"/>
      <c r="AB69" s="21"/>
    </row>
    <row r="70" spans="1:28" s="38" customFormat="1">
      <c r="B70" s="188"/>
      <c r="C70" s="188"/>
      <c r="D70" s="188"/>
      <c r="E70" s="188"/>
      <c r="F70" s="188"/>
      <c r="G70" s="188"/>
      <c r="H70" s="188"/>
      <c r="I70" s="188"/>
      <c r="J70" s="188"/>
      <c r="K70" s="188"/>
    </row>
    <row r="71" spans="1:28" s="38" customFormat="1" ht="15">
      <c r="B71" s="42" t="s">
        <v>386</v>
      </c>
      <c r="D71" s="43">
        <v>42793</v>
      </c>
    </row>
    <row r="72" spans="1:28" s="38" customFormat="1" ht="24" customHeight="1">
      <c r="B72" s="192" t="s">
        <v>422</v>
      </c>
      <c r="C72" s="192"/>
      <c r="D72" s="192"/>
      <c r="E72" s="192"/>
      <c r="F72" s="192"/>
      <c r="G72" s="192"/>
      <c r="H72" s="192"/>
      <c r="I72" s="192"/>
      <c r="J72" s="192"/>
    </row>
    <row r="73" spans="1:28" s="38" customFormat="1"/>
    <row r="74" spans="1:28" s="38" customFormat="1" ht="15">
      <c r="B74" s="42" t="s">
        <v>386</v>
      </c>
      <c r="D74" s="43">
        <v>42891</v>
      </c>
    </row>
    <row r="75" spans="1:28" s="38" customFormat="1" ht="31.15" customHeight="1">
      <c r="B75" s="192" t="s">
        <v>423</v>
      </c>
      <c r="C75" s="192"/>
      <c r="D75" s="192"/>
      <c r="E75" s="192"/>
      <c r="F75" s="192"/>
      <c r="G75" s="192"/>
      <c r="H75" s="192"/>
      <c r="I75" s="192"/>
      <c r="J75" s="192"/>
    </row>
    <row r="76" spans="1:28" s="38" customFormat="1" ht="29.45" customHeight="1">
      <c r="B76" s="192" t="s">
        <v>424</v>
      </c>
      <c r="C76" s="192"/>
      <c r="D76" s="192"/>
      <c r="E76" s="192"/>
      <c r="F76" s="192"/>
      <c r="G76" s="192"/>
      <c r="H76" s="192"/>
      <c r="I76" s="192"/>
      <c r="J76" s="192"/>
    </row>
    <row r="77" spans="1:28" s="10" customFormat="1" ht="40.9" customHeight="1">
      <c r="A77" s="21"/>
      <c r="B77" s="197" t="s">
        <v>374</v>
      </c>
      <c r="C77" s="197"/>
      <c r="D77" s="197"/>
      <c r="E77" s="197"/>
      <c r="F77" s="197"/>
      <c r="G77" s="197"/>
      <c r="H77" s="197"/>
      <c r="I77" s="197"/>
      <c r="J77" s="197"/>
      <c r="K77" s="28"/>
      <c r="L77" s="21"/>
      <c r="M77" s="21"/>
      <c r="N77" s="21"/>
      <c r="O77" s="21"/>
      <c r="P77" s="21"/>
      <c r="Q77" s="21"/>
      <c r="R77" s="21"/>
      <c r="S77" s="21"/>
      <c r="T77" s="21"/>
      <c r="U77" s="21"/>
      <c r="V77" s="21"/>
      <c r="W77" s="21"/>
      <c r="X77" s="21"/>
      <c r="Y77" s="21"/>
      <c r="Z77" s="21"/>
      <c r="AA77" s="21"/>
      <c r="AB77" s="21"/>
    </row>
    <row r="78" spans="1:28" s="38" customFormat="1" ht="31.15" customHeight="1">
      <c r="B78" s="192" t="s">
        <v>425</v>
      </c>
      <c r="C78" s="192"/>
      <c r="D78" s="192"/>
      <c r="E78" s="192"/>
      <c r="F78" s="192"/>
      <c r="G78" s="192"/>
      <c r="H78" s="192"/>
      <c r="I78" s="192"/>
      <c r="J78" s="192"/>
    </row>
    <row r="79" spans="1:28" s="38" customFormat="1" ht="21" customHeight="1">
      <c r="B79" s="192" t="s">
        <v>426</v>
      </c>
      <c r="C79" s="192"/>
      <c r="D79" s="192"/>
      <c r="E79" s="192"/>
      <c r="F79" s="192"/>
      <c r="G79" s="192"/>
      <c r="H79" s="192"/>
      <c r="I79" s="192"/>
      <c r="J79" s="192"/>
    </row>
    <row r="80" spans="1:28" s="38" customFormat="1"/>
    <row r="81" spans="2:13" s="38" customFormat="1" ht="15">
      <c r="B81" s="42" t="s">
        <v>386</v>
      </c>
      <c r="D81" s="43">
        <v>43091</v>
      </c>
    </row>
    <row r="82" spans="2:13" s="38" customFormat="1" ht="26.1" customHeight="1">
      <c r="B82" s="192" t="s">
        <v>427</v>
      </c>
      <c r="C82" s="192"/>
      <c r="D82" s="192"/>
      <c r="E82" s="192"/>
      <c r="F82" s="192"/>
      <c r="G82" s="192"/>
      <c r="H82" s="192"/>
      <c r="I82" s="192"/>
    </row>
    <row r="83" spans="2:13" s="38" customFormat="1" ht="26.1" customHeight="1">
      <c r="B83" s="192" t="s">
        <v>428</v>
      </c>
      <c r="C83" s="192"/>
      <c r="D83" s="192"/>
      <c r="E83" s="192"/>
      <c r="F83" s="192"/>
      <c r="G83" s="192"/>
      <c r="H83" s="192"/>
      <c r="I83" s="192"/>
      <c r="J83" s="192"/>
    </row>
    <row r="84" spans="2:13" s="38" customFormat="1" ht="15" customHeight="1">
      <c r="B84" s="195" t="s">
        <v>429</v>
      </c>
      <c r="C84" s="195"/>
      <c r="D84" s="195"/>
      <c r="E84" s="195"/>
      <c r="F84" s="195"/>
      <c r="G84" s="195"/>
      <c r="H84" s="195"/>
      <c r="I84" s="195"/>
      <c r="J84" s="195"/>
      <c r="K84" s="195"/>
      <c r="L84" s="195"/>
    </row>
    <row r="85" spans="2:13" s="38" customFormat="1" ht="24.75" customHeight="1">
      <c r="B85" s="192" t="s">
        <v>430</v>
      </c>
      <c r="C85" s="192"/>
      <c r="D85" s="192"/>
      <c r="E85" s="192"/>
      <c r="F85" s="192"/>
      <c r="G85" s="192"/>
      <c r="H85" s="192"/>
      <c r="I85" s="192"/>
      <c r="J85" s="192"/>
    </row>
    <row r="86" spans="2:13" s="38" customFormat="1" ht="16.5" customHeight="1">
      <c r="B86" s="188" t="s">
        <v>431</v>
      </c>
      <c r="C86" s="188"/>
      <c r="D86" s="188"/>
      <c r="E86" s="188"/>
      <c r="F86" s="188"/>
      <c r="G86" s="188"/>
      <c r="H86" s="188"/>
      <c r="I86" s="188"/>
      <c r="J86" s="188"/>
      <c r="K86" s="188"/>
    </row>
    <row r="87" spans="2:13" s="38" customFormat="1" ht="26.1" customHeight="1">
      <c r="B87" s="188" t="s">
        <v>618</v>
      </c>
      <c r="C87" s="188"/>
      <c r="D87" s="188"/>
      <c r="E87" s="188"/>
      <c r="F87" s="188"/>
      <c r="G87" s="188"/>
      <c r="H87" s="188"/>
      <c r="I87" s="188"/>
      <c r="J87" s="188"/>
      <c r="K87" s="188"/>
    </row>
    <row r="88" spans="2:13" s="38" customFormat="1" ht="26.1" customHeight="1">
      <c r="B88" s="188" t="s">
        <v>619</v>
      </c>
      <c r="C88" s="188"/>
      <c r="D88" s="188"/>
      <c r="E88" s="188"/>
      <c r="F88" s="188"/>
      <c r="G88" s="188"/>
      <c r="H88" s="188"/>
      <c r="I88" s="188"/>
      <c r="J88" s="188"/>
      <c r="K88" s="188"/>
    </row>
    <row r="89" spans="2:13" s="38" customFormat="1" ht="26.1" customHeight="1">
      <c r="B89" s="188" t="s">
        <v>432</v>
      </c>
      <c r="C89" s="188"/>
      <c r="D89" s="188"/>
      <c r="E89" s="188"/>
      <c r="F89" s="188"/>
      <c r="G89" s="188"/>
      <c r="H89" s="188"/>
      <c r="I89" s="188"/>
      <c r="J89" s="188"/>
      <c r="K89" s="188"/>
    </row>
    <row r="90" spans="2:13" s="38" customFormat="1"/>
    <row r="91" spans="2:13" s="38" customFormat="1" ht="15">
      <c r="B91" s="83" t="s">
        <v>386</v>
      </c>
      <c r="C91" s="82"/>
      <c r="D91" s="84">
        <v>43175</v>
      </c>
      <c r="E91" s="82"/>
      <c r="F91" s="82"/>
      <c r="G91" s="82"/>
      <c r="H91" s="82"/>
      <c r="I91" s="82"/>
      <c r="J91" s="82"/>
      <c r="K91" s="82"/>
    </row>
    <row r="92" spans="2:13" s="38" customFormat="1">
      <c r="B92" s="196" t="s">
        <v>372</v>
      </c>
      <c r="C92" s="196"/>
      <c r="D92" s="196"/>
      <c r="E92" s="196"/>
      <c r="F92" s="196"/>
      <c r="G92" s="196"/>
      <c r="H92" s="196"/>
      <c r="I92" s="196"/>
      <c r="J92" s="196"/>
      <c r="K92" s="196"/>
    </row>
    <row r="93" spans="2:13" s="38" customFormat="1"/>
    <row r="94" spans="2:13" s="38" customFormat="1" ht="21.75" customHeight="1">
      <c r="B94" s="42" t="s">
        <v>386</v>
      </c>
      <c r="C94" s="47"/>
      <c r="D94" s="48">
        <v>43312</v>
      </c>
    </row>
    <row r="95" spans="2:13" s="38" customFormat="1" ht="24.95" customHeight="1">
      <c r="B95" s="194" t="s">
        <v>461</v>
      </c>
      <c r="C95" s="194"/>
      <c r="D95" s="194"/>
      <c r="E95" s="194"/>
      <c r="F95" s="194"/>
      <c r="G95" s="194"/>
      <c r="H95" s="194"/>
      <c r="I95" s="194"/>
      <c r="J95" s="194"/>
      <c r="K95" s="194"/>
      <c r="L95" s="194"/>
      <c r="M95" s="88"/>
    </row>
    <row r="96" spans="2:13" s="38" customFormat="1" ht="27" customHeight="1">
      <c r="B96" s="194" t="s">
        <v>558</v>
      </c>
      <c r="C96" s="194"/>
      <c r="D96" s="194"/>
      <c r="E96" s="194"/>
      <c r="F96" s="194"/>
      <c r="G96" s="194"/>
      <c r="H96" s="194"/>
      <c r="I96" s="194"/>
      <c r="J96" s="194"/>
      <c r="K96" s="194"/>
      <c r="L96" s="194"/>
    </row>
    <row r="97" spans="2:12" s="38" customFormat="1" ht="24.95" customHeight="1">
      <c r="B97" s="194" t="s">
        <v>370</v>
      </c>
      <c r="C97" s="194"/>
      <c r="D97" s="194"/>
      <c r="E97" s="194"/>
      <c r="F97" s="194"/>
      <c r="G97" s="194"/>
      <c r="H97" s="194"/>
      <c r="I97" s="194"/>
      <c r="J97" s="194"/>
      <c r="K97" s="194"/>
      <c r="L97" s="194"/>
    </row>
    <row r="98" spans="2:12" s="38" customFormat="1" ht="24.95" customHeight="1">
      <c r="B98" s="194" t="s">
        <v>462</v>
      </c>
      <c r="C98" s="194"/>
      <c r="D98" s="194"/>
      <c r="E98" s="194"/>
      <c r="F98" s="194"/>
      <c r="G98" s="194"/>
      <c r="H98" s="194"/>
      <c r="I98" s="194"/>
      <c r="J98" s="194"/>
      <c r="K98" s="194"/>
      <c r="L98" s="194"/>
    </row>
    <row r="99" spans="2:12" s="38" customFormat="1" ht="24.95" customHeight="1">
      <c r="B99" s="194" t="s">
        <v>620</v>
      </c>
      <c r="C99" s="194"/>
      <c r="D99" s="194"/>
      <c r="E99" s="194"/>
      <c r="F99" s="194"/>
      <c r="G99" s="194"/>
      <c r="H99" s="194"/>
      <c r="I99" s="194"/>
      <c r="J99" s="194"/>
      <c r="K99" s="194"/>
      <c r="L99" s="194"/>
    </row>
    <row r="100" spans="2:12" s="38" customFormat="1" ht="25.5" customHeight="1">
      <c r="B100" s="194" t="s">
        <v>463</v>
      </c>
      <c r="C100" s="194"/>
      <c r="D100" s="194"/>
      <c r="E100" s="194"/>
      <c r="F100" s="194"/>
      <c r="G100" s="194"/>
      <c r="H100" s="194"/>
      <c r="I100" s="194"/>
      <c r="J100" s="194"/>
      <c r="K100" s="194"/>
      <c r="L100" s="194"/>
    </row>
    <row r="101" spans="2:12" s="38" customFormat="1" ht="16.5" customHeight="1">
      <c r="B101" s="194" t="s">
        <v>559</v>
      </c>
      <c r="C101" s="194"/>
      <c r="D101" s="194"/>
      <c r="E101" s="194"/>
      <c r="F101" s="194"/>
      <c r="G101" s="194"/>
      <c r="H101" s="194"/>
      <c r="I101" s="194"/>
      <c r="J101" s="194"/>
      <c r="K101" s="194"/>
      <c r="L101" s="194"/>
    </row>
    <row r="102" spans="2:12" s="38" customFormat="1" ht="15" customHeight="1">
      <c r="B102" s="194" t="s">
        <v>464</v>
      </c>
      <c r="C102" s="194"/>
      <c r="D102" s="194"/>
      <c r="E102" s="194"/>
      <c r="F102" s="194"/>
      <c r="G102" s="194"/>
      <c r="H102" s="194"/>
      <c r="I102" s="194"/>
      <c r="J102" s="194"/>
      <c r="K102" s="194"/>
      <c r="L102" s="194"/>
    </row>
    <row r="103" spans="2:12" s="38" customFormat="1" ht="15" customHeight="1">
      <c r="B103" s="194" t="s">
        <v>371</v>
      </c>
      <c r="C103" s="194"/>
      <c r="D103" s="194"/>
      <c r="E103" s="194"/>
      <c r="F103" s="194"/>
      <c r="G103" s="194"/>
      <c r="H103" s="194"/>
      <c r="I103" s="194"/>
      <c r="J103" s="194"/>
      <c r="K103" s="194"/>
      <c r="L103" s="194"/>
    </row>
    <row r="104" spans="2:12" s="38" customFormat="1" ht="15" customHeight="1">
      <c r="B104" s="194" t="s">
        <v>465</v>
      </c>
      <c r="C104" s="194"/>
      <c r="D104" s="194"/>
      <c r="E104" s="194"/>
      <c r="F104" s="194"/>
      <c r="G104" s="194"/>
      <c r="H104" s="194"/>
      <c r="I104" s="194"/>
      <c r="J104" s="194"/>
      <c r="K104" s="194"/>
      <c r="L104" s="194"/>
    </row>
    <row r="105" spans="2:12" s="38" customFormat="1" ht="15" customHeight="1">
      <c r="B105" s="194" t="s">
        <v>466</v>
      </c>
      <c r="C105" s="194"/>
      <c r="D105" s="194"/>
      <c r="E105" s="194"/>
      <c r="F105" s="194"/>
      <c r="G105" s="194"/>
      <c r="H105" s="194"/>
      <c r="I105" s="194"/>
      <c r="J105" s="194"/>
      <c r="K105" s="194"/>
      <c r="L105" s="194"/>
    </row>
    <row r="106" spans="2:12" s="38" customFormat="1" ht="15" customHeight="1">
      <c r="B106" s="146"/>
      <c r="C106" s="146"/>
      <c r="D106" s="146"/>
      <c r="E106" s="146"/>
      <c r="F106" s="146"/>
      <c r="G106" s="146"/>
      <c r="H106" s="146"/>
      <c r="I106" s="146"/>
      <c r="J106" s="146"/>
      <c r="K106" s="146"/>
      <c r="L106" s="146"/>
    </row>
    <row r="107" spans="2:12" s="38" customFormat="1" ht="21.75" customHeight="1">
      <c r="B107" s="42" t="s">
        <v>386</v>
      </c>
      <c r="C107" s="47"/>
      <c r="D107" s="48">
        <v>43404</v>
      </c>
    </row>
    <row r="108" spans="2:12" s="145" customFormat="1" ht="27" customHeight="1">
      <c r="B108" s="193" t="s">
        <v>644</v>
      </c>
      <c r="C108" s="193"/>
      <c r="D108" s="193"/>
      <c r="E108" s="193"/>
      <c r="F108" s="193"/>
      <c r="G108" s="193"/>
      <c r="H108" s="193"/>
      <c r="I108" s="193"/>
      <c r="J108" s="193"/>
      <c r="K108" s="193"/>
    </row>
    <row r="109" spans="2:12" s="151" customFormat="1" ht="27" customHeight="1">
      <c r="B109" s="153" t="s">
        <v>658</v>
      </c>
      <c r="C109" s="152"/>
      <c r="D109" s="152"/>
      <c r="E109" s="152"/>
      <c r="F109" s="152"/>
      <c r="G109" s="152"/>
      <c r="H109" s="152"/>
      <c r="I109" s="152"/>
      <c r="J109" s="152"/>
      <c r="K109" s="152"/>
    </row>
    <row r="110" spans="2:12" s="151" customFormat="1" ht="27" customHeight="1">
      <c r="B110" s="153" t="s">
        <v>662</v>
      </c>
      <c r="C110" s="152"/>
      <c r="D110" s="152"/>
      <c r="E110" s="152"/>
      <c r="F110" s="152"/>
      <c r="G110" s="152"/>
      <c r="H110" s="152"/>
      <c r="I110" s="152"/>
      <c r="J110" s="152"/>
      <c r="K110" s="152"/>
    </row>
    <row r="111" spans="2:12" s="38" customFormat="1">
      <c r="B111" s="153" t="s">
        <v>667</v>
      </c>
    </row>
    <row r="112" spans="2:12" s="38" customFormat="1">
      <c r="B112" s="159" t="s">
        <v>668</v>
      </c>
    </row>
    <row r="113" spans="1:28" s="38" customFormat="1">
      <c r="B113" s="159" t="s">
        <v>669</v>
      </c>
    </row>
    <row r="114" spans="1:28" s="38" customFormat="1">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c r="AA114" s="49"/>
      <c r="AB114" s="49"/>
    </row>
    <row r="115" spans="1:28" s="38" customFormat="1" ht="15">
      <c r="A115" s="49"/>
      <c r="B115" s="42" t="s">
        <v>386</v>
      </c>
      <c r="C115" s="49"/>
      <c r="D115" s="48">
        <v>43486</v>
      </c>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row>
    <row r="116" spans="1:28" s="38" customFormat="1">
      <c r="A116" s="49"/>
      <c r="B116" s="159" t="s">
        <v>682</v>
      </c>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c r="AA116" s="49"/>
      <c r="AB116" s="49"/>
    </row>
    <row r="117" spans="1:28" s="38" customFormat="1">
      <c r="A117" s="49"/>
      <c r="B117" s="159" t="s">
        <v>695</v>
      </c>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c r="AA117" s="49"/>
      <c r="AB117" s="49"/>
    </row>
    <row r="118" spans="1:28" s="38" customFormat="1">
      <c r="A118" s="82"/>
      <c r="B118" s="159" t="s">
        <v>703</v>
      </c>
      <c r="C118" s="82"/>
      <c r="D118" s="82"/>
      <c r="E118" s="82"/>
      <c r="F118" s="82"/>
      <c r="G118" s="82"/>
      <c r="H118" s="82"/>
      <c r="I118" s="82"/>
      <c r="J118" s="82"/>
      <c r="K118" s="82"/>
      <c r="L118" s="82"/>
      <c r="M118" s="82"/>
      <c r="N118" s="82"/>
      <c r="O118" s="82"/>
      <c r="P118" s="82"/>
      <c r="Q118" s="82"/>
      <c r="R118" s="82"/>
      <c r="S118" s="82"/>
      <c r="T118" s="82"/>
      <c r="U118" s="82"/>
      <c r="V118" s="82"/>
      <c r="W118" s="82"/>
      <c r="X118" s="82"/>
      <c r="Y118" s="82"/>
      <c r="Z118" s="82"/>
      <c r="AA118" s="82"/>
      <c r="AB118" s="82"/>
    </row>
    <row r="119" spans="1:28" s="38" customFormat="1" ht="21" customHeight="1">
      <c r="A119" s="82"/>
      <c r="B119" s="180" t="s">
        <v>714</v>
      </c>
      <c r="C119" s="41"/>
      <c r="D119" s="41"/>
      <c r="E119" s="41"/>
      <c r="F119" s="41"/>
      <c r="G119" s="41"/>
      <c r="H119" s="41"/>
      <c r="I119" s="41"/>
      <c r="J119" s="41"/>
      <c r="K119" s="41"/>
      <c r="L119" s="82"/>
      <c r="M119" s="82"/>
      <c r="N119" s="82"/>
      <c r="O119" s="82"/>
      <c r="P119" s="82"/>
      <c r="Q119" s="82"/>
      <c r="R119" s="82"/>
      <c r="S119" s="82"/>
      <c r="T119" s="82"/>
      <c r="U119" s="82"/>
      <c r="V119" s="82"/>
      <c r="W119" s="82"/>
      <c r="X119" s="82"/>
      <c r="Y119" s="82"/>
      <c r="Z119" s="82"/>
      <c r="AA119" s="82"/>
      <c r="AB119" s="82"/>
    </row>
    <row r="120" spans="1:28" s="38" customFormat="1" ht="25.5" customHeight="1">
      <c r="A120" s="82"/>
      <c r="B120" s="180" t="s">
        <v>712</v>
      </c>
      <c r="C120" s="41"/>
      <c r="D120" s="41"/>
      <c r="E120" s="41"/>
      <c r="F120" s="41"/>
      <c r="G120" s="41"/>
      <c r="H120" s="41"/>
      <c r="I120" s="41"/>
      <c r="J120" s="41"/>
      <c r="K120" s="41"/>
      <c r="L120" s="82"/>
      <c r="M120" s="82"/>
      <c r="N120" s="82"/>
      <c r="O120" s="82"/>
      <c r="P120" s="82"/>
      <c r="Q120" s="82"/>
      <c r="R120" s="82"/>
      <c r="S120" s="82"/>
      <c r="T120" s="82"/>
      <c r="U120" s="82"/>
      <c r="V120" s="82"/>
      <c r="W120" s="82"/>
      <c r="X120" s="82"/>
      <c r="Y120" s="82"/>
      <c r="Z120" s="82"/>
      <c r="AA120" s="82"/>
      <c r="AB120" s="82"/>
    </row>
    <row r="121" spans="1:28" s="38" customFormat="1">
      <c r="A121" s="82"/>
      <c r="B121" s="180" t="s">
        <v>721</v>
      </c>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c r="AA121" s="82"/>
      <c r="AB121" s="82"/>
    </row>
    <row r="122" spans="1:28" s="38" customFormat="1">
      <c r="A122" s="82"/>
      <c r="B122" s="180"/>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c r="AA122" s="82"/>
      <c r="AB122" s="82"/>
    </row>
    <row r="123" spans="1:28" s="38" customFormat="1" ht="15">
      <c r="A123" s="49"/>
      <c r="B123" s="147" t="s">
        <v>643</v>
      </c>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c r="AA123" s="49"/>
      <c r="AB123" s="49"/>
    </row>
    <row r="124" spans="1:28" s="38" customFormat="1">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c r="AA124" s="49"/>
      <c r="AB124" s="49"/>
    </row>
    <row r="125" spans="1:28" s="38" customFormat="1">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c r="AA125" s="49"/>
      <c r="AB125" s="49"/>
    </row>
    <row r="126" spans="1:28" s="38" customFormat="1">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c r="AA126" s="49"/>
      <c r="AB126" s="49"/>
    </row>
    <row r="127" spans="1:28" s="38" customFormat="1">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c r="AA127" s="49"/>
      <c r="AB127" s="49"/>
    </row>
    <row r="128" spans="1:28" s="38" customFormat="1">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c r="AA128" s="49"/>
      <c r="AB128" s="49"/>
    </row>
    <row r="129" spans="1:28" s="38" customFormat="1">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c r="AA129" s="49"/>
      <c r="AB129" s="49"/>
    </row>
    <row r="130" spans="1:28" s="38" customFormat="1">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c r="AA130" s="49"/>
      <c r="AB130" s="49"/>
    </row>
    <row r="131" spans="1:28" s="38" customFormat="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c r="AA131" s="49"/>
      <c r="AB131" s="49"/>
    </row>
    <row r="132" spans="1:28" s="38" customFormat="1">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c r="AB132" s="49"/>
    </row>
  </sheetData>
  <mergeCells count="68">
    <mergeCell ref="B29:K29"/>
    <mergeCell ref="B12:K12"/>
    <mergeCell ref="B13:K13"/>
    <mergeCell ref="B14:K14"/>
    <mergeCell ref="B17:K17"/>
    <mergeCell ref="B20:K20"/>
    <mergeCell ref="B21:K21"/>
    <mergeCell ref="B24:K24"/>
    <mergeCell ref="B25:K25"/>
    <mergeCell ref="B26:K26"/>
    <mergeCell ref="B27:K27"/>
    <mergeCell ref="B28:K28"/>
    <mergeCell ref="B11:K11"/>
    <mergeCell ref="B5:K5"/>
    <mergeCell ref="B6:K6"/>
    <mergeCell ref="B7:K7"/>
    <mergeCell ref="B9:K9"/>
    <mergeCell ref="B10:K10"/>
    <mergeCell ref="B49:K49"/>
    <mergeCell ref="B32:K32"/>
    <mergeCell ref="B33:K33"/>
    <mergeCell ref="B36:K36"/>
    <mergeCell ref="B37:K37"/>
    <mergeCell ref="B38:K38"/>
    <mergeCell ref="B41:K41"/>
    <mergeCell ref="B42:K42"/>
    <mergeCell ref="B43:K43"/>
    <mergeCell ref="B44:K44"/>
    <mergeCell ref="B47:K47"/>
    <mergeCell ref="B48:K48"/>
    <mergeCell ref="B72:J72"/>
    <mergeCell ref="B50:K50"/>
    <mergeCell ref="B51:K51"/>
    <mergeCell ref="B54:K54"/>
    <mergeCell ref="B57:K57"/>
    <mergeCell ref="B58:K58"/>
    <mergeCell ref="B61:K61"/>
    <mergeCell ref="B62:K62"/>
    <mergeCell ref="B65:K65"/>
    <mergeCell ref="B66:K66"/>
    <mergeCell ref="B69:K69"/>
    <mergeCell ref="B70:K70"/>
    <mergeCell ref="B82:I82"/>
    <mergeCell ref="B83:J83"/>
    <mergeCell ref="B85:J85"/>
    <mergeCell ref="B86:K86"/>
    <mergeCell ref="B87:K87"/>
    <mergeCell ref="B75:J75"/>
    <mergeCell ref="B76:J76"/>
    <mergeCell ref="B77:J77"/>
    <mergeCell ref="B78:J78"/>
    <mergeCell ref="B79:J79"/>
    <mergeCell ref="B108:K108"/>
    <mergeCell ref="B104:L104"/>
    <mergeCell ref="B105:L105"/>
    <mergeCell ref="B84:L84"/>
    <mergeCell ref="B98:L98"/>
    <mergeCell ref="B100:L100"/>
    <mergeCell ref="B101:L101"/>
    <mergeCell ref="B102:L102"/>
    <mergeCell ref="B103:L103"/>
    <mergeCell ref="B89:K89"/>
    <mergeCell ref="B92:K92"/>
    <mergeCell ref="B95:L95"/>
    <mergeCell ref="B96:L96"/>
    <mergeCell ref="B97:L97"/>
    <mergeCell ref="B88:K88"/>
    <mergeCell ref="B99:L99"/>
  </mergeCells>
  <pageMargins left="0.7" right="0.7" top="0.75" bottom="0.75" header="0.3" footer="0.3"/>
  <pageSetup paperSize="8"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3"/>
  <sheetViews>
    <sheetView zoomScale="115" zoomScaleNormal="115" workbookViewId="0"/>
  </sheetViews>
  <sheetFormatPr defaultColWidth="9.140625" defaultRowHeight="15"/>
  <cols>
    <col min="1" max="1" width="27.140625" style="21" bestFit="1" customWidth="1"/>
    <col min="2" max="2" width="81.140625" style="21" bestFit="1" customWidth="1"/>
    <col min="3" max="3" width="39.5703125" style="21" bestFit="1" customWidth="1"/>
    <col min="4" max="4" width="25.5703125" style="21" bestFit="1" customWidth="1"/>
    <col min="5" max="5" width="19.140625" style="21" bestFit="1" customWidth="1"/>
    <col min="6" max="6" width="15.140625" style="21" bestFit="1" customWidth="1"/>
    <col min="7" max="7" width="16.5703125" style="21" bestFit="1" customWidth="1"/>
    <col min="8" max="8" width="16.85546875" style="21" bestFit="1" customWidth="1"/>
    <col min="9" max="9" width="15.7109375" style="172" bestFit="1" customWidth="1"/>
    <col min="10" max="10" width="11" style="21" hidden="1" customWidth="1"/>
    <col min="11" max="11" width="26.85546875" style="21" hidden="1" customWidth="1"/>
    <col min="12" max="12" width="19.5703125" style="142" hidden="1" customWidth="1"/>
    <col min="13" max="13" width="19.5703125" style="119" customWidth="1"/>
    <col min="14" max="14" width="19.5703125" style="21" customWidth="1"/>
    <col min="15" max="16384" width="9.140625" style="21"/>
  </cols>
  <sheetData>
    <row r="1" spans="1:13" ht="20.25" thickBot="1">
      <c r="A1" s="25" t="s">
        <v>0</v>
      </c>
    </row>
    <row r="2" spans="1:13" ht="15.75" thickBot="1">
      <c r="A2" s="56" t="s">
        <v>1</v>
      </c>
      <c r="B2" s="56" t="s">
        <v>2</v>
      </c>
      <c r="C2" s="56" t="s">
        <v>631</v>
      </c>
      <c r="D2" s="56" t="s">
        <v>111</v>
      </c>
      <c r="E2" s="56" t="s">
        <v>3</v>
      </c>
      <c r="F2" s="56" t="s">
        <v>4</v>
      </c>
      <c r="G2" s="56" t="s">
        <v>5</v>
      </c>
      <c r="H2" s="56" t="s">
        <v>6</v>
      </c>
      <c r="I2" s="56" t="s">
        <v>709</v>
      </c>
      <c r="J2" s="1" t="s">
        <v>7</v>
      </c>
      <c r="K2" s="1" t="s">
        <v>203</v>
      </c>
      <c r="L2" s="1" t="s">
        <v>207</v>
      </c>
      <c r="M2" s="21"/>
    </row>
    <row r="3" spans="1:13" ht="15.75" thickBot="1">
      <c r="A3" s="100" t="s">
        <v>632</v>
      </c>
      <c r="B3" s="90" t="s">
        <v>11</v>
      </c>
      <c r="C3" s="101" t="s">
        <v>12</v>
      </c>
      <c r="D3" s="90">
        <v>240</v>
      </c>
      <c r="E3" s="101" t="s">
        <v>13</v>
      </c>
      <c r="F3" s="90" t="s">
        <v>14</v>
      </c>
      <c r="G3" s="101" t="s">
        <v>15</v>
      </c>
      <c r="H3" s="90" t="s">
        <v>10</v>
      </c>
      <c r="I3" s="90" t="s">
        <v>186</v>
      </c>
      <c r="J3" s="16" t="s">
        <v>16</v>
      </c>
      <c r="K3" s="12" t="s">
        <v>198</v>
      </c>
      <c r="L3" s="16" t="s">
        <v>14</v>
      </c>
      <c r="M3" s="21"/>
    </row>
    <row r="4" spans="1:13" ht="15.75" thickBot="1">
      <c r="A4" s="102" t="s">
        <v>17</v>
      </c>
      <c r="B4" s="94" t="s">
        <v>18</v>
      </c>
      <c r="C4" s="101" t="s">
        <v>19</v>
      </c>
      <c r="D4" s="90">
        <v>94</v>
      </c>
      <c r="E4" s="98" t="s">
        <v>20</v>
      </c>
      <c r="F4" s="94" t="s">
        <v>21</v>
      </c>
      <c r="G4" s="98" t="s">
        <v>9</v>
      </c>
      <c r="H4" s="94" t="s">
        <v>10</v>
      </c>
      <c r="I4" s="90" t="s">
        <v>186</v>
      </c>
      <c r="J4" s="15" t="s">
        <v>16</v>
      </c>
      <c r="K4" s="11" t="s">
        <v>198</v>
      </c>
      <c r="L4" s="15" t="s">
        <v>20</v>
      </c>
      <c r="M4" s="21"/>
    </row>
    <row r="5" spans="1:13" ht="15.75" thickBot="1">
      <c r="A5" s="102" t="s">
        <v>633</v>
      </c>
      <c r="B5" s="94" t="s">
        <v>22</v>
      </c>
      <c r="C5" s="101" t="s">
        <v>23</v>
      </c>
      <c r="D5" s="90">
        <v>106.6</v>
      </c>
      <c r="E5" s="98" t="s">
        <v>13</v>
      </c>
      <c r="F5" s="94" t="s">
        <v>14</v>
      </c>
      <c r="G5" s="98" t="s">
        <v>15</v>
      </c>
      <c r="H5" s="94" t="s">
        <v>10</v>
      </c>
      <c r="I5" s="90" t="s">
        <v>186</v>
      </c>
      <c r="J5" s="15" t="s">
        <v>16</v>
      </c>
      <c r="K5" s="11" t="s">
        <v>198</v>
      </c>
      <c r="L5" s="15" t="s">
        <v>14</v>
      </c>
      <c r="M5" s="21"/>
    </row>
    <row r="6" spans="1:13" ht="23.25" thickBot="1">
      <c r="A6" s="102" t="s">
        <v>29</v>
      </c>
      <c r="B6" s="94" t="s">
        <v>30</v>
      </c>
      <c r="C6" s="101" t="s">
        <v>31</v>
      </c>
      <c r="D6" s="90">
        <v>300</v>
      </c>
      <c r="E6" s="98" t="s">
        <v>25</v>
      </c>
      <c r="F6" s="94" t="s">
        <v>24</v>
      </c>
      <c r="G6" s="98" t="s">
        <v>9</v>
      </c>
      <c r="H6" s="94" t="s">
        <v>10</v>
      </c>
      <c r="I6" s="90" t="s">
        <v>186</v>
      </c>
      <c r="J6" s="15" t="s">
        <v>16</v>
      </c>
      <c r="K6" s="11" t="s">
        <v>198</v>
      </c>
      <c r="L6" s="15" t="s">
        <v>24</v>
      </c>
      <c r="M6" s="21"/>
    </row>
    <row r="7" spans="1:13" ht="15.75" thickBot="1">
      <c r="A7" s="102" t="s">
        <v>37</v>
      </c>
      <c r="B7" s="94" t="s">
        <v>30</v>
      </c>
      <c r="C7" s="101" t="s">
        <v>38</v>
      </c>
      <c r="D7" s="90">
        <v>185</v>
      </c>
      <c r="E7" s="98" t="s">
        <v>25</v>
      </c>
      <c r="F7" s="94" t="s">
        <v>24</v>
      </c>
      <c r="G7" s="98" t="s">
        <v>9</v>
      </c>
      <c r="H7" s="94" t="s">
        <v>10</v>
      </c>
      <c r="I7" s="90" t="s">
        <v>186</v>
      </c>
      <c r="J7" s="15" t="s">
        <v>16</v>
      </c>
      <c r="K7" s="11" t="s">
        <v>198</v>
      </c>
      <c r="L7" s="15" t="s">
        <v>24</v>
      </c>
      <c r="M7" s="21"/>
    </row>
    <row r="8" spans="1:13" ht="23.25" thickBot="1">
      <c r="A8" s="102" t="s">
        <v>39</v>
      </c>
      <c r="B8" s="94" t="s">
        <v>30</v>
      </c>
      <c r="C8" s="101" t="s">
        <v>674</v>
      </c>
      <c r="D8" s="90">
        <v>135</v>
      </c>
      <c r="E8" s="98" t="s">
        <v>25</v>
      </c>
      <c r="F8" s="94" t="s">
        <v>24</v>
      </c>
      <c r="G8" s="98" t="s">
        <v>9</v>
      </c>
      <c r="H8" s="94" t="s">
        <v>10</v>
      </c>
      <c r="I8" s="90" t="s">
        <v>186</v>
      </c>
      <c r="J8" s="15" t="s">
        <v>16</v>
      </c>
      <c r="K8" s="11" t="s">
        <v>198</v>
      </c>
      <c r="L8" s="15" t="s">
        <v>24</v>
      </c>
      <c r="M8" s="21"/>
    </row>
    <row r="9" spans="1:13" ht="15.75" thickBot="1">
      <c r="A9" s="102" t="s">
        <v>97</v>
      </c>
      <c r="B9" s="94" t="s">
        <v>269</v>
      </c>
      <c r="C9" s="101" t="s">
        <v>623</v>
      </c>
      <c r="D9" s="90">
        <v>25</v>
      </c>
      <c r="E9" s="98" t="s">
        <v>555</v>
      </c>
      <c r="F9" s="94" t="s">
        <v>680</v>
      </c>
      <c r="G9" s="98" t="s">
        <v>9</v>
      </c>
      <c r="H9" s="94" t="s">
        <v>713</v>
      </c>
      <c r="I9" s="90" t="s">
        <v>186</v>
      </c>
      <c r="J9" s="15" t="s">
        <v>16</v>
      </c>
      <c r="K9" s="11" t="s">
        <v>198</v>
      </c>
      <c r="L9" s="15" t="s">
        <v>555</v>
      </c>
      <c r="M9" s="21"/>
    </row>
    <row r="10" spans="1:13" ht="15.75" thickBot="1">
      <c r="A10" s="102" t="s">
        <v>98</v>
      </c>
      <c r="B10" s="94" t="s">
        <v>270</v>
      </c>
      <c r="C10" s="101" t="s">
        <v>659</v>
      </c>
      <c r="D10" s="90">
        <v>55</v>
      </c>
      <c r="E10" s="98" t="s">
        <v>32</v>
      </c>
      <c r="F10" s="94" t="s">
        <v>33</v>
      </c>
      <c r="G10" s="98" t="s">
        <v>15</v>
      </c>
      <c r="H10" s="94" t="s">
        <v>10</v>
      </c>
      <c r="I10" s="90" t="s">
        <v>186</v>
      </c>
      <c r="J10" s="15" t="s">
        <v>16</v>
      </c>
      <c r="K10" s="11" t="s">
        <v>198</v>
      </c>
      <c r="L10" s="15" t="s">
        <v>33</v>
      </c>
      <c r="M10" s="21"/>
    </row>
    <row r="11" spans="1:13" ht="15.75" thickBot="1">
      <c r="A11" s="102" t="s">
        <v>42</v>
      </c>
      <c r="B11" s="94" t="s">
        <v>40</v>
      </c>
      <c r="C11" s="101" t="s">
        <v>41</v>
      </c>
      <c r="D11" s="90">
        <v>29</v>
      </c>
      <c r="E11" s="98" t="s">
        <v>25</v>
      </c>
      <c r="F11" s="94" t="s">
        <v>24</v>
      </c>
      <c r="G11" s="98" t="s">
        <v>9</v>
      </c>
      <c r="H11" s="94" t="s">
        <v>10</v>
      </c>
      <c r="I11" s="90" t="s">
        <v>186</v>
      </c>
      <c r="J11" s="15" t="s">
        <v>16</v>
      </c>
      <c r="K11" s="11" t="s">
        <v>198</v>
      </c>
      <c r="L11" s="15" t="s">
        <v>24</v>
      </c>
      <c r="M11" s="21"/>
    </row>
    <row r="12" spans="1:13" ht="15.75" thickBot="1">
      <c r="A12" s="102" t="s">
        <v>43</v>
      </c>
      <c r="B12" s="94" t="s">
        <v>44</v>
      </c>
      <c r="C12" s="101" t="s">
        <v>45</v>
      </c>
      <c r="D12" s="90">
        <v>212</v>
      </c>
      <c r="E12" s="98" t="s">
        <v>20</v>
      </c>
      <c r="F12" s="94" t="s">
        <v>21</v>
      </c>
      <c r="G12" s="98" t="s">
        <v>9</v>
      </c>
      <c r="H12" s="94" t="s">
        <v>10</v>
      </c>
      <c r="I12" s="90" t="s">
        <v>186</v>
      </c>
      <c r="J12" s="15" t="s">
        <v>16</v>
      </c>
      <c r="K12" s="11" t="s">
        <v>198</v>
      </c>
      <c r="L12" s="15" t="s">
        <v>20</v>
      </c>
      <c r="M12" s="21"/>
    </row>
    <row r="13" spans="1:13" ht="15.75" thickBot="1">
      <c r="A13" s="102" t="s">
        <v>46</v>
      </c>
      <c r="B13" s="94" t="s">
        <v>47</v>
      </c>
      <c r="C13" s="101" t="s">
        <v>637</v>
      </c>
      <c r="D13" s="90">
        <v>228</v>
      </c>
      <c r="E13" s="98" t="s">
        <v>20</v>
      </c>
      <c r="F13" s="94" t="s">
        <v>21</v>
      </c>
      <c r="G13" s="98" t="s">
        <v>9</v>
      </c>
      <c r="H13" s="94" t="s">
        <v>10</v>
      </c>
      <c r="I13" s="90" t="s">
        <v>186</v>
      </c>
      <c r="J13" s="15" t="s">
        <v>16</v>
      </c>
      <c r="K13" s="11" t="s">
        <v>198</v>
      </c>
      <c r="L13" s="15" t="s">
        <v>20</v>
      </c>
      <c r="M13" s="21"/>
    </row>
    <row r="14" spans="1:13" ht="15.75" thickBot="1">
      <c r="A14" s="102" t="s">
        <v>48</v>
      </c>
      <c r="B14" s="94" t="s">
        <v>49</v>
      </c>
      <c r="C14" s="101" t="s">
        <v>50</v>
      </c>
      <c r="D14" s="90">
        <v>31.05</v>
      </c>
      <c r="E14" s="98" t="s">
        <v>13</v>
      </c>
      <c r="F14" s="94" t="s">
        <v>14</v>
      </c>
      <c r="G14" s="98" t="s">
        <v>15</v>
      </c>
      <c r="H14" s="94" t="s">
        <v>10</v>
      </c>
      <c r="I14" s="90" t="s">
        <v>186</v>
      </c>
      <c r="J14" s="15" t="s">
        <v>16</v>
      </c>
      <c r="K14" s="11" t="s">
        <v>198</v>
      </c>
      <c r="L14" s="15" t="s">
        <v>14</v>
      </c>
      <c r="M14" s="21"/>
    </row>
    <row r="15" spans="1:13" ht="15.75" thickBot="1">
      <c r="A15" s="102" t="s">
        <v>51</v>
      </c>
      <c r="B15" s="94" t="s">
        <v>28</v>
      </c>
      <c r="C15" s="101" t="s">
        <v>52</v>
      </c>
      <c r="D15" s="90">
        <v>312</v>
      </c>
      <c r="E15" s="98" t="s">
        <v>20</v>
      </c>
      <c r="F15" s="94" t="s">
        <v>21</v>
      </c>
      <c r="G15" s="98" t="s">
        <v>9</v>
      </c>
      <c r="H15" s="94" t="s">
        <v>10</v>
      </c>
      <c r="I15" s="90" t="s">
        <v>186</v>
      </c>
      <c r="J15" s="15" t="s">
        <v>16</v>
      </c>
      <c r="K15" s="11" t="s">
        <v>198</v>
      </c>
      <c r="L15" s="15" t="s">
        <v>20</v>
      </c>
      <c r="M15" s="21"/>
    </row>
    <row r="16" spans="1:13" ht="23.25" thickBot="1">
      <c r="A16" s="102" t="s">
        <v>54</v>
      </c>
      <c r="B16" s="94" t="s">
        <v>26</v>
      </c>
      <c r="C16" s="101" t="s">
        <v>675</v>
      </c>
      <c r="D16" s="90">
        <v>2210</v>
      </c>
      <c r="E16" s="98" t="s">
        <v>27</v>
      </c>
      <c r="F16" s="94" t="s">
        <v>55</v>
      </c>
      <c r="G16" s="98" t="s">
        <v>9</v>
      </c>
      <c r="H16" s="94" t="s">
        <v>10</v>
      </c>
      <c r="I16" s="90" t="s">
        <v>186</v>
      </c>
      <c r="J16" s="15" t="s">
        <v>16</v>
      </c>
      <c r="K16" s="11" t="s">
        <v>198</v>
      </c>
      <c r="L16" s="15" t="s">
        <v>193</v>
      </c>
      <c r="M16" s="21"/>
    </row>
    <row r="17" spans="1:13" ht="34.5" thickBot="1">
      <c r="A17" s="102" t="s">
        <v>56</v>
      </c>
      <c r="B17" s="94" t="s">
        <v>57</v>
      </c>
      <c r="C17" s="101" t="s">
        <v>58</v>
      </c>
      <c r="D17" s="90">
        <v>1000</v>
      </c>
      <c r="E17" s="98" t="s">
        <v>27</v>
      </c>
      <c r="F17" s="94" t="s">
        <v>55</v>
      </c>
      <c r="G17" s="98" t="s">
        <v>9</v>
      </c>
      <c r="H17" s="94" t="s">
        <v>10</v>
      </c>
      <c r="I17" s="90" t="s">
        <v>186</v>
      </c>
      <c r="J17" s="15" t="s">
        <v>16</v>
      </c>
      <c r="K17" s="11" t="s">
        <v>198</v>
      </c>
      <c r="L17" s="15" t="s">
        <v>193</v>
      </c>
      <c r="M17" s="21"/>
    </row>
    <row r="18" spans="1:13" ht="15.75" thickBot="1">
      <c r="A18" s="102" t="s">
        <v>634</v>
      </c>
      <c r="B18" s="94" t="s">
        <v>59</v>
      </c>
      <c r="C18" s="101" t="s">
        <v>60</v>
      </c>
      <c r="D18" s="90">
        <v>420</v>
      </c>
      <c r="E18" s="98" t="s">
        <v>13</v>
      </c>
      <c r="F18" s="94" t="s">
        <v>14</v>
      </c>
      <c r="G18" s="98" t="s">
        <v>15</v>
      </c>
      <c r="H18" s="94" t="s">
        <v>10</v>
      </c>
      <c r="I18" s="90" t="s">
        <v>186</v>
      </c>
      <c r="J18" s="15" t="s">
        <v>16</v>
      </c>
      <c r="K18" s="11" t="s">
        <v>198</v>
      </c>
      <c r="L18" s="15" t="s">
        <v>14</v>
      </c>
      <c r="M18" s="21"/>
    </row>
    <row r="19" spans="1:13" ht="15.75" thickBot="1">
      <c r="A19" s="102" t="s">
        <v>61</v>
      </c>
      <c r="B19" s="94" t="s">
        <v>36</v>
      </c>
      <c r="C19" s="101" t="s">
        <v>62</v>
      </c>
      <c r="D19" s="90">
        <v>566</v>
      </c>
      <c r="E19" s="98" t="s">
        <v>20</v>
      </c>
      <c r="F19" s="94" t="s">
        <v>21</v>
      </c>
      <c r="G19" s="98" t="s">
        <v>9</v>
      </c>
      <c r="H19" s="94" t="s">
        <v>10</v>
      </c>
      <c r="I19" s="90" t="s">
        <v>186</v>
      </c>
      <c r="J19" s="15" t="s">
        <v>16</v>
      </c>
      <c r="K19" s="11" t="s">
        <v>198</v>
      </c>
      <c r="L19" s="15" t="s">
        <v>20</v>
      </c>
      <c r="M19" s="21"/>
    </row>
    <row r="20" spans="1:13" ht="15.75" thickBot="1">
      <c r="A20" s="102" t="s">
        <v>635</v>
      </c>
      <c r="B20" s="94" t="s">
        <v>63</v>
      </c>
      <c r="C20" s="101" t="s">
        <v>64</v>
      </c>
      <c r="D20" s="90">
        <v>131.19999999999999</v>
      </c>
      <c r="E20" s="98" t="s">
        <v>13</v>
      </c>
      <c r="F20" s="94" t="s">
        <v>14</v>
      </c>
      <c r="G20" s="98" t="s">
        <v>15</v>
      </c>
      <c r="H20" s="94" t="s">
        <v>10</v>
      </c>
      <c r="I20" s="90" t="s">
        <v>186</v>
      </c>
      <c r="J20" s="15" t="s">
        <v>16</v>
      </c>
      <c r="K20" s="11" t="s">
        <v>198</v>
      </c>
      <c r="L20" s="15" t="s">
        <v>14</v>
      </c>
      <c r="M20" s="21"/>
    </row>
    <row r="21" spans="1:13" ht="15.75" thickBot="1">
      <c r="A21" s="102" t="s">
        <v>65</v>
      </c>
      <c r="B21" s="94" t="s">
        <v>28</v>
      </c>
      <c r="C21" s="101" t="s">
        <v>66</v>
      </c>
      <c r="D21" s="90">
        <v>950</v>
      </c>
      <c r="E21" s="98" t="s">
        <v>25</v>
      </c>
      <c r="F21" s="94" t="s">
        <v>24</v>
      </c>
      <c r="G21" s="98" t="s">
        <v>9</v>
      </c>
      <c r="H21" s="94" t="s">
        <v>10</v>
      </c>
      <c r="I21" s="90" t="s">
        <v>186</v>
      </c>
      <c r="J21" s="15" t="s">
        <v>16</v>
      </c>
      <c r="K21" s="11" t="s">
        <v>198</v>
      </c>
      <c r="L21" s="15" t="s">
        <v>24</v>
      </c>
      <c r="M21" s="21"/>
    </row>
    <row r="22" spans="1:13" ht="15.75" thickBot="1">
      <c r="A22" s="102" t="s">
        <v>67</v>
      </c>
      <c r="B22" s="94" t="s">
        <v>28</v>
      </c>
      <c r="C22" s="101" t="s">
        <v>68</v>
      </c>
      <c r="D22" s="90">
        <v>552</v>
      </c>
      <c r="E22" s="98" t="s">
        <v>25</v>
      </c>
      <c r="F22" s="94" t="s">
        <v>24</v>
      </c>
      <c r="G22" s="98" t="s">
        <v>9</v>
      </c>
      <c r="H22" s="94" t="s">
        <v>10</v>
      </c>
      <c r="I22" s="90" t="s">
        <v>186</v>
      </c>
      <c r="J22" s="15" t="s">
        <v>16</v>
      </c>
      <c r="K22" s="11" t="s">
        <v>198</v>
      </c>
      <c r="L22" s="15" t="s">
        <v>24</v>
      </c>
      <c r="M22" s="21"/>
    </row>
    <row r="23" spans="1:13" ht="15.75" thickBot="1">
      <c r="A23" s="102" t="s">
        <v>69</v>
      </c>
      <c r="B23" s="94" t="s">
        <v>47</v>
      </c>
      <c r="C23" s="101" t="s">
        <v>70</v>
      </c>
      <c r="D23" s="90">
        <v>510</v>
      </c>
      <c r="E23" s="98" t="s">
        <v>27</v>
      </c>
      <c r="F23" s="94" t="s">
        <v>21</v>
      </c>
      <c r="G23" s="98" t="s">
        <v>9</v>
      </c>
      <c r="H23" s="94" t="s">
        <v>10</v>
      </c>
      <c r="I23" s="90" t="s">
        <v>186</v>
      </c>
      <c r="J23" s="15" t="s">
        <v>16</v>
      </c>
      <c r="K23" s="11" t="s">
        <v>198</v>
      </c>
      <c r="L23" s="15" t="s">
        <v>194</v>
      </c>
      <c r="M23" s="21"/>
    </row>
    <row r="24" spans="1:13" ht="15.75" thickBot="1">
      <c r="A24" s="102" t="s">
        <v>636</v>
      </c>
      <c r="B24" s="94" t="s">
        <v>71</v>
      </c>
      <c r="C24" s="101" t="s">
        <v>72</v>
      </c>
      <c r="D24" s="90">
        <v>67.2</v>
      </c>
      <c r="E24" s="98" t="s">
        <v>13</v>
      </c>
      <c r="F24" s="94" t="s">
        <v>14</v>
      </c>
      <c r="G24" s="98" t="s">
        <v>15</v>
      </c>
      <c r="H24" s="94" t="s">
        <v>10</v>
      </c>
      <c r="I24" s="90" t="s">
        <v>186</v>
      </c>
      <c r="J24" s="15" t="s">
        <v>16</v>
      </c>
      <c r="K24" s="11" t="s">
        <v>198</v>
      </c>
      <c r="L24" s="15" t="s">
        <v>14</v>
      </c>
      <c r="M24" s="21"/>
    </row>
    <row r="25" spans="1:13" ht="15.75" thickBot="1">
      <c r="A25" s="102" t="s">
        <v>74</v>
      </c>
      <c r="B25" s="94" t="s">
        <v>75</v>
      </c>
      <c r="C25" s="101" t="s">
        <v>76</v>
      </c>
      <c r="D25" s="90">
        <v>54</v>
      </c>
      <c r="E25" s="98" t="s">
        <v>13</v>
      </c>
      <c r="F25" s="94" t="s">
        <v>14</v>
      </c>
      <c r="G25" s="98" t="s">
        <v>15</v>
      </c>
      <c r="H25" s="94" t="s">
        <v>10</v>
      </c>
      <c r="I25" s="90" t="s">
        <v>186</v>
      </c>
      <c r="J25" s="15" t="s">
        <v>16</v>
      </c>
      <c r="K25" s="11" t="s">
        <v>198</v>
      </c>
      <c r="L25" s="15" t="s">
        <v>14</v>
      </c>
      <c r="M25" s="21"/>
    </row>
    <row r="26" spans="1:13" ht="15.75" thickBot="1">
      <c r="A26" s="102" t="s">
        <v>77</v>
      </c>
      <c r="B26" s="94" t="s">
        <v>26</v>
      </c>
      <c r="C26" s="101" t="s">
        <v>78</v>
      </c>
      <c r="D26" s="90">
        <v>160</v>
      </c>
      <c r="E26" s="98" t="s">
        <v>20</v>
      </c>
      <c r="F26" s="94" t="s">
        <v>21</v>
      </c>
      <c r="G26" s="98" t="s">
        <v>9</v>
      </c>
      <c r="H26" s="94" t="s">
        <v>10</v>
      </c>
      <c r="I26" s="90" t="s">
        <v>186</v>
      </c>
      <c r="J26" s="15" t="s">
        <v>16</v>
      </c>
      <c r="K26" s="11" t="s">
        <v>198</v>
      </c>
      <c r="L26" s="15" t="s">
        <v>20</v>
      </c>
      <c r="M26" s="21"/>
    </row>
    <row r="27" spans="1:13" ht="15.75" thickBot="1">
      <c r="A27" s="102" t="s">
        <v>81</v>
      </c>
      <c r="B27" s="94" t="s">
        <v>28</v>
      </c>
      <c r="C27" s="101" t="s">
        <v>73</v>
      </c>
      <c r="D27" s="90">
        <v>300</v>
      </c>
      <c r="E27" s="98" t="s">
        <v>20</v>
      </c>
      <c r="F27" s="94" t="s">
        <v>21</v>
      </c>
      <c r="G27" s="98" t="s">
        <v>9</v>
      </c>
      <c r="H27" s="94" t="s">
        <v>10</v>
      </c>
      <c r="I27" s="90" t="s">
        <v>186</v>
      </c>
      <c r="J27" s="15" t="s">
        <v>16</v>
      </c>
      <c r="K27" s="11" t="s">
        <v>198</v>
      </c>
      <c r="L27" s="15" t="s">
        <v>20</v>
      </c>
      <c r="M27" s="21"/>
    </row>
    <row r="28" spans="1:13" ht="15.75" thickBot="1">
      <c r="A28" s="102" t="s">
        <v>82</v>
      </c>
      <c r="B28" s="94" t="s">
        <v>30</v>
      </c>
      <c r="C28" s="148" t="s">
        <v>83</v>
      </c>
      <c r="D28" s="149">
        <v>60</v>
      </c>
      <c r="E28" s="98" t="s">
        <v>25</v>
      </c>
      <c r="F28" s="94" t="s">
        <v>24</v>
      </c>
      <c r="G28" s="98" t="s">
        <v>9</v>
      </c>
      <c r="H28" s="94" t="s">
        <v>10</v>
      </c>
      <c r="I28" s="90"/>
      <c r="J28" s="15" t="s">
        <v>16</v>
      </c>
      <c r="K28" s="11" t="s">
        <v>198</v>
      </c>
      <c r="L28" s="15" t="s">
        <v>24</v>
      </c>
    </row>
    <row r="29" spans="1:13" ht="22.5">
      <c r="A29" s="176" t="s">
        <v>84</v>
      </c>
      <c r="B29" s="168" t="s">
        <v>85</v>
      </c>
      <c r="C29" s="148" t="s">
        <v>676</v>
      </c>
      <c r="D29" s="149">
        <v>1450</v>
      </c>
      <c r="E29" s="177" t="s">
        <v>27</v>
      </c>
      <c r="F29" s="168" t="s">
        <v>55</v>
      </c>
      <c r="G29" s="177" t="s">
        <v>9</v>
      </c>
      <c r="H29" s="168" t="s">
        <v>10</v>
      </c>
      <c r="I29" s="149" t="s">
        <v>186</v>
      </c>
      <c r="J29" s="178" t="s">
        <v>16</v>
      </c>
      <c r="K29" s="179" t="s">
        <v>198</v>
      </c>
      <c r="L29" s="178" t="s">
        <v>193</v>
      </c>
    </row>
    <row r="30" spans="1:13" ht="15.75" thickBot="1"/>
    <row r="31" spans="1:13" ht="15.75" thickBot="1">
      <c r="A31" s="120" t="s">
        <v>86</v>
      </c>
      <c r="B31" s="121"/>
      <c r="C31" s="122"/>
      <c r="D31" s="54">
        <f>SUM(existingstable[Nameplate Capacity (MW)])</f>
        <v>10383.049999999999</v>
      </c>
      <c r="E31" s="122"/>
      <c r="F31" s="121"/>
      <c r="G31" s="122"/>
      <c r="H31" s="121"/>
      <c r="I31" s="173"/>
    </row>
    <row r="32" spans="1:13" ht="25.5" customHeight="1"/>
    <row r="33" spans="1:11">
      <c r="A33" s="202" t="s">
        <v>681</v>
      </c>
      <c r="B33" s="203"/>
      <c r="C33" s="203"/>
      <c r="D33" s="203"/>
      <c r="E33" s="203"/>
      <c r="F33" s="203"/>
      <c r="G33" s="203"/>
      <c r="H33" s="203"/>
      <c r="I33" s="203"/>
      <c r="J33" s="203"/>
      <c r="K33" s="203"/>
    </row>
  </sheetData>
  <mergeCells count="1">
    <mergeCell ref="A33:K33"/>
  </mergeCells>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5"/>
  <sheetViews>
    <sheetView workbookViewId="0"/>
  </sheetViews>
  <sheetFormatPr defaultColWidth="9.140625" defaultRowHeight="15"/>
  <cols>
    <col min="1" max="1" width="30.28515625" style="21" bestFit="1" customWidth="1"/>
    <col min="2" max="11" width="10.7109375" style="21" bestFit="1" customWidth="1"/>
    <col min="12" max="12" width="16.140625" style="21" bestFit="1" customWidth="1"/>
    <col min="13" max="13" width="11.7109375" style="21" hidden="1" customWidth="1"/>
    <col min="14" max="14" width="10" style="21" hidden="1" customWidth="1"/>
    <col min="15" max="15" width="10.42578125" style="21" hidden="1" customWidth="1"/>
    <col min="16" max="16384" width="9.140625" style="21"/>
  </cols>
  <sheetData>
    <row r="1" spans="1:24" ht="20.25" thickBot="1">
      <c r="A1" s="25" t="s">
        <v>503</v>
      </c>
      <c r="M1" s="50"/>
      <c r="N1" s="50"/>
      <c r="O1" s="50"/>
      <c r="P1" s="50"/>
      <c r="Q1" s="50"/>
      <c r="R1" s="50"/>
      <c r="S1" s="50"/>
      <c r="T1" s="50"/>
      <c r="U1" s="50"/>
      <c r="V1" s="50"/>
      <c r="W1" s="50"/>
      <c r="X1" s="50"/>
    </row>
    <row r="2" spans="1:24" ht="15.75" thickBot="1">
      <c r="A2" s="144" t="s">
        <v>504</v>
      </c>
      <c r="B2" s="144" t="s">
        <v>645</v>
      </c>
      <c r="C2" s="144" t="s">
        <v>646</v>
      </c>
      <c r="D2" s="144" t="s">
        <v>647</v>
      </c>
      <c r="E2" s="144" t="s">
        <v>648</v>
      </c>
      <c r="F2" s="144" t="s">
        <v>649</v>
      </c>
      <c r="G2" s="144" t="s">
        <v>650</v>
      </c>
      <c r="H2" s="144" t="s">
        <v>651</v>
      </c>
      <c r="I2" s="144" t="s">
        <v>652</v>
      </c>
      <c r="J2" s="144" t="s">
        <v>653</v>
      </c>
      <c r="K2" s="144" t="s">
        <v>654</v>
      </c>
      <c r="L2" s="144" t="s">
        <v>567</v>
      </c>
      <c r="M2" s="58" t="s">
        <v>505</v>
      </c>
      <c r="N2" s="58" t="s">
        <v>7</v>
      </c>
      <c r="O2" s="58" t="s">
        <v>506</v>
      </c>
    </row>
    <row r="3" spans="1:24" ht="15.75" thickBot="1">
      <c r="A3" s="72" t="s">
        <v>632</v>
      </c>
      <c r="B3" s="107">
        <v>195</v>
      </c>
      <c r="C3" s="107">
        <v>195</v>
      </c>
      <c r="D3" s="107">
        <v>195</v>
      </c>
      <c r="E3" s="107">
        <v>195</v>
      </c>
      <c r="F3" s="107">
        <v>195</v>
      </c>
      <c r="G3" s="107">
        <v>195</v>
      </c>
      <c r="H3" s="107">
        <v>195</v>
      </c>
      <c r="I3" s="107">
        <v>195</v>
      </c>
      <c r="J3" s="107">
        <v>195</v>
      </c>
      <c r="K3" s="107">
        <v>195</v>
      </c>
      <c r="L3" s="74" t="s">
        <v>15</v>
      </c>
      <c r="M3" s="74" t="s">
        <v>14</v>
      </c>
      <c r="N3" s="74" t="s">
        <v>16</v>
      </c>
      <c r="O3" s="74" t="s">
        <v>507</v>
      </c>
    </row>
    <row r="4" spans="1:24" ht="15.75" thickBot="1">
      <c r="A4" s="71" t="s">
        <v>17</v>
      </c>
      <c r="B4" s="108">
        <v>78</v>
      </c>
      <c r="C4" s="108">
        <v>78</v>
      </c>
      <c r="D4" s="108">
        <v>78</v>
      </c>
      <c r="E4" s="108">
        <v>78</v>
      </c>
      <c r="F4" s="108">
        <v>78</v>
      </c>
      <c r="G4" s="108">
        <v>78</v>
      </c>
      <c r="H4" s="108">
        <v>78</v>
      </c>
      <c r="I4" s="108">
        <v>78</v>
      </c>
      <c r="J4" s="108">
        <v>78</v>
      </c>
      <c r="K4" s="108">
        <v>78</v>
      </c>
      <c r="L4" s="73" t="s">
        <v>9</v>
      </c>
      <c r="M4" s="73" t="s">
        <v>508</v>
      </c>
      <c r="N4" s="73" t="s">
        <v>16</v>
      </c>
      <c r="O4" s="73" t="s">
        <v>507</v>
      </c>
    </row>
    <row r="5" spans="1:24" ht="15.75" thickBot="1">
      <c r="A5" s="71" t="s">
        <v>633</v>
      </c>
      <c r="B5" s="108">
        <v>106.6</v>
      </c>
      <c r="C5" s="108">
        <v>106.6</v>
      </c>
      <c r="D5" s="108">
        <v>106.6</v>
      </c>
      <c r="E5" s="108">
        <v>106.6</v>
      </c>
      <c r="F5" s="108">
        <v>106.6</v>
      </c>
      <c r="G5" s="108">
        <v>106.6</v>
      </c>
      <c r="H5" s="108">
        <v>106.6</v>
      </c>
      <c r="I5" s="108">
        <v>106.6</v>
      </c>
      <c r="J5" s="108">
        <v>106.6</v>
      </c>
      <c r="K5" s="108">
        <v>106.6</v>
      </c>
      <c r="L5" s="73" t="s">
        <v>15</v>
      </c>
      <c r="M5" s="73" t="s">
        <v>14</v>
      </c>
      <c r="N5" s="73" t="s">
        <v>16</v>
      </c>
      <c r="O5" s="73" t="s">
        <v>507</v>
      </c>
    </row>
    <row r="6" spans="1:24" ht="15.75" thickBot="1">
      <c r="A6" s="71" t="s">
        <v>509</v>
      </c>
      <c r="B6" s="108">
        <v>28.8</v>
      </c>
      <c r="C6" s="108">
        <v>28.8</v>
      </c>
      <c r="D6" s="108">
        <v>28.8</v>
      </c>
      <c r="E6" s="108">
        <v>28.8</v>
      </c>
      <c r="F6" s="108">
        <v>28.8</v>
      </c>
      <c r="G6" s="108">
        <v>28.8</v>
      </c>
      <c r="H6" s="108">
        <v>28.8</v>
      </c>
      <c r="I6" s="108">
        <v>28.8</v>
      </c>
      <c r="J6" s="108">
        <v>28.8</v>
      </c>
      <c r="K6" s="108">
        <v>28.8</v>
      </c>
      <c r="L6" s="73" t="s">
        <v>9</v>
      </c>
      <c r="M6" s="73" t="s">
        <v>680</v>
      </c>
      <c r="N6" s="73" t="s">
        <v>16</v>
      </c>
      <c r="O6" s="73" t="s">
        <v>507</v>
      </c>
    </row>
    <row r="7" spans="1:24" ht="15.75" thickBot="1">
      <c r="A7" s="71" t="s">
        <v>89</v>
      </c>
      <c r="B7" s="108">
        <v>88</v>
      </c>
      <c r="C7" s="108">
        <v>88</v>
      </c>
      <c r="D7" s="108">
        <v>88</v>
      </c>
      <c r="E7" s="108">
        <v>88</v>
      </c>
      <c r="F7" s="108">
        <v>88</v>
      </c>
      <c r="G7" s="108">
        <v>88</v>
      </c>
      <c r="H7" s="108">
        <v>88</v>
      </c>
      <c r="I7" s="108">
        <v>88</v>
      </c>
      <c r="J7" s="108">
        <v>88</v>
      </c>
      <c r="K7" s="108">
        <v>88</v>
      </c>
      <c r="L7" s="73" t="s">
        <v>15</v>
      </c>
      <c r="M7" s="73" t="s">
        <v>33</v>
      </c>
      <c r="N7" s="73" t="s">
        <v>16</v>
      </c>
      <c r="O7" s="73" t="s">
        <v>507</v>
      </c>
    </row>
    <row r="8" spans="1:24" ht="15.75" thickBot="1">
      <c r="A8" s="71" t="s">
        <v>29</v>
      </c>
      <c r="B8" s="108">
        <v>300</v>
      </c>
      <c r="C8" s="108">
        <v>300</v>
      </c>
      <c r="D8" s="108">
        <v>300</v>
      </c>
      <c r="E8" s="108">
        <v>300</v>
      </c>
      <c r="F8" s="108">
        <v>300</v>
      </c>
      <c r="G8" s="108">
        <v>300</v>
      </c>
      <c r="H8" s="108">
        <v>300</v>
      </c>
      <c r="I8" s="108">
        <v>300</v>
      </c>
      <c r="J8" s="108">
        <v>300</v>
      </c>
      <c r="K8" s="108">
        <v>300</v>
      </c>
      <c r="L8" s="73" t="s">
        <v>9</v>
      </c>
      <c r="M8" s="73" t="s">
        <v>510</v>
      </c>
      <c r="N8" s="73" t="s">
        <v>16</v>
      </c>
      <c r="O8" s="73" t="s">
        <v>507</v>
      </c>
    </row>
    <row r="9" spans="1:24" ht="15.75" thickBot="1">
      <c r="A9" s="71" t="s">
        <v>92</v>
      </c>
      <c r="B9" s="108">
        <v>0</v>
      </c>
      <c r="C9" s="108">
        <v>20</v>
      </c>
      <c r="D9" s="108">
        <v>20</v>
      </c>
      <c r="E9" s="108">
        <v>20</v>
      </c>
      <c r="F9" s="108">
        <v>20</v>
      </c>
      <c r="G9" s="108">
        <v>20</v>
      </c>
      <c r="H9" s="108">
        <v>20</v>
      </c>
      <c r="I9" s="108">
        <v>20</v>
      </c>
      <c r="J9" s="108">
        <v>20</v>
      </c>
      <c r="K9" s="108">
        <v>20</v>
      </c>
      <c r="L9" s="73" t="s">
        <v>15</v>
      </c>
      <c r="M9" s="73" t="s">
        <v>680</v>
      </c>
      <c r="N9" s="73" t="s">
        <v>16</v>
      </c>
      <c r="O9" s="73" t="s">
        <v>507</v>
      </c>
    </row>
    <row r="10" spans="1:24" ht="15.75" thickBot="1">
      <c r="A10" s="71" t="s">
        <v>93</v>
      </c>
      <c r="B10" s="108">
        <v>0</v>
      </c>
      <c r="C10" s="108">
        <v>194</v>
      </c>
      <c r="D10" s="108">
        <v>194</v>
      </c>
      <c r="E10" s="108">
        <v>194</v>
      </c>
      <c r="F10" s="108">
        <v>194</v>
      </c>
      <c r="G10" s="108">
        <v>194</v>
      </c>
      <c r="H10" s="108">
        <v>194</v>
      </c>
      <c r="I10" s="108">
        <v>194</v>
      </c>
      <c r="J10" s="108">
        <v>194</v>
      </c>
      <c r="K10" s="108">
        <v>194</v>
      </c>
      <c r="L10" s="73" t="s">
        <v>15</v>
      </c>
      <c r="M10" s="73" t="s">
        <v>14</v>
      </c>
      <c r="N10" s="73" t="s">
        <v>16</v>
      </c>
      <c r="O10" s="73" t="s">
        <v>507</v>
      </c>
    </row>
    <row r="11" spans="1:24" ht="15.75" thickBot="1">
      <c r="A11" s="71" t="s">
        <v>716</v>
      </c>
      <c r="B11" s="108">
        <v>0</v>
      </c>
      <c r="C11" s="108">
        <v>0</v>
      </c>
      <c r="D11" s="108">
        <v>57.6</v>
      </c>
      <c r="E11" s="108">
        <v>57.6</v>
      </c>
      <c r="F11" s="108">
        <v>57.6</v>
      </c>
      <c r="G11" s="108">
        <v>57.6</v>
      </c>
      <c r="H11" s="108">
        <v>57.6</v>
      </c>
      <c r="I11" s="108">
        <v>57.6</v>
      </c>
      <c r="J11" s="108">
        <v>57.6</v>
      </c>
      <c r="K11" s="108">
        <v>57.6</v>
      </c>
      <c r="L11" s="73" t="s">
        <v>15</v>
      </c>
      <c r="M11" s="73" t="s">
        <v>14</v>
      </c>
      <c r="N11" s="73" t="s">
        <v>16</v>
      </c>
      <c r="O11" s="73" t="s">
        <v>507</v>
      </c>
    </row>
    <row r="12" spans="1:24" ht="15.75" thickBot="1">
      <c r="A12" s="71" t="s">
        <v>705</v>
      </c>
      <c r="B12" s="108">
        <v>0</v>
      </c>
      <c r="C12" s="108">
        <v>27.27</v>
      </c>
      <c r="D12" s="108">
        <v>27.27</v>
      </c>
      <c r="E12" s="108">
        <v>27.27</v>
      </c>
      <c r="F12" s="108">
        <v>27.27</v>
      </c>
      <c r="G12" s="108">
        <v>27.27</v>
      </c>
      <c r="H12" s="108">
        <v>27.27</v>
      </c>
      <c r="I12" s="108">
        <v>27.27</v>
      </c>
      <c r="J12" s="108">
        <v>27.27</v>
      </c>
      <c r="K12" s="108">
        <v>27.27</v>
      </c>
      <c r="L12" s="73" t="s">
        <v>15</v>
      </c>
      <c r="M12" s="73" t="s">
        <v>33</v>
      </c>
      <c r="N12" s="73" t="s">
        <v>16</v>
      </c>
      <c r="O12" s="73" t="s">
        <v>507</v>
      </c>
    </row>
    <row r="13" spans="1:24" ht="15.75" thickBot="1">
      <c r="A13" s="71" t="s">
        <v>95</v>
      </c>
      <c r="B13" s="108">
        <v>0</v>
      </c>
      <c r="C13" s="108">
        <v>79.95</v>
      </c>
      <c r="D13" s="108">
        <v>79.95</v>
      </c>
      <c r="E13" s="108">
        <v>79.95</v>
      </c>
      <c r="F13" s="108">
        <v>79.95</v>
      </c>
      <c r="G13" s="108">
        <v>79.95</v>
      </c>
      <c r="H13" s="108">
        <v>79.95</v>
      </c>
      <c r="I13" s="108">
        <v>79.95</v>
      </c>
      <c r="J13" s="108">
        <v>79.95</v>
      </c>
      <c r="K13" s="108">
        <v>79.95</v>
      </c>
      <c r="L13" s="73" t="s">
        <v>15</v>
      </c>
      <c r="M13" s="73" t="s">
        <v>14</v>
      </c>
      <c r="N13" s="73" t="s">
        <v>16</v>
      </c>
      <c r="O13" s="73" t="s">
        <v>507</v>
      </c>
    </row>
    <row r="14" spans="1:24" ht="15.75" thickBot="1">
      <c r="A14" s="71" t="s">
        <v>37</v>
      </c>
      <c r="B14" s="108">
        <v>165</v>
      </c>
      <c r="C14" s="108">
        <v>165</v>
      </c>
      <c r="D14" s="108">
        <v>165</v>
      </c>
      <c r="E14" s="108">
        <v>165</v>
      </c>
      <c r="F14" s="108">
        <v>165</v>
      </c>
      <c r="G14" s="108">
        <v>165</v>
      </c>
      <c r="H14" s="108">
        <v>165</v>
      </c>
      <c r="I14" s="108">
        <v>165</v>
      </c>
      <c r="J14" s="108">
        <v>165</v>
      </c>
      <c r="K14" s="108">
        <v>165</v>
      </c>
      <c r="L14" s="73" t="s">
        <v>9</v>
      </c>
      <c r="M14" s="73" t="s">
        <v>510</v>
      </c>
      <c r="N14" s="73" t="s">
        <v>16</v>
      </c>
      <c r="O14" s="73" t="s">
        <v>507</v>
      </c>
    </row>
    <row r="15" spans="1:24" ht="15.75" thickBot="1">
      <c r="A15" s="71" t="s">
        <v>683</v>
      </c>
      <c r="B15" s="108">
        <v>0</v>
      </c>
      <c r="C15" s="108">
        <v>0</v>
      </c>
      <c r="D15" s="108">
        <v>336</v>
      </c>
      <c r="E15" s="108">
        <v>336</v>
      </c>
      <c r="F15" s="108">
        <v>336</v>
      </c>
      <c r="G15" s="108">
        <v>336</v>
      </c>
      <c r="H15" s="108">
        <v>336</v>
      </c>
      <c r="I15" s="108">
        <v>336</v>
      </c>
      <c r="J15" s="108">
        <v>336</v>
      </c>
      <c r="K15" s="108">
        <v>336</v>
      </c>
      <c r="L15" s="73" t="s">
        <v>15</v>
      </c>
      <c r="M15" s="73" t="s">
        <v>14</v>
      </c>
      <c r="N15" s="73" t="s">
        <v>16</v>
      </c>
      <c r="O15" s="73" t="s">
        <v>507</v>
      </c>
    </row>
    <row r="16" spans="1:24" ht="15.75" thickBot="1">
      <c r="A16" s="71" t="s">
        <v>39</v>
      </c>
      <c r="B16" s="108">
        <v>100</v>
      </c>
      <c r="C16" s="108">
        <v>100</v>
      </c>
      <c r="D16" s="108">
        <v>100</v>
      </c>
      <c r="E16" s="108">
        <v>100</v>
      </c>
      <c r="F16" s="108">
        <v>100</v>
      </c>
      <c r="G16" s="108">
        <v>100</v>
      </c>
      <c r="H16" s="108">
        <v>100</v>
      </c>
      <c r="I16" s="108">
        <v>100</v>
      </c>
      <c r="J16" s="108">
        <v>100</v>
      </c>
      <c r="K16" s="108">
        <v>100</v>
      </c>
      <c r="L16" s="73" t="s">
        <v>9</v>
      </c>
      <c r="M16" s="73" t="s">
        <v>510</v>
      </c>
      <c r="N16" s="73" t="s">
        <v>16</v>
      </c>
      <c r="O16" s="73" t="s">
        <v>507</v>
      </c>
    </row>
    <row r="17" spans="1:15" ht="15.75" thickBot="1">
      <c r="A17" s="71" t="s">
        <v>97</v>
      </c>
      <c r="B17" s="108">
        <v>25.33</v>
      </c>
      <c r="C17" s="108">
        <v>25.33</v>
      </c>
      <c r="D17" s="108">
        <v>25.33</v>
      </c>
      <c r="E17" s="108">
        <v>25.33</v>
      </c>
      <c r="F17" s="108">
        <v>25.33</v>
      </c>
      <c r="G17" s="108">
        <v>25.33</v>
      </c>
      <c r="H17" s="108">
        <v>25.33</v>
      </c>
      <c r="I17" s="108">
        <v>25.33</v>
      </c>
      <c r="J17" s="108">
        <v>25.33</v>
      </c>
      <c r="K17" s="108">
        <v>25.33</v>
      </c>
      <c r="L17" s="73" t="s">
        <v>9</v>
      </c>
      <c r="M17" s="73" t="s">
        <v>680</v>
      </c>
      <c r="N17" s="73" t="s">
        <v>16</v>
      </c>
      <c r="O17" s="73" t="s">
        <v>507</v>
      </c>
    </row>
    <row r="18" spans="1:15" ht="15.75" thickBot="1">
      <c r="A18" s="71" t="s">
        <v>98</v>
      </c>
      <c r="B18" s="108">
        <v>50</v>
      </c>
      <c r="C18" s="108">
        <v>50</v>
      </c>
      <c r="D18" s="108">
        <v>50</v>
      </c>
      <c r="E18" s="108">
        <v>50</v>
      </c>
      <c r="F18" s="108">
        <v>50</v>
      </c>
      <c r="G18" s="108">
        <v>50</v>
      </c>
      <c r="H18" s="108">
        <v>50</v>
      </c>
      <c r="I18" s="108">
        <v>50</v>
      </c>
      <c r="J18" s="108">
        <v>50</v>
      </c>
      <c r="K18" s="108">
        <v>50</v>
      </c>
      <c r="L18" s="73" t="s">
        <v>15</v>
      </c>
      <c r="M18" s="73" t="s">
        <v>33</v>
      </c>
      <c r="N18" s="73" t="s">
        <v>16</v>
      </c>
      <c r="O18" s="73" t="s">
        <v>507</v>
      </c>
    </row>
    <row r="19" spans="1:15" ht="15.75" thickBot="1">
      <c r="A19" s="71" t="s">
        <v>42</v>
      </c>
      <c r="B19" s="108">
        <v>29</v>
      </c>
      <c r="C19" s="108">
        <v>29</v>
      </c>
      <c r="D19" s="108">
        <v>29</v>
      </c>
      <c r="E19" s="108">
        <v>29</v>
      </c>
      <c r="F19" s="108">
        <v>29</v>
      </c>
      <c r="G19" s="108">
        <v>29</v>
      </c>
      <c r="H19" s="108">
        <v>29</v>
      </c>
      <c r="I19" s="108">
        <v>29</v>
      </c>
      <c r="J19" s="108">
        <v>29</v>
      </c>
      <c r="K19" s="108">
        <v>29</v>
      </c>
      <c r="L19" s="73" t="s">
        <v>9</v>
      </c>
      <c r="M19" s="73" t="s">
        <v>510</v>
      </c>
      <c r="N19" s="73" t="s">
        <v>16</v>
      </c>
      <c r="O19" s="73" t="s">
        <v>507</v>
      </c>
    </row>
    <row r="20" spans="1:15" ht="15.75" thickBot="1">
      <c r="A20" s="71" t="s">
        <v>43</v>
      </c>
      <c r="B20" s="108">
        <v>189</v>
      </c>
      <c r="C20" s="108">
        <v>189</v>
      </c>
      <c r="D20" s="108">
        <v>192</v>
      </c>
      <c r="E20" s="108">
        <v>192</v>
      </c>
      <c r="F20" s="108">
        <v>192</v>
      </c>
      <c r="G20" s="108">
        <v>192</v>
      </c>
      <c r="H20" s="108">
        <v>192</v>
      </c>
      <c r="I20" s="108">
        <v>192</v>
      </c>
      <c r="J20" s="108">
        <v>192</v>
      </c>
      <c r="K20" s="108">
        <v>192</v>
      </c>
      <c r="L20" s="73" t="s">
        <v>9</v>
      </c>
      <c r="M20" s="73" t="s">
        <v>508</v>
      </c>
      <c r="N20" s="73" t="s">
        <v>16</v>
      </c>
      <c r="O20" s="73" t="s">
        <v>507</v>
      </c>
    </row>
    <row r="21" spans="1:15" ht="15.75" thickBot="1">
      <c r="A21" s="71" t="s">
        <v>46</v>
      </c>
      <c r="B21" s="108">
        <v>216</v>
      </c>
      <c r="C21" s="108">
        <v>216</v>
      </c>
      <c r="D21" s="108">
        <v>216</v>
      </c>
      <c r="E21" s="108">
        <v>216</v>
      </c>
      <c r="F21" s="108">
        <v>216</v>
      </c>
      <c r="G21" s="108">
        <v>216</v>
      </c>
      <c r="H21" s="108">
        <v>216</v>
      </c>
      <c r="I21" s="108">
        <v>216</v>
      </c>
      <c r="J21" s="108">
        <v>216</v>
      </c>
      <c r="K21" s="108">
        <v>216</v>
      </c>
      <c r="L21" s="73" t="s">
        <v>9</v>
      </c>
      <c r="M21" s="73" t="s">
        <v>508</v>
      </c>
      <c r="N21" s="73" t="s">
        <v>16</v>
      </c>
      <c r="O21" s="73" t="s">
        <v>507</v>
      </c>
    </row>
    <row r="22" spans="1:15" ht="15.75" thickBot="1">
      <c r="A22" s="71" t="s">
        <v>288</v>
      </c>
      <c r="B22" s="108">
        <v>90</v>
      </c>
      <c r="C22" s="108">
        <v>90</v>
      </c>
      <c r="D22" s="108">
        <v>90</v>
      </c>
      <c r="E22" s="108">
        <v>90</v>
      </c>
      <c r="F22" s="108">
        <v>90</v>
      </c>
      <c r="G22" s="108">
        <v>90</v>
      </c>
      <c r="H22" s="108">
        <v>90</v>
      </c>
      <c r="I22" s="108">
        <v>90</v>
      </c>
      <c r="J22" s="108">
        <v>90</v>
      </c>
      <c r="K22" s="108">
        <v>90</v>
      </c>
      <c r="L22" s="73" t="s">
        <v>15</v>
      </c>
      <c r="M22" s="73" t="s">
        <v>33</v>
      </c>
      <c r="N22" s="73" t="s">
        <v>16</v>
      </c>
      <c r="O22" s="73" t="s">
        <v>507</v>
      </c>
    </row>
    <row r="23" spans="1:15" ht="23.25" thickBot="1">
      <c r="A23" s="71" t="s">
        <v>685</v>
      </c>
      <c r="B23" s="108">
        <v>0</v>
      </c>
      <c r="C23" s="108">
        <v>200</v>
      </c>
      <c r="D23" s="108">
        <v>200</v>
      </c>
      <c r="E23" s="108">
        <v>200</v>
      </c>
      <c r="F23" s="108">
        <v>200</v>
      </c>
      <c r="G23" s="108">
        <v>200</v>
      </c>
      <c r="H23" s="108">
        <v>200</v>
      </c>
      <c r="I23" s="108">
        <v>200</v>
      </c>
      <c r="J23" s="108">
        <v>200</v>
      </c>
      <c r="K23" s="108">
        <v>200</v>
      </c>
      <c r="L23" s="73" t="s">
        <v>15</v>
      </c>
      <c r="M23" s="73" t="s">
        <v>33</v>
      </c>
      <c r="N23" s="73" t="s">
        <v>16</v>
      </c>
      <c r="O23" s="73" t="s">
        <v>507</v>
      </c>
    </row>
    <row r="24" spans="1:15" ht="15.75" thickBot="1">
      <c r="A24" s="71" t="s">
        <v>48</v>
      </c>
      <c r="B24" s="108">
        <v>31.05</v>
      </c>
      <c r="C24" s="108">
        <v>31.05</v>
      </c>
      <c r="D24" s="108">
        <v>31.05</v>
      </c>
      <c r="E24" s="108">
        <v>31.05</v>
      </c>
      <c r="F24" s="108">
        <v>31.05</v>
      </c>
      <c r="G24" s="108">
        <v>31.05</v>
      </c>
      <c r="H24" s="108">
        <v>31.05</v>
      </c>
      <c r="I24" s="108">
        <v>31.05</v>
      </c>
      <c r="J24" s="108">
        <v>31.05</v>
      </c>
      <c r="K24" s="108">
        <v>31.05</v>
      </c>
      <c r="L24" s="73" t="s">
        <v>15</v>
      </c>
      <c r="M24" s="73" t="s">
        <v>14</v>
      </c>
      <c r="N24" s="73" t="s">
        <v>16</v>
      </c>
      <c r="O24" s="73" t="s">
        <v>507</v>
      </c>
    </row>
    <row r="25" spans="1:15" ht="15.75" thickBot="1">
      <c r="A25" s="71" t="s">
        <v>293</v>
      </c>
      <c r="B25" s="108">
        <v>0</v>
      </c>
      <c r="C25" s="108">
        <v>83.6</v>
      </c>
      <c r="D25" s="108">
        <v>83.6</v>
      </c>
      <c r="E25" s="108">
        <v>83.6</v>
      </c>
      <c r="F25" s="108">
        <v>83.6</v>
      </c>
      <c r="G25" s="108">
        <v>83.6</v>
      </c>
      <c r="H25" s="108">
        <v>83.6</v>
      </c>
      <c r="I25" s="108">
        <v>83.6</v>
      </c>
      <c r="J25" s="108">
        <v>83.6</v>
      </c>
      <c r="K25" s="108">
        <v>83.6</v>
      </c>
      <c r="L25" s="73" t="s">
        <v>15</v>
      </c>
      <c r="M25" s="73" t="s">
        <v>14</v>
      </c>
      <c r="N25" s="73" t="s">
        <v>16</v>
      </c>
      <c r="O25" s="73" t="s">
        <v>507</v>
      </c>
    </row>
    <row r="26" spans="1:15" ht="23.25" thickBot="1">
      <c r="A26" s="71" t="s">
        <v>295</v>
      </c>
      <c r="B26" s="108">
        <v>0</v>
      </c>
      <c r="C26" s="108">
        <v>144.4</v>
      </c>
      <c r="D26" s="108">
        <v>144.4</v>
      </c>
      <c r="E26" s="108">
        <v>144.4</v>
      </c>
      <c r="F26" s="108">
        <v>144.4</v>
      </c>
      <c r="G26" s="108">
        <v>144.4</v>
      </c>
      <c r="H26" s="108">
        <v>144.4</v>
      </c>
      <c r="I26" s="108">
        <v>144.4</v>
      </c>
      <c r="J26" s="108">
        <v>144.4</v>
      </c>
      <c r="K26" s="108">
        <v>144.4</v>
      </c>
      <c r="L26" s="73" t="s">
        <v>15</v>
      </c>
      <c r="M26" s="73" t="s">
        <v>14</v>
      </c>
      <c r="N26" s="73" t="s">
        <v>16</v>
      </c>
      <c r="O26" s="73" t="s">
        <v>507</v>
      </c>
    </row>
    <row r="27" spans="1:15" ht="15.75" thickBot="1">
      <c r="A27" s="71" t="s">
        <v>51</v>
      </c>
      <c r="B27" s="108">
        <v>300</v>
      </c>
      <c r="C27" s="108">
        <v>300</v>
      </c>
      <c r="D27" s="108">
        <v>300</v>
      </c>
      <c r="E27" s="108">
        <v>300</v>
      </c>
      <c r="F27" s="108">
        <v>300</v>
      </c>
      <c r="G27" s="108">
        <v>300</v>
      </c>
      <c r="H27" s="108">
        <v>300</v>
      </c>
      <c r="I27" s="108">
        <v>300</v>
      </c>
      <c r="J27" s="108">
        <v>300</v>
      </c>
      <c r="K27" s="108">
        <v>300</v>
      </c>
      <c r="L27" s="73" t="s">
        <v>9</v>
      </c>
      <c r="M27" s="73" t="s">
        <v>508</v>
      </c>
      <c r="N27" s="73" t="s">
        <v>16</v>
      </c>
      <c r="O27" s="73" t="s">
        <v>507</v>
      </c>
    </row>
    <row r="28" spans="1:15" ht="15.75" thickBot="1">
      <c r="A28" s="71" t="s">
        <v>54</v>
      </c>
      <c r="B28" s="108">
        <v>2144</v>
      </c>
      <c r="C28" s="108">
        <v>2144</v>
      </c>
      <c r="D28" s="108">
        <v>2144</v>
      </c>
      <c r="E28" s="108">
        <v>2144</v>
      </c>
      <c r="F28" s="108">
        <v>2144</v>
      </c>
      <c r="G28" s="108">
        <v>2144</v>
      </c>
      <c r="H28" s="108">
        <v>2144</v>
      </c>
      <c r="I28" s="108">
        <v>2144</v>
      </c>
      <c r="J28" s="108">
        <v>2144</v>
      </c>
      <c r="K28" s="108">
        <v>2136</v>
      </c>
      <c r="L28" s="73" t="s">
        <v>9</v>
      </c>
      <c r="M28" s="73" t="s">
        <v>508</v>
      </c>
      <c r="N28" s="73" t="s">
        <v>16</v>
      </c>
      <c r="O28" s="73" t="s">
        <v>507</v>
      </c>
    </row>
    <row r="29" spans="1:15" ht="15.75" thickBot="1">
      <c r="A29" s="71" t="s">
        <v>56</v>
      </c>
      <c r="B29" s="108">
        <v>980</v>
      </c>
      <c r="C29" s="108">
        <v>980</v>
      </c>
      <c r="D29" s="108">
        <v>980</v>
      </c>
      <c r="E29" s="108">
        <v>980</v>
      </c>
      <c r="F29" s="108">
        <v>980</v>
      </c>
      <c r="G29" s="108">
        <v>980</v>
      </c>
      <c r="H29" s="108">
        <v>980</v>
      </c>
      <c r="I29" s="108">
        <v>980</v>
      </c>
      <c r="J29" s="108">
        <v>980</v>
      </c>
      <c r="K29" s="108">
        <v>980</v>
      </c>
      <c r="L29" s="73" t="s">
        <v>9</v>
      </c>
      <c r="M29" s="73" t="s">
        <v>508</v>
      </c>
      <c r="N29" s="73" t="s">
        <v>16</v>
      </c>
      <c r="O29" s="73" t="s">
        <v>507</v>
      </c>
    </row>
    <row r="30" spans="1:15" ht="15.75" thickBot="1">
      <c r="A30" s="71" t="s">
        <v>634</v>
      </c>
      <c r="B30" s="108">
        <v>420</v>
      </c>
      <c r="C30" s="108">
        <v>420</v>
      </c>
      <c r="D30" s="108">
        <v>420</v>
      </c>
      <c r="E30" s="108">
        <v>420</v>
      </c>
      <c r="F30" s="108">
        <v>420</v>
      </c>
      <c r="G30" s="108">
        <v>420</v>
      </c>
      <c r="H30" s="108">
        <v>420</v>
      </c>
      <c r="I30" s="108">
        <v>420</v>
      </c>
      <c r="J30" s="108">
        <v>420</v>
      </c>
      <c r="K30" s="108">
        <v>420</v>
      </c>
      <c r="L30" s="73" t="s">
        <v>15</v>
      </c>
      <c r="M30" s="73" t="s">
        <v>14</v>
      </c>
      <c r="N30" s="73" t="s">
        <v>16</v>
      </c>
      <c r="O30" s="73" t="s">
        <v>507</v>
      </c>
    </row>
    <row r="31" spans="1:15" ht="15.75" thickBot="1">
      <c r="A31" s="71" t="s">
        <v>511</v>
      </c>
      <c r="B31" s="108">
        <v>0</v>
      </c>
      <c r="C31" s="108">
        <v>320</v>
      </c>
      <c r="D31" s="108">
        <v>320</v>
      </c>
      <c r="E31" s="108">
        <v>320</v>
      </c>
      <c r="F31" s="108">
        <v>320</v>
      </c>
      <c r="G31" s="108">
        <v>320</v>
      </c>
      <c r="H31" s="108">
        <v>320</v>
      </c>
      <c r="I31" s="108">
        <v>320</v>
      </c>
      <c r="J31" s="108">
        <v>320</v>
      </c>
      <c r="K31" s="108">
        <v>320</v>
      </c>
      <c r="L31" s="73" t="s">
        <v>15</v>
      </c>
      <c r="M31" s="73" t="s">
        <v>14</v>
      </c>
      <c r="N31" s="73" t="s">
        <v>16</v>
      </c>
      <c r="O31" s="73" t="s">
        <v>507</v>
      </c>
    </row>
    <row r="32" spans="1:15" ht="15.75" thickBot="1">
      <c r="A32" s="71" t="s">
        <v>61</v>
      </c>
      <c r="B32" s="108">
        <v>518</v>
      </c>
      <c r="C32" s="108">
        <v>518</v>
      </c>
      <c r="D32" s="108">
        <v>518</v>
      </c>
      <c r="E32" s="108">
        <v>518</v>
      </c>
      <c r="F32" s="108">
        <v>518</v>
      </c>
      <c r="G32" s="108">
        <v>518</v>
      </c>
      <c r="H32" s="108">
        <v>518</v>
      </c>
      <c r="I32" s="108">
        <v>518</v>
      </c>
      <c r="J32" s="108">
        <v>518</v>
      </c>
      <c r="K32" s="108">
        <v>518</v>
      </c>
      <c r="L32" s="73" t="s">
        <v>9</v>
      </c>
      <c r="M32" s="73" t="s">
        <v>508</v>
      </c>
      <c r="N32" s="73" t="s">
        <v>16</v>
      </c>
      <c r="O32" s="73" t="s">
        <v>507</v>
      </c>
    </row>
    <row r="33" spans="1:24" ht="15.75" thickBot="1">
      <c r="A33" s="71" t="s">
        <v>101</v>
      </c>
      <c r="B33" s="108">
        <v>132</v>
      </c>
      <c r="C33" s="108">
        <v>132</v>
      </c>
      <c r="D33" s="108">
        <v>132</v>
      </c>
      <c r="E33" s="108">
        <v>132</v>
      </c>
      <c r="F33" s="108">
        <v>132</v>
      </c>
      <c r="G33" s="108">
        <v>132</v>
      </c>
      <c r="H33" s="108">
        <v>132</v>
      </c>
      <c r="I33" s="108">
        <v>132</v>
      </c>
      <c r="J33" s="108">
        <v>132</v>
      </c>
      <c r="K33" s="108">
        <v>132</v>
      </c>
      <c r="L33" s="73" t="s">
        <v>15</v>
      </c>
      <c r="M33" s="73" t="s">
        <v>14</v>
      </c>
      <c r="N33" s="73" t="s">
        <v>16</v>
      </c>
      <c r="O33" s="73" t="s">
        <v>507</v>
      </c>
    </row>
    <row r="34" spans="1:24" ht="15.75" thickBot="1">
      <c r="A34" s="71" t="s">
        <v>635</v>
      </c>
      <c r="B34" s="108">
        <v>131.19999999999999</v>
      </c>
      <c r="C34" s="108">
        <v>131.19999999999999</v>
      </c>
      <c r="D34" s="108">
        <v>131.19999999999999</v>
      </c>
      <c r="E34" s="108">
        <v>131.19999999999999</v>
      </c>
      <c r="F34" s="108">
        <v>131.19999999999999</v>
      </c>
      <c r="G34" s="108">
        <v>131.19999999999999</v>
      </c>
      <c r="H34" s="108">
        <v>131.19999999999999</v>
      </c>
      <c r="I34" s="108">
        <v>131.19999999999999</v>
      </c>
      <c r="J34" s="108">
        <v>131.19999999999999</v>
      </c>
      <c r="K34" s="108">
        <v>131.19999999999999</v>
      </c>
      <c r="L34" s="73" t="s">
        <v>15</v>
      </c>
      <c r="M34" s="73" t="s">
        <v>14</v>
      </c>
      <c r="N34" s="73" t="s">
        <v>16</v>
      </c>
      <c r="O34" s="73" t="s">
        <v>507</v>
      </c>
    </row>
    <row r="35" spans="1:24" ht="15.75" thickBot="1">
      <c r="A35" s="71" t="s">
        <v>316</v>
      </c>
      <c r="B35" s="108">
        <v>0</v>
      </c>
      <c r="C35" s="108">
        <v>226</v>
      </c>
      <c r="D35" s="108">
        <v>226</v>
      </c>
      <c r="E35" s="108">
        <v>226</v>
      </c>
      <c r="F35" s="108">
        <v>226</v>
      </c>
      <c r="G35" s="108">
        <v>226</v>
      </c>
      <c r="H35" s="108">
        <v>226</v>
      </c>
      <c r="I35" s="108">
        <v>226</v>
      </c>
      <c r="J35" s="108">
        <v>226</v>
      </c>
      <c r="K35" s="108">
        <v>226</v>
      </c>
      <c r="L35" s="73" t="s">
        <v>15</v>
      </c>
      <c r="M35" s="73" t="s">
        <v>14</v>
      </c>
      <c r="N35" s="73" t="s">
        <v>16</v>
      </c>
      <c r="O35" s="73" t="s">
        <v>507</v>
      </c>
    </row>
    <row r="36" spans="1:24" ht="15.75" thickBot="1">
      <c r="A36" s="71" t="s">
        <v>65</v>
      </c>
      <c r="B36" s="108">
        <v>950</v>
      </c>
      <c r="C36" s="108">
        <v>855</v>
      </c>
      <c r="D36" s="108">
        <v>855</v>
      </c>
      <c r="E36" s="108">
        <v>950</v>
      </c>
      <c r="F36" s="108">
        <v>855</v>
      </c>
      <c r="G36" s="108">
        <v>855</v>
      </c>
      <c r="H36" s="108">
        <v>855</v>
      </c>
      <c r="I36" s="108">
        <v>950</v>
      </c>
      <c r="J36" s="108">
        <v>950</v>
      </c>
      <c r="K36" s="108">
        <v>950</v>
      </c>
      <c r="L36" s="73" t="s">
        <v>9</v>
      </c>
      <c r="M36" s="73" t="s">
        <v>510</v>
      </c>
      <c r="N36" s="73" t="s">
        <v>16</v>
      </c>
      <c r="O36" s="73" t="s">
        <v>507</v>
      </c>
    </row>
    <row r="37" spans="1:24" ht="15.75" thickBot="1">
      <c r="A37" s="71" t="s">
        <v>67</v>
      </c>
      <c r="B37" s="108">
        <v>560</v>
      </c>
      <c r="C37" s="108">
        <v>560</v>
      </c>
      <c r="D37" s="108">
        <v>560</v>
      </c>
      <c r="E37" s="108">
        <v>560</v>
      </c>
      <c r="F37" s="108">
        <v>560</v>
      </c>
      <c r="G37" s="108">
        <v>560</v>
      </c>
      <c r="H37" s="108">
        <v>560</v>
      </c>
      <c r="I37" s="108">
        <v>560</v>
      </c>
      <c r="J37" s="108">
        <v>560</v>
      </c>
      <c r="K37" s="108">
        <v>560</v>
      </c>
      <c r="L37" s="73" t="s">
        <v>9</v>
      </c>
      <c r="M37" s="73" t="s">
        <v>510</v>
      </c>
      <c r="N37" s="73" t="s">
        <v>16</v>
      </c>
      <c r="O37" s="73" t="s">
        <v>507</v>
      </c>
    </row>
    <row r="38" spans="1:24" ht="15.75" thickBot="1">
      <c r="A38" s="71" t="s">
        <v>69</v>
      </c>
      <c r="B38" s="108">
        <v>475</v>
      </c>
      <c r="C38" s="108">
        <v>475</v>
      </c>
      <c r="D38" s="108">
        <v>475</v>
      </c>
      <c r="E38" s="108">
        <v>475</v>
      </c>
      <c r="F38" s="108">
        <v>475</v>
      </c>
      <c r="G38" s="108">
        <v>475</v>
      </c>
      <c r="H38" s="108">
        <v>475</v>
      </c>
      <c r="I38" s="108">
        <v>475</v>
      </c>
      <c r="J38" s="108">
        <v>475</v>
      </c>
      <c r="K38" s="108">
        <v>475</v>
      </c>
      <c r="L38" s="73" t="s">
        <v>9</v>
      </c>
      <c r="M38" s="73" t="s">
        <v>508</v>
      </c>
      <c r="N38" s="73" t="s">
        <v>16</v>
      </c>
      <c r="O38" s="73" t="s">
        <v>507</v>
      </c>
    </row>
    <row r="39" spans="1:24" ht="15.75" thickBot="1">
      <c r="A39" s="71" t="s">
        <v>663</v>
      </c>
      <c r="B39" s="108">
        <v>0</v>
      </c>
      <c r="C39" s="108">
        <v>100</v>
      </c>
      <c r="D39" s="108">
        <v>100</v>
      </c>
      <c r="E39" s="108">
        <v>100</v>
      </c>
      <c r="F39" s="108">
        <v>100</v>
      </c>
      <c r="G39" s="108">
        <v>100</v>
      </c>
      <c r="H39" s="108">
        <v>100</v>
      </c>
      <c r="I39" s="108">
        <v>100</v>
      </c>
      <c r="J39" s="108">
        <v>100</v>
      </c>
      <c r="K39" s="108">
        <v>100</v>
      </c>
      <c r="L39" s="73" t="s">
        <v>15</v>
      </c>
      <c r="M39" s="73" t="s">
        <v>33</v>
      </c>
      <c r="N39" s="73" t="s">
        <v>16</v>
      </c>
      <c r="O39" s="73" t="s">
        <v>507</v>
      </c>
    </row>
    <row r="40" spans="1:24" ht="15.75" thickBot="1">
      <c r="A40" s="71" t="s">
        <v>636</v>
      </c>
      <c r="B40" s="108">
        <v>41.6</v>
      </c>
      <c r="C40" s="108">
        <v>41.6</v>
      </c>
      <c r="D40" s="108">
        <v>41.6</v>
      </c>
      <c r="E40" s="108">
        <v>41.6</v>
      </c>
      <c r="F40" s="108">
        <v>41.6</v>
      </c>
      <c r="G40" s="108">
        <v>41.6</v>
      </c>
      <c r="H40" s="108">
        <v>41.6</v>
      </c>
      <c r="I40" s="108">
        <v>41.6</v>
      </c>
      <c r="J40" s="108">
        <v>41.6</v>
      </c>
      <c r="K40" s="108">
        <v>41.6</v>
      </c>
      <c r="L40" s="73" t="s">
        <v>15</v>
      </c>
      <c r="M40" s="73" t="s">
        <v>14</v>
      </c>
      <c r="N40" s="73" t="s">
        <v>16</v>
      </c>
      <c r="O40" s="73" t="s">
        <v>507</v>
      </c>
    </row>
    <row r="41" spans="1:24" ht="15.75" thickBot="1">
      <c r="A41" s="71" t="s">
        <v>74</v>
      </c>
      <c r="B41" s="108">
        <v>54</v>
      </c>
      <c r="C41" s="108">
        <v>54</v>
      </c>
      <c r="D41" s="108">
        <v>54</v>
      </c>
      <c r="E41" s="108">
        <v>54</v>
      </c>
      <c r="F41" s="108">
        <v>54</v>
      </c>
      <c r="G41" s="108">
        <v>54</v>
      </c>
      <c r="H41" s="108">
        <v>54</v>
      </c>
      <c r="I41" s="108">
        <v>54</v>
      </c>
      <c r="J41" s="108">
        <v>54</v>
      </c>
      <c r="K41" s="108">
        <v>54</v>
      </c>
      <c r="L41" s="73" t="s">
        <v>15</v>
      </c>
      <c r="M41" s="73" t="s">
        <v>14</v>
      </c>
      <c r="N41" s="73" t="s">
        <v>16</v>
      </c>
      <c r="O41" s="73" t="s">
        <v>507</v>
      </c>
    </row>
    <row r="42" spans="1:24" ht="15.75" thickBot="1">
      <c r="A42" s="71" t="s">
        <v>77</v>
      </c>
      <c r="B42" s="108">
        <v>140</v>
      </c>
      <c r="C42" s="108">
        <v>140</v>
      </c>
      <c r="D42" s="108">
        <v>140</v>
      </c>
      <c r="E42" s="108">
        <v>140</v>
      </c>
      <c r="F42" s="108">
        <v>140</v>
      </c>
      <c r="G42" s="108">
        <v>140</v>
      </c>
      <c r="H42" s="108">
        <v>140</v>
      </c>
      <c r="I42" s="108">
        <v>140</v>
      </c>
      <c r="J42" s="108">
        <v>140</v>
      </c>
      <c r="K42" s="108">
        <v>140</v>
      </c>
      <c r="L42" s="73" t="s">
        <v>9</v>
      </c>
      <c r="M42" s="73" t="s">
        <v>508</v>
      </c>
      <c r="N42" s="73" t="s">
        <v>16</v>
      </c>
      <c r="O42" s="73" t="s">
        <v>507</v>
      </c>
      <c r="P42" s="50"/>
      <c r="Q42" s="50"/>
      <c r="R42" s="50"/>
      <c r="S42" s="50"/>
      <c r="T42" s="50"/>
      <c r="U42" s="50"/>
      <c r="V42" s="50"/>
      <c r="W42" s="50"/>
      <c r="X42" s="50"/>
    </row>
    <row r="43" spans="1:24" ht="15.75" thickBot="1">
      <c r="A43" s="71" t="s">
        <v>106</v>
      </c>
      <c r="B43" s="108">
        <v>0</v>
      </c>
      <c r="C43" s="108">
        <v>400</v>
      </c>
      <c r="D43" s="108">
        <v>532</v>
      </c>
      <c r="E43" s="108">
        <v>532</v>
      </c>
      <c r="F43" s="108">
        <v>532</v>
      </c>
      <c r="G43" s="108">
        <v>532</v>
      </c>
      <c r="H43" s="108">
        <v>532</v>
      </c>
      <c r="I43" s="108">
        <v>532</v>
      </c>
      <c r="J43" s="108">
        <v>532</v>
      </c>
      <c r="K43" s="108">
        <v>532</v>
      </c>
      <c r="L43" s="73" t="s">
        <v>15</v>
      </c>
      <c r="M43" s="73" t="s">
        <v>14</v>
      </c>
      <c r="N43" s="73" t="s">
        <v>16</v>
      </c>
      <c r="O43" s="73" t="s">
        <v>507</v>
      </c>
      <c r="P43" s="50"/>
      <c r="Q43" s="50"/>
      <c r="R43" s="50"/>
      <c r="S43" s="50"/>
      <c r="T43" s="50"/>
      <c r="U43" s="50"/>
      <c r="V43" s="50"/>
      <c r="W43" s="50"/>
      <c r="X43" s="50"/>
    </row>
    <row r="44" spans="1:24" ht="15.75" thickBot="1">
      <c r="A44" s="71" t="s">
        <v>81</v>
      </c>
      <c r="B44" s="108">
        <v>270</v>
      </c>
      <c r="C44" s="108">
        <v>270</v>
      </c>
      <c r="D44" s="108">
        <v>270</v>
      </c>
      <c r="E44" s="108">
        <v>270</v>
      </c>
      <c r="F44" s="108">
        <v>270</v>
      </c>
      <c r="G44" s="108">
        <v>270</v>
      </c>
      <c r="H44" s="108">
        <v>270</v>
      </c>
      <c r="I44" s="108">
        <v>270</v>
      </c>
      <c r="J44" s="108">
        <v>270</v>
      </c>
      <c r="K44" s="108">
        <v>270</v>
      </c>
      <c r="L44" s="73" t="s">
        <v>9</v>
      </c>
      <c r="M44" s="73" t="s">
        <v>508</v>
      </c>
      <c r="N44" s="73" t="s">
        <v>16</v>
      </c>
      <c r="O44" s="73" t="s">
        <v>507</v>
      </c>
      <c r="P44" s="50"/>
      <c r="Q44" s="50"/>
      <c r="R44" s="50"/>
      <c r="S44" s="50"/>
      <c r="T44" s="50"/>
      <c r="U44" s="50"/>
      <c r="V44" s="50"/>
      <c r="W44" s="50"/>
      <c r="X44" s="50"/>
    </row>
    <row r="45" spans="1:24" ht="15.75" thickBot="1">
      <c r="A45" s="71" t="s">
        <v>108</v>
      </c>
      <c r="B45" s="108">
        <v>87.75</v>
      </c>
      <c r="C45" s="108">
        <v>87.75</v>
      </c>
      <c r="D45" s="108">
        <v>87.75</v>
      </c>
      <c r="E45" s="108">
        <v>87.75</v>
      </c>
      <c r="F45" s="108">
        <v>87.75</v>
      </c>
      <c r="G45" s="108">
        <v>87.75</v>
      </c>
      <c r="H45" s="108">
        <v>87.75</v>
      </c>
      <c r="I45" s="108">
        <v>87.75</v>
      </c>
      <c r="J45" s="108">
        <v>87.75</v>
      </c>
      <c r="K45" s="108">
        <v>87.75</v>
      </c>
      <c r="L45" s="73" t="s">
        <v>15</v>
      </c>
      <c r="M45" s="73" t="s">
        <v>33</v>
      </c>
      <c r="N45" s="73" t="s">
        <v>16</v>
      </c>
      <c r="O45" s="73" t="s">
        <v>507</v>
      </c>
      <c r="P45" s="50"/>
      <c r="Q45" s="50"/>
      <c r="R45" s="50"/>
      <c r="S45" s="50"/>
      <c r="T45" s="50"/>
      <c r="U45" s="50"/>
      <c r="V45" s="50"/>
      <c r="W45" s="50"/>
      <c r="X45" s="50"/>
    </row>
    <row r="46" spans="1:24" s="163" customFormat="1" ht="15.75" thickBot="1">
      <c r="A46" s="71" t="s">
        <v>82</v>
      </c>
      <c r="B46" s="108">
        <v>68</v>
      </c>
      <c r="C46" s="108">
        <v>68</v>
      </c>
      <c r="D46" s="108">
        <v>68</v>
      </c>
      <c r="E46" s="108">
        <v>68</v>
      </c>
      <c r="F46" s="108">
        <v>68</v>
      </c>
      <c r="G46" s="108">
        <v>68</v>
      </c>
      <c r="H46" s="108">
        <v>68</v>
      </c>
      <c r="I46" s="108">
        <v>68</v>
      </c>
      <c r="J46" s="108">
        <v>68</v>
      </c>
      <c r="K46" s="108">
        <v>68</v>
      </c>
      <c r="L46" s="73" t="s">
        <v>9</v>
      </c>
      <c r="M46" s="73" t="s">
        <v>510</v>
      </c>
      <c r="N46" s="73" t="s">
        <v>16</v>
      </c>
      <c r="O46" s="73" t="s">
        <v>507</v>
      </c>
      <c r="P46" s="50"/>
      <c r="Q46" s="50"/>
      <c r="R46" s="50"/>
      <c r="S46" s="50"/>
      <c r="T46" s="50"/>
      <c r="U46" s="50"/>
      <c r="V46" s="50"/>
      <c r="W46" s="50"/>
      <c r="X46" s="50"/>
    </row>
    <row r="47" spans="1:24" s="112" customFormat="1" ht="15.75" thickBot="1">
      <c r="A47" s="71" t="s">
        <v>84</v>
      </c>
      <c r="B47" s="108">
        <v>1420</v>
      </c>
      <c r="C47" s="108">
        <v>1420</v>
      </c>
      <c r="D47" s="108">
        <v>1420</v>
      </c>
      <c r="E47" s="108">
        <v>1420</v>
      </c>
      <c r="F47" s="108">
        <v>1420</v>
      </c>
      <c r="G47" s="108">
        <v>1420</v>
      </c>
      <c r="H47" s="108">
        <v>1420</v>
      </c>
      <c r="I47" s="108">
        <v>1420</v>
      </c>
      <c r="J47" s="108">
        <v>1420</v>
      </c>
      <c r="K47" s="108">
        <v>1420</v>
      </c>
      <c r="L47" s="73" t="s">
        <v>9</v>
      </c>
      <c r="M47" s="73" t="s">
        <v>508</v>
      </c>
      <c r="N47" s="73" t="s">
        <v>16</v>
      </c>
      <c r="O47" s="73" t="s">
        <v>507</v>
      </c>
      <c r="P47" s="165"/>
      <c r="Q47" s="165"/>
      <c r="R47" s="165"/>
      <c r="S47" s="165"/>
      <c r="T47" s="165"/>
      <c r="U47" s="165"/>
      <c r="V47" s="165"/>
      <c r="W47" s="165"/>
      <c r="X47" s="111"/>
    </row>
    <row r="48" spans="1:24" s="112" customFormat="1">
      <c r="A48" s="171" t="s">
        <v>362</v>
      </c>
      <c r="B48" s="154">
        <v>0</v>
      </c>
      <c r="C48" s="154">
        <v>81</v>
      </c>
      <c r="D48" s="154">
        <v>81</v>
      </c>
      <c r="E48" s="154">
        <v>81</v>
      </c>
      <c r="F48" s="154">
        <v>81</v>
      </c>
      <c r="G48" s="154">
        <v>81</v>
      </c>
      <c r="H48" s="154">
        <v>81</v>
      </c>
      <c r="I48" s="154">
        <v>81</v>
      </c>
      <c r="J48" s="154">
        <v>81</v>
      </c>
      <c r="K48" s="154">
        <v>81</v>
      </c>
      <c r="L48" s="155" t="s">
        <v>15</v>
      </c>
      <c r="M48" s="155" t="s">
        <v>33</v>
      </c>
      <c r="N48" s="155" t="s">
        <v>16</v>
      </c>
      <c r="O48" s="155" t="s">
        <v>507</v>
      </c>
      <c r="P48" s="111"/>
      <c r="Q48" s="111"/>
      <c r="R48" s="111"/>
      <c r="S48" s="111"/>
      <c r="T48" s="111"/>
      <c r="U48" s="111"/>
      <c r="V48" s="111"/>
      <c r="W48" s="111"/>
      <c r="X48" s="111"/>
    </row>
    <row r="49" spans="1:24" s="112" customFormat="1" ht="15.75" thickBot="1">
      <c r="A49" s="150"/>
      <c r="B49" s="109"/>
      <c r="C49" s="109"/>
      <c r="D49" s="109"/>
      <c r="E49" s="109"/>
      <c r="F49" s="109"/>
      <c r="G49" s="109"/>
      <c r="H49" s="109"/>
      <c r="I49" s="109"/>
      <c r="J49" s="109"/>
      <c r="K49" s="109"/>
      <c r="L49" s="150"/>
      <c r="M49" s="150"/>
      <c r="N49" s="150"/>
      <c r="O49" s="150"/>
      <c r="P49" s="111"/>
      <c r="Q49" s="111"/>
      <c r="R49" s="111"/>
      <c r="S49" s="111"/>
      <c r="T49" s="111"/>
      <c r="U49" s="111"/>
      <c r="V49" s="111"/>
      <c r="W49" s="111"/>
      <c r="X49" s="111"/>
    </row>
    <row r="50" spans="1:24" ht="15.75" thickBot="1">
      <c r="A50" s="53" t="s">
        <v>86</v>
      </c>
      <c r="B50" s="110">
        <f>SUM(sumcapsalltable[201819])</f>
        <v>10383.33</v>
      </c>
      <c r="C50" s="110">
        <f>SUM(sumcapsalltable[201920])</f>
        <v>12164.550000000001</v>
      </c>
      <c r="D50" s="110">
        <f>SUM(sumcapsalltable[202021])</f>
        <v>12693.15</v>
      </c>
      <c r="E50" s="110">
        <f>SUM(sumcapsalltable[202122])</f>
        <v>12788.15</v>
      </c>
      <c r="F50" s="110">
        <f>SUM(sumcapsalltable[202223])</f>
        <v>12693.15</v>
      </c>
      <c r="G50" s="110">
        <f>SUM(sumcapsalltable[202324])</f>
        <v>12693.15</v>
      </c>
      <c r="H50" s="110">
        <f>SUM(sumcapsalltable[202425])</f>
        <v>12693.15</v>
      </c>
      <c r="I50" s="110">
        <f>SUM(sumcapsalltable[202526])</f>
        <v>12788.15</v>
      </c>
      <c r="J50" s="110">
        <f>SUM(sumcapsalltable[202627])</f>
        <v>12788.15</v>
      </c>
      <c r="K50" s="110">
        <f>SUM(sumcapsalltable[202728])</f>
        <v>12780.15</v>
      </c>
      <c r="L50" s="54"/>
      <c r="M50" s="50"/>
      <c r="N50" s="50"/>
      <c r="O50" s="50"/>
    </row>
    <row r="51" spans="1:24">
      <c r="B51" s="57"/>
      <c r="C51" s="57"/>
      <c r="D51" s="57"/>
      <c r="E51" s="57"/>
      <c r="F51" s="57"/>
      <c r="G51" s="57"/>
      <c r="H51" s="57"/>
      <c r="I51" s="57"/>
      <c r="J51" s="57"/>
      <c r="K51" s="57"/>
      <c r="M51" s="50"/>
      <c r="N51" s="50"/>
      <c r="O51" s="50"/>
    </row>
    <row r="52" spans="1:24">
      <c r="A52" s="204" t="s">
        <v>512</v>
      </c>
      <c r="B52" s="205"/>
      <c r="C52" s="205"/>
      <c r="D52" s="205"/>
      <c r="E52" s="205"/>
      <c r="F52" s="205"/>
      <c r="G52" s="205"/>
      <c r="H52" s="205"/>
      <c r="I52" s="205"/>
      <c r="J52" s="205"/>
      <c r="K52" s="205"/>
      <c r="L52" s="205"/>
      <c r="M52" s="111"/>
      <c r="N52" s="111"/>
      <c r="O52" s="111"/>
    </row>
    <row r="53" spans="1:24">
      <c r="A53" s="204" t="s">
        <v>513</v>
      </c>
      <c r="B53" s="205"/>
      <c r="C53" s="205"/>
      <c r="D53" s="205"/>
      <c r="E53" s="205"/>
      <c r="F53" s="205"/>
      <c r="G53" s="205"/>
      <c r="H53" s="205"/>
      <c r="I53" s="205"/>
      <c r="J53" s="205"/>
      <c r="K53" s="205"/>
      <c r="L53" s="205"/>
      <c r="M53" s="111"/>
      <c r="N53" s="111"/>
      <c r="O53" s="111"/>
    </row>
    <row r="54" spans="1:24">
      <c r="A54" s="204" t="s">
        <v>514</v>
      </c>
      <c r="B54" s="205"/>
      <c r="C54" s="205"/>
      <c r="D54" s="205"/>
      <c r="E54" s="205"/>
      <c r="F54" s="205"/>
      <c r="G54" s="205"/>
      <c r="H54" s="205"/>
      <c r="I54" s="205"/>
      <c r="J54" s="205"/>
      <c r="K54" s="205"/>
      <c r="L54" s="205"/>
      <c r="M54" s="111"/>
      <c r="N54" s="111"/>
      <c r="O54" s="111"/>
    </row>
    <row r="55" spans="1:24">
      <c r="A55" s="204" t="s">
        <v>515</v>
      </c>
      <c r="B55" s="205"/>
      <c r="C55" s="205"/>
      <c r="D55" s="205"/>
      <c r="E55" s="205"/>
      <c r="F55" s="205"/>
      <c r="G55" s="205"/>
      <c r="H55" s="205"/>
      <c r="I55" s="205"/>
      <c r="J55" s="205"/>
      <c r="K55" s="205"/>
      <c r="L55" s="205"/>
      <c r="M55" s="111"/>
      <c r="N55" s="111"/>
      <c r="O55" s="111"/>
    </row>
    <row r="56" spans="1:24" ht="15.75" thickBot="1">
      <c r="M56" s="50"/>
      <c r="N56" s="50"/>
      <c r="O56" s="50"/>
    </row>
    <row r="57" spans="1:24" ht="20.25" thickBot="1">
      <c r="A57" s="25" t="s">
        <v>516</v>
      </c>
      <c r="M57" s="50"/>
      <c r="N57" s="50"/>
      <c r="O57" s="50"/>
    </row>
    <row r="58" spans="1:24" ht="15.75" thickBot="1">
      <c r="A58" s="144" t="s">
        <v>504</v>
      </c>
      <c r="B58" s="144" t="s">
        <v>645</v>
      </c>
      <c r="C58" s="144" t="s">
        <v>646</v>
      </c>
      <c r="D58" s="144" t="s">
        <v>647</v>
      </c>
      <c r="E58" s="144" t="s">
        <v>648</v>
      </c>
      <c r="F58" s="144" t="s">
        <v>649</v>
      </c>
      <c r="G58" s="144" t="s">
        <v>650</v>
      </c>
      <c r="H58" s="144" t="s">
        <v>651</v>
      </c>
      <c r="I58" s="144" t="s">
        <v>652</v>
      </c>
      <c r="J58" s="144" t="s">
        <v>653</v>
      </c>
      <c r="K58" s="144" t="s">
        <v>654</v>
      </c>
      <c r="L58" s="144" t="s">
        <v>567</v>
      </c>
      <c r="M58" s="58" t="s">
        <v>505</v>
      </c>
      <c r="N58" s="58" t="s">
        <v>7</v>
      </c>
      <c r="O58" s="58" t="s">
        <v>506</v>
      </c>
    </row>
    <row r="59" spans="1:24" ht="15.75" thickBot="1">
      <c r="A59" s="51" t="s">
        <v>17</v>
      </c>
      <c r="B59" s="113">
        <v>78</v>
      </c>
      <c r="C59" s="114">
        <v>78</v>
      </c>
      <c r="D59" s="113">
        <v>78</v>
      </c>
      <c r="E59" s="114">
        <v>78</v>
      </c>
      <c r="F59" s="113">
        <v>78</v>
      </c>
      <c r="G59" s="114">
        <v>78</v>
      </c>
      <c r="H59" s="113">
        <v>78</v>
      </c>
      <c r="I59" s="114">
        <v>78</v>
      </c>
      <c r="J59" s="113">
        <v>78</v>
      </c>
      <c r="K59" s="114">
        <v>78</v>
      </c>
      <c r="L59" s="52" t="s">
        <v>9</v>
      </c>
      <c r="M59" s="55" t="s">
        <v>508</v>
      </c>
      <c r="N59" s="52" t="s">
        <v>16</v>
      </c>
      <c r="O59" s="55" t="s">
        <v>507</v>
      </c>
    </row>
    <row r="60" spans="1:24" ht="15.75" thickBot="1">
      <c r="A60" s="51" t="s">
        <v>509</v>
      </c>
      <c r="B60" s="113">
        <v>28.8</v>
      </c>
      <c r="C60" s="114">
        <v>28.8</v>
      </c>
      <c r="D60" s="113">
        <v>28.8</v>
      </c>
      <c r="E60" s="114">
        <v>28.8</v>
      </c>
      <c r="F60" s="113">
        <v>28.8</v>
      </c>
      <c r="G60" s="114">
        <v>28.8</v>
      </c>
      <c r="H60" s="113">
        <v>28.8</v>
      </c>
      <c r="I60" s="114">
        <v>28.8</v>
      </c>
      <c r="J60" s="113">
        <v>28.8</v>
      </c>
      <c r="K60" s="114">
        <v>28.8</v>
      </c>
      <c r="L60" s="52" t="s">
        <v>9</v>
      </c>
      <c r="M60" s="55" t="s">
        <v>680</v>
      </c>
      <c r="N60" s="52" t="s">
        <v>16</v>
      </c>
      <c r="O60" s="55" t="s">
        <v>507</v>
      </c>
    </row>
    <row r="61" spans="1:24" ht="15.75" thickBot="1">
      <c r="A61" s="51" t="s">
        <v>29</v>
      </c>
      <c r="B61" s="113">
        <v>300</v>
      </c>
      <c r="C61" s="114">
        <v>300</v>
      </c>
      <c r="D61" s="113">
        <v>300</v>
      </c>
      <c r="E61" s="114">
        <v>300</v>
      </c>
      <c r="F61" s="113">
        <v>300</v>
      </c>
      <c r="G61" s="114">
        <v>300</v>
      </c>
      <c r="H61" s="113">
        <v>300</v>
      </c>
      <c r="I61" s="114">
        <v>300</v>
      </c>
      <c r="J61" s="113">
        <v>300</v>
      </c>
      <c r="K61" s="114">
        <v>300</v>
      </c>
      <c r="L61" s="52" t="s">
        <v>9</v>
      </c>
      <c r="M61" s="55" t="s">
        <v>510</v>
      </c>
      <c r="N61" s="52" t="s">
        <v>16</v>
      </c>
      <c r="O61" s="55" t="s">
        <v>507</v>
      </c>
    </row>
    <row r="62" spans="1:24" ht="15.75" thickBot="1">
      <c r="A62" s="51" t="s">
        <v>37</v>
      </c>
      <c r="B62" s="113">
        <v>165</v>
      </c>
      <c r="C62" s="114">
        <v>165</v>
      </c>
      <c r="D62" s="113">
        <v>165</v>
      </c>
      <c r="E62" s="114">
        <v>165</v>
      </c>
      <c r="F62" s="113">
        <v>165</v>
      </c>
      <c r="G62" s="114">
        <v>165</v>
      </c>
      <c r="H62" s="113">
        <v>165</v>
      </c>
      <c r="I62" s="114">
        <v>165</v>
      </c>
      <c r="J62" s="113">
        <v>165</v>
      </c>
      <c r="K62" s="114">
        <v>165</v>
      </c>
      <c r="L62" s="52" t="s">
        <v>9</v>
      </c>
      <c r="M62" s="55" t="s">
        <v>510</v>
      </c>
      <c r="N62" s="52" t="s">
        <v>16</v>
      </c>
      <c r="O62" s="55" t="s">
        <v>507</v>
      </c>
    </row>
    <row r="63" spans="1:24" ht="15.75" thickBot="1">
      <c r="A63" s="51" t="s">
        <v>39</v>
      </c>
      <c r="B63" s="113">
        <v>100</v>
      </c>
      <c r="C63" s="114">
        <v>100</v>
      </c>
      <c r="D63" s="113">
        <v>100</v>
      </c>
      <c r="E63" s="114">
        <v>100</v>
      </c>
      <c r="F63" s="113">
        <v>100</v>
      </c>
      <c r="G63" s="114">
        <v>100</v>
      </c>
      <c r="H63" s="113">
        <v>100</v>
      </c>
      <c r="I63" s="114">
        <v>100</v>
      </c>
      <c r="J63" s="113">
        <v>100</v>
      </c>
      <c r="K63" s="114">
        <v>100</v>
      </c>
      <c r="L63" s="52" t="s">
        <v>9</v>
      </c>
      <c r="M63" s="55" t="s">
        <v>510</v>
      </c>
      <c r="N63" s="52" t="s">
        <v>16</v>
      </c>
      <c r="O63" s="55" t="s">
        <v>507</v>
      </c>
    </row>
    <row r="64" spans="1:24" ht="15.75" thickBot="1">
      <c r="A64" s="51" t="s">
        <v>97</v>
      </c>
      <c r="B64" s="113">
        <v>25.33</v>
      </c>
      <c r="C64" s="114">
        <v>25.33</v>
      </c>
      <c r="D64" s="113">
        <v>25.33</v>
      </c>
      <c r="E64" s="114">
        <v>25.33</v>
      </c>
      <c r="F64" s="113">
        <v>25.33</v>
      </c>
      <c r="G64" s="114">
        <v>25.33</v>
      </c>
      <c r="H64" s="113">
        <v>25.33</v>
      </c>
      <c r="I64" s="114">
        <v>25.33</v>
      </c>
      <c r="J64" s="113">
        <v>25.33</v>
      </c>
      <c r="K64" s="114">
        <v>25.33</v>
      </c>
      <c r="L64" s="52" t="s">
        <v>9</v>
      </c>
      <c r="M64" s="55" t="s">
        <v>680</v>
      </c>
      <c r="N64" s="52" t="s">
        <v>16</v>
      </c>
      <c r="O64" s="55" t="s">
        <v>507</v>
      </c>
    </row>
    <row r="65" spans="1:24" ht="15.75" thickBot="1">
      <c r="A65" s="51" t="s">
        <v>42</v>
      </c>
      <c r="B65" s="113">
        <v>29</v>
      </c>
      <c r="C65" s="114">
        <v>29</v>
      </c>
      <c r="D65" s="113">
        <v>29</v>
      </c>
      <c r="E65" s="114">
        <v>29</v>
      </c>
      <c r="F65" s="113">
        <v>29</v>
      </c>
      <c r="G65" s="114">
        <v>29</v>
      </c>
      <c r="H65" s="113">
        <v>29</v>
      </c>
      <c r="I65" s="114">
        <v>29</v>
      </c>
      <c r="J65" s="113">
        <v>29</v>
      </c>
      <c r="K65" s="114">
        <v>29</v>
      </c>
      <c r="L65" s="52" t="s">
        <v>9</v>
      </c>
      <c r="M65" s="55" t="s">
        <v>510</v>
      </c>
      <c r="N65" s="52" t="s">
        <v>16</v>
      </c>
      <c r="O65" s="55" t="s">
        <v>507</v>
      </c>
    </row>
    <row r="66" spans="1:24" ht="15.75" thickBot="1">
      <c r="A66" s="51" t="s">
        <v>43</v>
      </c>
      <c r="B66" s="113">
        <v>189</v>
      </c>
      <c r="C66" s="114">
        <v>189</v>
      </c>
      <c r="D66" s="113">
        <v>192</v>
      </c>
      <c r="E66" s="114">
        <v>192</v>
      </c>
      <c r="F66" s="113">
        <v>192</v>
      </c>
      <c r="G66" s="114">
        <v>192</v>
      </c>
      <c r="H66" s="113">
        <v>192</v>
      </c>
      <c r="I66" s="114">
        <v>192</v>
      </c>
      <c r="J66" s="113">
        <v>192</v>
      </c>
      <c r="K66" s="114">
        <v>192</v>
      </c>
      <c r="L66" s="52" t="s">
        <v>9</v>
      </c>
      <c r="M66" s="55" t="s">
        <v>508</v>
      </c>
      <c r="N66" s="52" t="s">
        <v>16</v>
      </c>
      <c r="O66" s="55" t="s">
        <v>507</v>
      </c>
    </row>
    <row r="67" spans="1:24" ht="15.75" thickBot="1">
      <c r="A67" s="51" t="s">
        <v>46</v>
      </c>
      <c r="B67" s="113">
        <v>216</v>
      </c>
      <c r="C67" s="114">
        <v>216</v>
      </c>
      <c r="D67" s="113">
        <v>216</v>
      </c>
      <c r="E67" s="114">
        <v>216</v>
      </c>
      <c r="F67" s="113">
        <v>216</v>
      </c>
      <c r="G67" s="114">
        <v>216</v>
      </c>
      <c r="H67" s="113">
        <v>216</v>
      </c>
      <c r="I67" s="114">
        <v>216</v>
      </c>
      <c r="J67" s="113">
        <v>216</v>
      </c>
      <c r="K67" s="114">
        <v>216</v>
      </c>
      <c r="L67" s="52" t="s">
        <v>9</v>
      </c>
      <c r="M67" s="55" t="s">
        <v>508</v>
      </c>
      <c r="N67" s="52" t="s">
        <v>16</v>
      </c>
      <c r="O67" s="55" t="s">
        <v>507</v>
      </c>
    </row>
    <row r="68" spans="1:24" ht="15.75" thickBot="1">
      <c r="A68" s="51" t="s">
        <v>51</v>
      </c>
      <c r="B68" s="113">
        <v>300</v>
      </c>
      <c r="C68" s="114">
        <v>300</v>
      </c>
      <c r="D68" s="113">
        <v>300</v>
      </c>
      <c r="E68" s="114">
        <v>300</v>
      </c>
      <c r="F68" s="113">
        <v>300</v>
      </c>
      <c r="G68" s="114">
        <v>300</v>
      </c>
      <c r="H68" s="113">
        <v>300</v>
      </c>
      <c r="I68" s="114">
        <v>300</v>
      </c>
      <c r="J68" s="113">
        <v>300</v>
      </c>
      <c r="K68" s="114">
        <v>300</v>
      </c>
      <c r="L68" s="52" t="s">
        <v>9</v>
      </c>
      <c r="M68" s="55" t="s">
        <v>508</v>
      </c>
      <c r="N68" s="52" t="s">
        <v>16</v>
      </c>
      <c r="O68" s="55" t="s">
        <v>507</v>
      </c>
    </row>
    <row r="69" spans="1:24" ht="15.75" thickBot="1">
      <c r="A69" s="51" t="s">
        <v>54</v>
      </c>
      <c r="B69" s="113">
        <v>2144</v>
      </c>
      <c r="C69" s="114">
        <v>2144</v>
      </c>
      <c r="D69" s="113">
        <v>2144</v>
      </c>
      <c r="E69" s="114">
        <v>2144</v>
      </c>
      <c r="F69" s="113">
        <v>2144</v>
      </c>
      <c r="G69" s="114">
        <v>2144</v>
      </c>
      <c r="H69" s="113">
        <v>2144</v>
      </c>
      <c r="I69" s="114">
        <v>2144</v>
      </c>
      <c r="J69" s="113">
        <v>2144</v>
      </c>
      <c r="K69" s="114">
        <v>2136</v>
      </c>
      <c r="L69" s="52" t="s">
        <v>9</v>
      </c>
      <c r="M69" s="55" t="s">
        <v>508</v>
      </c>
      <c r="N69" s="52" t="s">
        <v>16</v>
      </c>
      <c r="O69" s="55" t="s">
        <v>507</v>
      </c>
    </row>
    <row r="70" spans="1:24" ht="15.75" thickBot="1">
      <c r="A70" s="51" t="s">
        <v>56</v>
      </c>
      <c r="B70" s="113">
        <v>980</v>
      </c>
      <c r="C70" s="114">
        <v>980</v>
      </c>
      <c r="D70" s="113">
        <v>980</v>
      </c>
      <c r="E70" s="114">
        <v>980</v>
      </c>
      <c r="F70" s="113">
        <v>980</v>
      </c>
      <c r="G70" s="114">
        <v>980</v>
      </c>
      <c r="H70" s="113">
        <v>980</v>
      </c>
      <c r="I70" s="114">
        <v>980</v>
      </c>
      <c r="J70" s="113">
        <v>980</v>
      </c>
      <c r="K70" s="114">
        <v>980</v>
      </c>
      <c r="L70" s="52" t="s">
        <v>9</v>
      </c>
      <c r="M70" s="55" t="s">
        <v>508</v>
      </c>
      <c r="N70" s="52" t="s">
        <v>16</v>
      </c>
      <c r="O70" s="55" t="s">
        <v>507</v>
      </c>
    </row>
    <row r="71" spans="1:24" ht="15.75" thickBot="1">
      <c r="A71" s="51" t="s">
        <v>61</v>
      </c>
      <c r="B71" s="113">
        <v>518</v>
      </c>
      <c r="C71" s="114">
        <v>518</v>
      </c>
      <c r="D71" s="113">
        <v>518</v>
      </c>
      <c r="E71" s="114">
        <v>518</v>
      </c>
      <c r="F71" s="113">
        <v>518</v>
      </c>
      <c r="G71" s="114">
        <v>518</v>
      </c>
      <c r="H71" s="113">
        <v>518</v>
      </c>
      <c r="I71" s="114">
        <v>518</v>
      </c>
      <c r="J71" s="113">
        <v>518</v>
      </c>
      <c r="K71" s="114">
        <v>518</v>
      </c>
      <c r="L71" s="52" t="s">
        <v>9</v>
      </c>
      <c r="M71" s="55" t="s">
        <v>508</v>
      </c>
      <c r="N71" s="52" t="s">
        <v>16</v>
      </c>
      <c r="O71" s="55" t="s">
        <v>507</v>
      </c>
    </row>
    <row r="72" spans="1:24" ht="15.75" thickBot="1">
      <c r="A72" s="51" t="s">
        <v>65</v>
      </c>
      <c r="B72" s="113">
        <v>950</v>
      </c>
      <c r="C72" s="114">
        <v>855</v>
      </c>
      <c r="D72" s="113">
        <v>855</v>
      </c>
      <c r="E72" s="114">
        <v>950</v>
      </c>
      <c r="F72" s="113">
        <v>855</v>
      </c>
      <c r="G72" s="114">
        <v>855</v>
      </c>
      <c r="H72" s="113">
        <v>855</v>
      </c>
      <c r="I72" s="114">
        <v>950</v>
      </c>
      <c r="J72" s="113">
        <v>950</v>
      </c>
      <c r="K72" s="114">
        <v>950</v>
      </c>
      <c r="L72" s="52" t="s">
        <v>9</v>
      </c>
      <c r="M72" s="55" t="s">
        <v>510</v>
      </c>
      <c r="N72" s="52" t="s">
        <v>16</v>
      </c>
      <c r="O72" s="55" t="s">
        <v>507</v>
      </c>
      <c r="P72" s="50"/>
      <c r="Q72" s="50"/>
      <c r="R72" s="50"/>
      <c r="S72" s="50"/>
      <c r="T72" s="50"/>
      <c r="U72" s="50"/>
      <c r="V72" s="50"/>
      <c r="W72" s="50"/>
      <c r="X72" s="50"/>
    </row>
    <row r="73" spans="1:24" ht="15.75" thickBot="1">
      <c r="A73" s="51" t="s">
        <v>67</v>
      </c>
      <c r="B73" s="113">
        <v>560</v>
      </c>
      <c r="C73" s="114">
        <v>560</v>
      </c>
      <c r="D73" s="113">
        <v>560</v>
      </c>
      <c r="E73" s="114">
        <v>560</v>
      </c>
      <c r="F73" s="113">
        <v>560</v>
      </c>
      <c r="G73" s="114">
        <v>560</v>
      </c>
      <c r="H73" s="113">
        <v>560</v>
      </c>
      <c r="I73" s="114">
        <v>560</v>
      </c>
      <c r="J73" s="113">
        <v>560</v>
      </c>
      <c r="K73" s="114">
        <v>560</v>
      </c>
      <c r="L73" s="52" t="s">
        <v>9</v>
      </c>
      <c r="M73" s="55" t="s">
        <v>510</v>
      </c>
      <c r="N73" s="52" t="s">
        <v>16</v>
      </c>
      <c r="O73" s="55" t="s">
        <v>507</v>
      </c>
      <c r="P73" s="50"/>
      <c r="Q73" s="50"/>
      <c r="R73" s="50"/>
      <c r="S73" s="50"/>
      <c r="T73" s="50"/>
      <c r="U73" s="50"/>
      <c r="V73" s="50"/>
      <c r="W73" s="50"/>
      <c r="X73" s="50"/>
    </row>
    <row r="74" spans="1:24" ht="15.75" thickBot="1">
      <c r="A74" s="51" t="s">
        <v>69</v>
      </c>
      <c r="B74" s="113">
        <v>475</v>
      </c>
      <c r="C74" s="114">
        <v>475</v>
      </c>
      <c r="D74" s="113">
        <v>475</v>
      </c>
      <c r="E74" s="114">
        <v>475</v>
      </c>
      <c r="F74" s="113">
        <v>475</v>
      </c>
      <c r="G74" s="114">
        <v>475</v>
      </c>
      <c r="H74" s="113">
        <v>475</v>
      </c>
      <c r="I74" s="114">
        <v>475</v>
      </c>
      <c r="J74" s="113">
        <v>475</v>
      </c>
      <c r="K74" s="114">
        <v>475</v>
      </c>
      <c r="L74" s="52" t="s">
        <v>9</v>
      </c>
      <c r="M74" s="55" t="s">
        <v>508</v>
      </c>
      <c r="N74" s="52" t="s">
        <v>16</v>
      </c>
      <c r="O74" s="55" t="s">
        <v>507</v>
      </c>
      <c r="P74" s="50"/>
      <c r="Q74" s="50"/>
      <c r="R74" s="50"/>
      <c r="S74" s="50"/>
      <c r="T74" s="50"/>
      <c r="U74" s="50"/>
      <c r="V74" s="50"/>
      <c r="W74" s="50"/>
      <c r="X74" s="50"/>
    </row>
    <row r="75" spans="1:24" ht="15.75" thickBot="1">
      <c r="A75" s="51" t="s">
        <v>77</v>
      </c>
      <c r="B75" s="113">
        <v>140</v>
      </c>
      <c r="C75" s="114">
        <v>140</v>
      </c>
      <c r="D75" s="113">
        <v>140</v>
      </c>
      <c r="E75" s="114">
        <v>140</v>
      </c>
      <c r="F75" s="113">
        <v>140</v>
      </c>
      <c r="G75" s="114">
        <v>140</v>
      </c>
      <c r="H75" s="113">
        <v>140</v>
      </c>
      <c r="I75" s="114">
        <v>140</v>
      </c>
      <c r="J75" s="113">
        <v>140</v>
      </c>
      <c r="K75" s="114">
        <v>140</v>
      </c>
      <c r="L75" s="52" t="s">
        <v>9</v>
      </c>
      <c r="M75" s="55" t="s">
        <v>508</v>
      </c>
      <c r="N75" s="52" t="s">
        <v>16</v>
      </c>
      <c r="O75" s="55" t="s">
        <v>507</v>
      </c>
      <c r="P75" s="50"/>
      <c r="Q75" s="50"/>
      <c r="R75" s="50"/>
      <c r="S75" s="50"/>
      <c r="T75" s="50"/>
      <c r="U75" s="50"/>
      <c r="V75" s="50"/>
      <c r="W75" s="50"/>
      <c r="X75" s="50"/>
    </row>
    <row r="76" spans="1:24" ht="15.75" thickBot="1">
      <c r="A76" s="51" t="s">
        <v>81</v>
      </c>
      <c r="B76" s="113">
        <v>270</v>
      </c>
      <c r="C76" s="114">
        <v>270</v>
      </c>
      <c r="D76" s="113">
        <v>270</v>
      </c>
      <c r="E76" s="114">
        <v>270</v>
      </c>
      <c r="F76" s="113">
        <v>270</v>
      </c>
      <c r="G76" s="114">
        <v>270</v>
      </c>
      <c r="H76" s="113">
        <v>270</v>
      </c>
      <c r="I76" s="114">
        <v>270</v>
      </c>
      <c r="J76" s="113">
        <v>270</v>
      </c>
      <c r="K76" s="114">
        <v>270</v>
      </c>
      <c r="L76" s="52" t="s">
        <v>9</v>
      </c>
      <c r="M76" s="55" t="s">
        <v>508</v>
      </c>
      <c r="N76" s="52" t="s">
        <v>16</v>
      </c>
      <c r="O76" s="55" t="s">
        <v>507</v>
      </c>
      <c r="P76" s="50"/>
      <c r="Q76" s="50"/>
      <c r="R76" s="50"/>
      <c r="S76" s="50"/>
      <c r="T76" s="50"/>
      <c r="U76" s="50"/>
      <c r="V76" s="50"/>
      <c r="W76" s="50"/>
      <c r="X76" s="50"/>
    </row>
    <row r="77" spans="1:24" ht="15.75" thickBot="1">
      <c r="A77" s="51" t="s">
        <v>82</v>
      </c>
      <c r="B77" s="113">
        <v>68</v>
      </c>
      <c r="C77" s="114">
        <v>68</v>
      </c>
      <c r="D77" s="113">
        <v>68</v>
      </c>
      <c r="E77" s="114">
        <v>68</v>
      </c>
      <c r="F77" s="113">
        <v>68</v>
      </c>
      <c r="G77" s="114">
        <v>68</v>
      </c>
      <c r="H77" s="113">
        <v>68</v>
      </c>
      <c r="I77" s="114">
        <v>68</v>
      </c>
      <c r="J77" s="113">
        <v>68</v>
      </c>
      <c r="K77" s="114">
        <v>68</v>
      </c>
      <c r="L77" s="52" t="s">
        <v>9</v>
      </c>
      <c r="M77" s="55" t="s">
        <v>510</v>
      </c>
      <c r="N77" s="52" t="s">
        <v>16</v>
      </c>
      <c r="O77" s="55" t="s">
        <v>507</v>
      </c>
    </row>
    <row r="78" spans="1:24" ht="15.75" thickBot="1">
      <c r="A78" s="51" t="s">
        <v>84</v>
      </c>
      <c r="B78" s="113">
        <v>1420</v>
      </c>
      <c r="C78" s="114">
        <v>1420</v>
      </c>
      <c r="D78" s="113">
        <v>1420</v>
      </c>
      <c r="E78" s="114">
        <v>1420</v>
      </c>
      <c r="F78" s="113">
        <v>1420</v>
      </c>
      <c r="G78" s="114">
        <v>1420</v>
      </c>
      <c r="H78" s="113">
        <v>1420</v>
      </c>
      <c r="I78" s="114">
        <v>1420</v>
      </c>
      <c r="J78" s="113">
        <v>1420</v>
      </c>
      <c r="K78" s="114">
        <v>1420</v>
      </c>
      <c r="L78" s="52" t="s">
        <v>9</v>
      </c>
      <c r="M78" s="55" t="s">
        <v>508</v>
      </c>
      <c r="N78" s="52" t="s">
        <v>16</v>
      </c>
      <c r="O78" s="55" t="s">
        <v>507</v>
      </c>
    </row>
    <row r="79" spans="1:24" ht="15.75" thickBot="1">
      <c r="B79" s="109"/>
      <c r="C79" s="109"/>
      <c r="D79" s="109"/>
      <c r="E79" s="109"/>
      <c r="F79" s="109"/>
      <c r="G79" s="109"/>
      <c r="H79" s="109"/>
      <c r="I79" s="109"/>
      <c r="J79" s="109"/>
      <c r="K79" s="109"/>
    </row>
    <row r="80" spans="1:24" ht="15.75" thickBot="1">
      <c r="A80" s="51" t="s">
        <v>521</v>
      </c>
      <c r="B80" s="110">
        <f>SUMIF(Query1[[FuelType]:[FuelType]],"Wind",Query1[201819])*0.081</f>
        <v>90.027450000000002</v>
      </c>
      <c r="C80" s="110">
        <f>SUMIF(Query1[[FuelType]:[FuelType]],"Wind",Query1[201920])*0.081</f>
        <v>207.31140000000002</v>
      </c>
      <c r="D80" s="110">
        <f>SUMIF(Query1[[FuelType]:[FuelType]],"Wind",Query1[202021])*0.081</f>
        <v>249.88499999999996</v>
      </c>
      <c r="E80" s="110">
        <f>SUMIF(Query1[[FuelType]:[FuelType]],"Wind",Query1[202122])*0.081</f>
        <v>249.88499999999996</v>
      </c>
      <c r="F80" s="110">
        <f>SUMIF(Query1[[FuelType]:[FuelType]],"Wind",Query1[202223])*0.081</f>
        <v>249.88499999999996</v>
      </c>
      <c r="G80" s="110">
        <f>SUMIF(Query1[[FuelType]:[FuelType]],"Wind",Query1[202324])*0.081</f>
        <v>249.88499999999996</v>
      </c>
      <c r="H80" s="110">
        <f>SUMIF(Query1[[FuelType]:[FuelType]],"Wind",Query1[202425])*0.081</f>
        <v>249.88499999999996</v>
      </c>
      <c r="I80" s="110">
        <f>SUMIF(Query1[[FuelType]:[FuelType]],"Wind",Query1[202526])*0.081</f>
        <v>249.88499999999996</v>
      </c>
      <c r="J80" s="110">
        <f>SUMIF(Query1[[FuelType]:[FuelType]],"Wind",Query1[202627])*0.081</f>
        <v>249.88499999999996</v>
      </c>
      <c r="K80" s="110">
        <f>SUMIF(Query1[[FuelType]:[FuelType]],"Wind",Query1[202728])*0.081</f>
        <v>249.88499999999996</v>
      </c>
      <c r="L80" s="52" t="s">
        <v>15</v>
      </c>
      <c r="M80" s="50"/>
      <c r="N80" s="50"/>
      <c r="O80" s="50"/>
    </row>
    <row r="81" spans="1:15" ht="15.75" thickBot="1">
      <c r="A81" s="51" t="s">
        <v>522</v>
      </c>
      <c r="B81" s="113" t="s">
        <v>523</v>
      </c>
      <c r="C81" s="114" t="s">
        <v>523</v>
      </c>
      <c r="D81" s="113" t="s">
        <v>523</v>
      </c>
      <c r="E81" s="114" t="s">
        <v>523</v>
      </c>
      <c r="F81" s="113" t="s">
        <v>523</v>
      </c>
      <c r="G81" s="114" t="s">
        <v>523</v>
      </c>
      <c r="H81" s="113" t="s">
        <v>523</v>
      </c>
      <c r="I81" s="114" t="s">
        <v>523</v>
      </c>
      <c r="J81" s="113" t="s">
        <v>523</v>
      </c>
      <c r="K81" s="114" t="s">
        <v>523</v>
      </c>
      <c r="L81" s="52" t="s">
        <v>15</v>
      </c>
      <c r="M81" s="50"/>
      <c r="N81" s="50"/>
      <c r="O81" s="50"/>
    </row>
    <row r="82" spans="1:15" ht="15.75" thickBot="1">
      <c r="A82" s="53" t="s">
        <v>86</v>
      </c>
      <c r="B82" s="110">
        <f>SUM(sumcapsStable[201819]) +B80</f>
        <v>9046.1574500000006</v>
      </c>
      <c r="C82" s="110">
        <f>SUM(sumcapsStable[201920]) +C80</f>
        <v>9068.4414000000015</v>
      </c>
      <c r="D82" s="110">
        <f>SUM(sumcapsStable[202021]) +D80</f>
        <v>9114.0150000000012</v>
      </c>
      <c r="E82" s="110">
        <f>SUM(sumcapsStable[202122]) +E80</f>
        <v>9209.0150000000012</v>
      </c>
      <c r="F82" s="110">
        <f>SUM(sumcapsStable[202223]) +F80</f>
        <v>9114.0150000000012</v>
      </c>
      <c r="G82" s="110">
        <f>SUM(sumcapsStable[202324]) +G80</f>
        <v>9114.0150000000012</v>
      </c>
      <c r="H82" s="110">
        <f>SUM(sumcapsStable[202425]) +H80</f>
        <v>9114.0150000000012</v>
      </c>
      <c r="I82" s="110">
        <f>SUM(sumcapsStable[202526]) +I80</f>
        <v>9209.0150000000012</v>
      </c>
      <c r="J82" s="110">
        <f>SUM(sumcapsStable[202627]) +J80</f>
        <v>9209.0150000000012</v>
      </c>
      <c r="K82" s="110">
        <f>SUM(sumcapsStable[202728]) +K80</f>
        <v>9201.0150000000012</v>
      </c>
      <c r="L82" s="54"/>
      <c r="M82" s="50"/>
      <c r="N82" s="50"/>
      <c r="O82" s="50"/>
    </row>
    <row r="83" spans="1:15" ht="15.75" thickBot="1">
      <c r="B83" s="57"/>
      <c r="C83" s="57"/>
      <c r="D83" s="57"/>
      <c r="E83" s="57"/>
      <c r="F83" s="57"/>
      <c r="G83" s="57"/>
      <c r="H83" s="57"/>
      <c r="I83" s="57"/>
      <c r="J83" s="57"/>
      <c r="K83" s="57"/>
      <c r="M83" s="50"/>
      <c r="N83" s="50"/>
      <c r="O83" s="50"/>
    </row>
    <row r="84" spans="1:15" ht="20.25" thickBot="1">
      <c r="A84" s="25" t="s">
        <v>517</v>
      </c>
      <c r="M84" s="50"/>
      <c r="N84" s="50"/>
      <c r="O84" s="50"/>
    </row>
    <row r="85" spans="1:15" ht="15.75" thickBot="1">
      <c r="A85" s="144" t="s">
        <v>504</v>
      </c>
      <c r="B85" s="144" t="s">
        <v>645</v>
      </c>
      <c r="C85" s="144" t="s">
        <v>646</v>
      </c>
      <c r="D85" s="144" t="s">
        <v>647</v>
      </c>
      <c r="E85" s="144" t="s">
        <v>648</v>
      </c>
      <c r="F85" s="144" t="s">
        <v>649</v>
      </c>
      <c r="G85" s="144" t="s">
        <v>650</v>
      </c>
      <c r="H85" s="144" t="s">
        <v>651</v>
      </c>
      <c r="I85" s="144" t="s">
        <v>652</v>
      </c>
      <c r="J85" s="144" t="s">
        <v>653</v>
      </c>
      <c r="K85" s="144" t="s">
        <v>654</v>
      </c>
      <c r="L85" s="144" t="s">
        <v>567</v>
      </c>
      <c r="M85" s="58" t="s">
        <v>505</v>
      </c>
      <c r="N85" s="58" t="s">
        <v>7</v>
      </c>
      <c r="O85" s="58" t="s">
        <v>506</v>
      </c>
    </row>
    <row r="86" spans="1:15" ht="15.75" thickBot="1">
      <c r="A86" s="72" t="s">
        <v>632</v>
      </c>
      <c r="B86" s="107">
        <v>195</v>
      </c>
      <c r="C86" s="103">
        <v>195</v>
      </c>
      <c r="D86" s="107">
        <v>195</v>
      </c>
      <c r="E86" s="103">
        <v>195</v>
      </c>
      <c r="F86" s="107">
        <v>195</v>
      </c>
      <c r="G86" s="103">
        <v>195</v>
      </c>
      <c r="H86" s="107">
        <v>195</v>
      </c>
      <c r="I86" s="103">
        <v>195</v>
      </c>
      <c r="J86" s="107">
        <v>195</v>
      </c>
      <c r="K86" s="103">
        <v>195</v>
      </c>
      <c r="L86" s="74" t="s">
        <v>15</v>
      </c>
      <c r="M86" s="18" t="s">
        <v>14</v>
      </c>
      <c r="N86" s="74" t="s">
        <v>16</v>
      </c>
      <c r="O86" s="18" t="s">
        <v>507</v>
      </c>
    </row>
    <row r="87" spans="1:15" ht="15.75" thickBot="1">
      <c r="A87" s="71" t="s">
        <v>633</v>
      </c>
      <c r="B87" s="108">
        <v>106.6</v>
      </c>
      <c r="C87" s="104">
        <v>106.6</v>
      </c>
      <c r="D87" s="108">
        <v>106.6</v>
      </c>
      <c r="E87" s="104">
        <v>106.6</v>
      </c>
      <c r="F87" s="108">
        <v>106.6</v>
      </c>
      <c r="G87" s="104">
        <v>106.6</v>
      </c>
      <c r="H87" s="108">
        <v>106.6</v>
      </c>
      <c r="I87" s="104">
        <v>106.6</v>
      </c>
      <c r="J87" s="108">
        <v>106.6</v>
      </c>
      <c r="K87" s="104">
        <v>106.6</v>
      </c>
      <c r="L87" s="73" t="s">
        <v>15</v>
      </c>
      <c r="M87" s="17" t="s">
        <v>14</v>
      </c>
      <c r="N87" s="73" t="s">
        <v>16</v>
      </c>
      <c r="O87" s="17" t="s">
        <v>507</v>
      </c>
    </row>
    <row r="88" spans="1:15" ht="15.75" thickBot="1">
      <c r="A88" s="71" t="s">
        <v>89</v>
      </c>
      <c r="B88" s="108">
        <v>88</v>
      </c>
      <c r="C88" s="104">
        <v>88</v>
      </c>
      <c r="D88" s="108">
        <v>88</v>
      </c>
      <c r="E88" s="104">
        <v>88</v>
      </c>
      <c r="F88" s="108">
        <v>88</v>
      </c>
      <c r="G88" s="104">
        <v>88</v>
      </c>
      <c r="H88" s="108">
        <v>88</v>
      </c>
      <c r="I88" s="104">
        <v>88</v>
      </c>
      <c r="J88" s="108">
        <v>88</v>
      </c>
      <c r="K88" s="104">
        <v>88</v>
      </c>
      <c r="L88" s="73" t="s">
        <v>15</v>
      </c>
      <c r="M88" s="17" t="s">
        <v>33</v>
      </c>
      <c r="N88" s="73" t="s">
        <v>16</v>
      </c>
      <c r="O88" s="17" t="s">
        <v>507</v>
      </c>
    </row>
    <row r="89" spans="1:15" ht="15.75" thickBot="1">
      <c r="A89" s="71" t="s">
        <v>92</v>
      </c>
      <c r="B89" s="108">
        <v>0</v>
      </c>
      <c r="C89" s="104">
        <v>20</v>
      </c>
      <c r="D89" s="108">
        <v>20</v>
      </c>
      <c r="E89" s="104">
        <v>20</v>
      </c>
      <c r="F89" s="108">
        <v>20</v>
      </c>
      <c r="G89" s="104">
        <v>20</v>
      </c>
      <c r="H89" s="108">
        <v>20</v>
      </c>
      <c r="I89" s="104">
        <v>20</v>
      </c>
      <c r="J89" s="108">
        <v>20</v>
      </c>
      <c r="K89" s="104">
        <v>20</v>
      </c>
      <c r="L89" s="73" t="s">
        <v>15</v>
      </c>
      <c r="M89" s="17" t="s">
        <v>680</v>
      </c>
      <c r="N89" s="73" t="s">
        <v>16</v>
      </c>
      <c r="O89" s="17" t="s">
        <v>507</v>
      </c>
    </row>
    <row r="90" spans="1:15" ht="15.75" thickBot="1">
      <c r="A90" s="71" t="s">
        <v>93</v>
      </c>
      <c r="B90" s="108">
        <v>0</v>
      </c>
      <c r="C90" s="104">
        <v>194</v>
      </c>
      <c r="D90" s="108">
        <v>194</v>
      </c>
      <c r="E90" s="104">
        <v>194</v>
      </c>
      <c r="F90" s="108">
        <v>194</v>
      </c>
      <c r="G90" s="104">
        <v>194</v>
      </c>
      <c r="H90" s="108">
        <v>194</v>
      </c>
      <c r="I90" s="104">
        <v>194</v>
      </c>
      <c r="J90" s="108">
        <v>194</v>
      </c>
      <c r="K90" s="104">
        <v>194</v>
      </c>
      <c r="L90" s="73" t="s">
        <v>15</v>
      </c>
      <c r="M90" s="17" t="s">
        <v>14</v>
      </c>
      <c r="N90" s="73" t="s">
        <v>16</v>
      </c>
      <c r="O90" s="17" t="s">
        <v>507</v>
      </c>
    </row>
    <row r="91" spans="1:15" ht="15.75" thickBot="1">
      <c r="A91" s="71" t="s">
        <v>716</v>
      </c>
      <c r="B91" s="108">
        <v>0</v>
      </c>
      <c r="C91" s="104">
        <v>0</v>
      </c>
      <c r="D91" s="108">
        <v>57.6</v>
      </c>
      <c r="E91" s="104">
        <v>57.6</v>
      </c>
      <c r="F91" s="108">
        <v>57.6</v>
      </c>
      <c r="G91" s="104">
        <v>57.6</v>
      </c>
      <c r="H91" s="108">
        <v>57.6</v>
      </c>
      <c r="I91" s="104">
        <v>57.6</v>
      </c>
      <c r="J91" s="108">
        <v>57.6</v>
      </c>
      <c r="K91" s="104">
        <v>57.6</v>
      </c>
      <c r="L91" s="73" t="s">
        <v>15</v>
      </c>
      <c r="M91" s="17" t="s">
        <v>14</v>
      </c>
      <c r="N91" s="73" t="s">
        <v>16</v>
      </c>
      <c r="O91" s="17" t="s">
        <v>507</v>
      </c>
    </row>
    <row r="92" spans="1:15" ht="15.75" thickBot="1">
      <c r="A92" s="71" t="s">
        <v>705</v>
      </c>
      <c r="B92" s="108">
        <v>0</v>
      </c>
      <c r="C92" s="104">
        <v>27.27</v>
      </c>
      <c r="D92" s="108">
        <v>27.27</v>
      </c>
      <c r="E92" s="104">
        <v>27.27</v>
      </c>
      <c r="F92" s="108">
        <v>27.27</v>
      </c>
      <c r="G92" s="104">
        <v>27.27</v>
      </c>
      <c r="H92" s="108">
        <v>27.27</v>
      </c>
      <c r="I92" s="104">
        <v>27.27</v>
      </c>
      <c r="J92" s="108">
        <v>27.27</v>
      </c>
      <c r="K92" s="104">
        <v>27.27</v>
      </c>
      <c r="L92" s="73" t="s">
        <v>15</v>
      </c>
      <c r="M92" s="17" t="s">
        <v>33</v>
      </c>
      <c r="N92" s="73" t="s">
        <v>16</v>
      </c>
      <c r="O92" s="17" t="s">
        <v>507</v>
      </c>
    </row>
    <row r="93" spans="1:15" ht="15.75" thickBot="1">
      <c r="A93" s="71" t="s">
        <v>95</v>
      </c>
      <c r="B93" s="108">
        <v>0</v>
      </c>
      <c r="C93" s="104">
        <v>79.95</v>
      </c>
      <c r="D93" s="108">
        <v>79.95</v>
      </c>
      <c r="E93" s="104">
        <v>79.95</v>
      </c>
      <c r="F93" s="108">
        <v>79.95</v>
      </c>
      <c r="G93" s="104">
        <v>79.95</v>
      </c>
      <c r="H93" s="108">
        <v>79.95</v>
      </c>
      <c r="I93" s="104">
        <v>79.95</v>
      </c>
      <c r="J93" s="108">
        <v>79.95</v>
      </c>
      <c r="K93" s="104">
        <v>79.95</v>
      </c>
      <c r="L93" s="73" t="s">
        <v>15</v>
      </c>
      <c r="M93" s="17" t="s">
        <v>14</v>
      </c>
      <c r="N93" s="73" t="s">
        <v>16</v>
      </c>
      <c r="O93" s="17" t="s">
        <v>507</v>
      </c>
    </row>
    <row r="94" spans="1:15" ht="15.75" thickBot="1">
      <c r="A94" s="71" t="s">
        <v>683</v>
      </c>
      <c r="B94" s="108">
        <v>0</v>
      </c>
      <c r="C94" s="104">
        <v>0</v>
      </c>
      <c r="D94" s="108">
        <v>336</v>
      </c>
      <c r="E94" s="104">
        <v>336</v>
      </c>
      <c r="F94" s="108">
        <v>336</v>
      </c>
      <c r="G94" s="104">
        <v>336</v>
      </c>
      <c r="H94" s="108">
        <v>336</v>
      </c>
      <c r="I94" s="104">
        <v>336</v>
      </c>
      <c r="J94" s="108">
        <v>336</v>
      </c>
      <c r="K94" s="104">
        <v>336</v>
      </c>
      <c r="L94" s="73" t="s">
        <v>15</v>
      </c>
      <c r="M94" s="17" t="s">
        <v>14</v>
      </c>
      <c r="N94" s="73" t="s">
        <v>16</v>
      </c>
      <c r="O94" s="17" t="s">
        <v>507</v>
      </c>
    </row>
    <row r="95" spans="1:15" ht="15.75" thickBot="1">
      <c r="A95" s="71" t="s">
        <v>98</v>
      </c>
      <c r="B95" s="108">
        <v>50</v>
      </c>
      <c r="C95" s="104">
        <v>50</v>
      </c>
      <c r="D95" s="108">
        <v>50</v>
      </c>
      <c r="E95" s="104">
        <v>50</v>
      </c>
      <c r="F95" s="108">
        <v>50</v>
      </c>
      <c r="G95" s="104">
        <v>50</v>
      </c>
      <c r="H95" s="108">
        <v>50</v>
      </c>
      <c r="I95" s="104">
        <v>50</v>
      </c>
      <c r="J95" s="108">
        <v>50</v>
      </c>
      <c r="K95" s="104">
        <v>50</v>
      </c>
      <c r="L95" s="73" t="s">
        <v>15</v>
      </c>
      <c r="M95" s="17" t="s">
        <v>33</v>
      </c>
      <c r="N95" s="73" t="s">
        <v>16</v>
      </c>
      <c r="O95" s="17" t="s">
        <v>507</v>
      </c>
    </row>
    <row r="96" spans="1:15" ht="15.75" thickBot="1">
      <c r="A96" s="71" t="s">
        <v>288</v>
      </c>
      <c r="B96" s="108">
        <v>90</v>
      </c>
      <c r="C96" s="104">
        <v>90</v>
      </c>
      <c r="D96" s="108">
        <v>90</v>
      </c>
      <c r="E96" s="104">
        <v>90</v>
      </c>
      <c r="F96" s="108">
        <v>90</v>
      </c>
      <c r="G96" s="104">
        <v>90</v>
      </c>
      <c r="H96" s="108">
        <v>90</v>
      </c>
      <c r="I96" s="104">
        <v>90</v>
      </c>
      <c r="J96" s="108">
        <v>90</v>
      </c>
      <c r="K96" s="104">
        <v>90</v>
      </c>
      <c r="L96" s="73" t="s">
        <v>15</v>
      </c>
      <c r="M96" s="17" t="s">
        <v>33</v>
      </c>
      <c r="N96" s="73" t="s">
        <v>16</v>
      </c>
      <c r="O96" s="17" t="s">
        <v>507</v>
      </c>
    </row>
    <row r="97" spans="1:24" ht="23.25" thickBot="1">
      <c r="A97" s="71" t="s">
        <v>685</v>
      </c>
      <c r="B97" s="108">
        <v>0</v>
      </c>
      <c r="C97" s="104">
        <v>200</v>
      </c>
      <c r="D97" s="108">
        <v>200</v>
      </c>
      <c r="E97" s="104">
        <v>200</v>
      </c>
      <c r="F97" s="108">
        <v>200</v>
      </c>
      <c r="G97" s="104">
        <v>200</v>
      </c>
      <c r="H97" s="108">
        <v>200</v>
      </c>
      <c r="I97" s="104">
        <v>200</v>
      </c>
      <c r="J97" s="108">
        <v>200</v>
      </c>
      <c r="K97" s="104">
        <v>200</v>
      </c>
      <c r="L97" s="73" t="s">
        <v>15</v>
      </c>
      <c r="M97" s="17" t="s">
        <v>33</v>
      </c>
      <c r="N97" s="73" t="s">
        <v>16</v>
      </c>
      <c r="O97" s="17" t="s">
        <v>507</v>
      </c>
      <c r="P97" s="50"/>
      <c r="Q97" s="50"/>
      <c r="R97" s="50"/>
      <c r="S97" s="50"/>
      <c r="T97" s="50"/>
      <c r="U97" s="50"/>
      <c r="V97" s="50"/>
      <c r="W97" s="50"/>
      <c r="X97" s="50"/>
    </row>
    <row r="98" spans="1:24" ht="15.75" thickBot="1">
      <c r="A98" s="71" t="s">
        <v>48</v>
      </c>
      <c r="B98" s="108">
        <v>31.05</v>
      </c>
      <c r="C98" s="104">
        <v>31.05</v>
      </c>
      <c r="D98" s="108">
        <v>31.05</v>
      </c>
      <c r="E98" s="104">
        <v>31.05</v>
      </c>
      <c r="F98" s="108">
        <v>31.05</v>
      </c>
      <c r="G98" s="104">
        <v>31.05</v>
      </c>
      <c r="H98" s="108">
        <v>31.05</v>
      </c>
      <c r="I98" s="104">
        <v>31.05</v>
      </c>
      <c r="J98" s="108">
        <v>31.05</v>
      </c>
      <c r="K98" s="104">
        <v>31.05</v>
      </c>
      <c r="L98" s="73" t="s">
        <v>15</v>
      </c>
      <c r="M98" s="17" t="s">
        <v>14</v>
      </c>
      <c r="N98" s="73" t="s">
        <v>16</v>
      </c>
      <c r="O98" s="17" t="s">
        <v>507</v>
      </c>
      <c r="P98" s="50"/>
      <c r="Q98" s="50"/>
      <c r="R98" s="50"/>
      <c r="S98" s="50"/>
      <c r="T98" s="50"/>
      <c r="U98" s="50"/>
      <c r="V98" s="50"/>
      <c r="W98" s="50"/>
      <c r="X98" s="50"/>
    </row>
    <row r="99" spans="1:24" ht="15.75" thickBot="1">
      <c r="A99" s="71" t="s">
        <v>293</v>
      </c>
      <c r="B99" s="108">
        <v>0</v>
      </c>
      <c r="C99" s="104">
        <v>83.6</v>
      </c>
      <c r="D99" s="108">
        <v>83.6</v>
      </c>
      <c r="E99" s="104">
        <v>83.6</v>
      </c>
      <c r="F99" s="108">
        <v>83.6</v>
      </c>
      <c r="G99" s="104">
        <v>83.6</v>
      </c>
      <c r="H99" s="108">
        <v>83.6</v>
      </c>
      <c r="I99" s="104">
        <v>83.6</v>
      </c>
      <c r="J99" s="108">
        <v>83.6</v>
      </c>
      <c r="K99" s="104">
        <v>83.6</v>
      </c>
      <c r="L99" s="73" t="s">
        <v>15</v>
      </c>
      <c r="M99" s="17" t="s">
        <v>14</v>
      </c>
      <c r="N99" s="73" t="s">
        <v>16</v>
      </c>
      <c r="O99" s="17" t="s">
        <v>507</v>
      </c>
    </row>
    <row r="100" spans="1:24" ht="23.25" thickBot="1">
      <c r="A100" s="71" t="s">
        <v>295</v>
      </c>
      <c r="B100" s="108">
        <v>0</v>
      </c>
      <c r="C100" s="104">
        <v>144.4</v>
      </c>
      <c r="D100" s="108">
        <v>144.4</v>
      </c>
      <c r="E100" s="104">
        <v>144.4</v>
      </c>
      <c r="F100" s="108">
        <v>144.4</v>
      </c>
      <c r="G100" s="104">
        <v>144.4</v>
      </c>
      <c r="H100" s="108">
        <v>144.4</v>
      </c>
      <c r="I100" s="104">
        <v>144.4</v>
      </c>
      <c r="J100" s="108">
        <v>144.4</v>
      </c>
      <c r="K100" s="104">
        <v>144.4</v>
      </c>
      <c r="L100" s="73" t="s">
        <v>15</v>
      </c>
      <c r="M100" s="17" t="s">
        <v>14</v>
      </c>
      <c r="N100" s="73" t="s">
        <v>16</v>
      </c>
      <c r="O100" s="17" t="s">
        <v>507</v>
      </c>
    </row>
    <row r="101" spans="1:24" ht="15.75" thickBot="1">
      <c r="A101" s="71" t="s">
        <v>634</v>
      </c>
      <c r="B101" s="108">
        <v>420</v>
      </c>
      <c r="C101" s="104">
        <v>420</v>
      </c>
      <c r="D101" s="108">
        <v>420</v>
      </c>
      <c r="E101" s="104">
        <v>420</v>
      </c>
      <c r="F101" s="108">
        <v>420</v>
      </c>
      <c r="G101" s="104">
        <v>420</v>
      </c>
      <c r="H101" s="108">
        <v>420</v>
      </c>
      <c r="I101" s="104">
        <v>420</v>
      </c>
      <c r="J101" s="108">
        <v>420</v>
      </c>
      <c r="K101" s="104">
        <v>420</v>
      </c>
      <c r="L101" s="73" t="s">
        <v>15</v>
      </c>
      <c r="M101" s="17" t="s">
        <v>14</v>
      </c>
      <c r="N101" s="73" t="s">
        <v>16</v>
      </c>
      <c r="O101" s="17" t="s">
        <v>507</v>
      </c>
    </row>
    <row r="102" spans="1:24" ht="15.75" thickBot="1">
      <c r="A102" s="71" t="s">
        <v>511</v>
      </c>
      <c r="B102" s="108">
        <v>0</v>
      </c>
      <c r="C102" s="104">
        <v>320</v>
      </c>
      <c r="D102" s="108">
        <v>320</v>
      </c>
      <c r="E102" s="104">
        <v>320</v>
      </c>
      <c r="F102" s="108">
        <v>320</v>
      </c>
      <c r="G102" s="104">
        <v>320</v>
      </c>
      <c r="H102" s="108">
        <v>320</v>
      </c>
      <c r="I102" s="104">
        <v>320</v>
      </c>
      <c r="J102" s="108">
        <v>320</v>
      </c>
      <c r="K102" s="104">
        <v>320</v>
      </c>
      <c r="L102" s="73" t="s">
        <v>15</v>
      </c>
      <c r="M102" s="17" t="s">
        <v>14</v>
      </c>
      <c r="N102" s="73" t="s">
        <v>16</v>
      </c>
      <c r="O102" s="17" t="s">
        <v>507</v>
      </c>
    </row>
    <row r="103" spans="1:24" ht="15.75" thickBot="1">
      <c r="A103" s="71" t="s">
        <v>101</v>
      </c>
      <c r="B103" s="108">
        <v>132</v>
      </c>
      <c r="C103" s="104">
        <v>132</v>
      </c>
      <c r="D103" s="108">
        <v>132</v>
      </c>
      <c r="E103" s="104">
        <v>132</v>
      </c>
      <c r="F103" s="108">
        <v>132</v>
      </c>
      <c r="G103" s="104">
        <v>132</v>
      </c>
      <c r="H103" s="108">
        <v>132</v>
      </c>
      <c r="I103" s="104">
        <v>132</v>
      </c>
      <c r="J103" s="108">
        <v>132</v>
      </c>
      <c r="K103" s="104">
        <v>132</v>
      </c>
      <c r="L103" s="73" t="s">
        <v>15</v>
      </c>
      <c r="M103" s="17" t="s">
        <v>14</v>
      </c>
      <c r="N103" s="73" t="s">
        <v>16</v>
      </c>
      <c r="O103" s="17" t="s">
        <v>507</v>
      </c>
    </row>
    <row r="104" spans="1:24" ht="15.75" thickBot="1">
      <c r="A104" s="71" t="s">
        <v>635</v>
      </c>
      <c r="B104" s="108">
        <v>131.19999999999999</v>
      </c>
      <c r="C104" s="104">
        <v>131.19999999999999</v>
      </c>
      <c r="D104" s="108">
        <v>131.19999999999999</v>
      </c>
      <c r="E104" s="104">
        <v>131.19999999999999</v>
      </c>
      <c r="F104" s="108">
        <v>131.19999999999999</v>
      </c>
      <c r="G104" s="104">
        <v>131.19999999999999</v>
      </c>
      <c r="H104" s="108">
        <v>131.19999999999999</v>
      </c>
      <c r="I104" s="104">
        <v>131.19999999999999</v>
      </c>
      <c r="J104" s="108">
        <v>131.19999999999999</v>
      </c>
      <c r="K104" s="104">
        <v>131.19999999999999</v>
      </c>
      <c r="L104" s="73" t="s">
        <v>15</v>
      </c>
      <c r="M104" s="17" t="s">
        <v>14</v>
      </c>
      <c r="N104" s="73" t="s">
        <v>16</v>
      </c>
      <c r="O104" s="17" t="s">
        <v>507</v>
      </c>
    </row>
    <row r="105" spans="1:24" ht="15.75" thickBot="1">
      <c r="A105" s="71" t="s">
        <v>316</v>
      </c>
      <c r="B105" s="108">
        <v>0</v>
      </c>
      <c r="C105" s="104">
        <v>226</v>
      </c>
      <c r="D105" s="108">
        <v>226</v>
      </c>
      <c r="E105" s="104">
        <v>226</v>
      </c>
      <c r="F105" s="108">
        <v>226</v>
      </c>
      <c r="G105" s="104">
        <v>226</v>
      </c>
      <c r="H105" s="108">
        <v>226</v>
      </c>
      <c r="I105" s="104">
        <v>226</v>
      </c>
      <c r="J105" s="108">
        <v>226</v>
      </c>
      <c r="K105" s="104">
        <v>226</v>
      </c>
      <c r="L105" s="73" t="s">
        <v>15</v>
      </c>
      <c r="M105" s="17" t="s">
        <v>14</v>
      </c>
      <c r="N105" s="73" t="s">
        <v>16</v>
      </c>
      <c r="O105" s="17" t="s">
        <v>507</v>
      </c>
    </row>
    <row r="106" spans="1:24" ht="15.75" thickBot="1">
      <c r="A106" s="71" t="s">
        <v>663</v>
      </c>
      <c r="B106" s="108">
        <v>0</v>
      </c>
      <c r="C106" s="104">
        <v>100</v>
      </c>
      <c r="D106" s="108">
        <v>100</v>
      </c>
      <c r="E106" s="104">
        <v>100</v>
      </c>
      <c r="F106" s="108">
        <v>100</v>
      </c>
      <c r="G106" s="104">
        <v>100</v>
      </c>
      <c r="H106" s="108">
        <v>100</v>
      </c>
      <c r="I106" s="104">
        <v>100</v>
      </c>
      <c r="J106" s="108">
        <v>100</v>
      </c>
      <c r="K106" s="104">
        <v>100</v>
      </c>
      <c r="L106" s="73" t="s">
        <v>15</v>
      </c>
      <c r="M106" s="17" t="s">
        <v>33</v>
      </c>
      <c r="N106" s="73" t="s">
        <v>16</v>
      </c>
      <c r="O106" s="17" t="s">
        <v>507</v>
      </c>
    </row>
    <row r="107" spans="1:24" s="163" customFormat="1" ht="15.75" thickBot="1">
      <c r="A107" s="71" t="s">
        <v>636</v>
      </c>
      <c r="B107" s="108">
        <v>41.6</v>
      </c>
      <c r="C107" s="104">
        <v>41.6</v>
      </c>
      <c r="D107" s="108">
        <v>41.6</v>
      </c>
      <c r="E107" s="104">
        <v>41.6</v>
      </c>
      <c r="F107" s="108">
        <v>41.6</v>
      </c>
      <c r="G107" s="104">
        <v>41.6</v>
      </c>
      <c r="H107" s="108">
        <v>41.6</v>
      </c>
      <c r="I107" s="104">
        <v>41.6</v>
      </c>
      <c r="J107" s="108">
        <v>41.6</v>
      </c>
      <c r="K107" s="104">
        <v>41.6</v>
      </c>
      <c r="L107" s="73" t="s">
        <v>15</v>
      </c>
      <c r="M107" s="17" t="s">
        <v>14</v>
      </c>
      <c r="N107" s="73" t="s">
        <v>16</v>
      </c>
      <c r="O107" s="17" t="s">
        <v>507</v>
      </c>
    </row>
    <row r="108" spans="1:24" ht="15.75" thickBot="1">
      <c r="A108" s="71" t="s">
        <v>74</v>
      </c>
      <c r="B108" s="108">
        <v>54</v>
      </c>
      <c r="C108" s="104">
        <v>54</v>
      </c>
      <c r="D108" s="108">
        <v>54</v>
      </c>
      <c r="E108" s="104">
        <v>54</v>
      </c>
      <c r="F108" s="108">
        <v>54</v>
      </c>
      <c r="G108" s="104">
        <v>54</v>
      </c>
      <c r="H108" s="108">
        <v>54</v>
      </c>
      <c r="I108" s="104">
        <v>54</v>
      </c>
      <c r="J108" s="108">
        <v>54</v>
      </c>
      <c r="K108" s="104">
        <v>54</v>
      </c>
      <c r="L108" s="73" t="s">
        <v>15</v>
      </c>
      <c r="M108" s="17" t="s">
        <v>14</v>
      </c>
      <c r="N108" s="73" t="s">
        <v>16</v>
      </c>
      <c r="O108" s="17" t="s">
        <v>507</v>
      </c>
    </row>
    <row r="109" spans="1:24" ht="15.75" thickBot="1">
      <c r="A109" s="71" t="s">
        <v>106</v>
      </c>
      <c r="B109" s="108">
        <v>0</v>
      </c>
      <c r="C109" s="104">
        <v>400</v>
      </c>
      <c r="D109" s="108">
        <v>532</v>
      </c>
      <c r="E109" s="104">
        <v>532</v>
      </c>
      <c r="F109" s="108">
        <v>532</v>
      </c>
      <c r="G109" s="104">
        <v>532</v>
      </c>
      <c r="H109" s="108">
        <v>532</v>
      </c>
      <c r="I109" s="104">
        <v>532</v>
      </c>
      <c r="J109" s="108">
        <v>532</v>
      </c>
      <c r="K109" s="104">
        <v>532</v>
      </c>
      <c r="L109" s="73" t="s">
        <v>15</v>
      </c>
      <c r="M109" s="17" t="s">
        <v>14</v>
      </c>
      <c r="N109" s="73" t="s">
        <v>16</v>
      </c>
      <c r="O109" s="17" t="s">
        <v>507</v>
      </c>
    </row>
    <row r="110" spans="1:24" ht="15.75" thickBot="1">
      <c r="A110" s="71" t="s">
        <v>108</v>
      </c>
      <c r="B110" s="108">
        <v>87.75</v>
      </c>
      <c r="C110" s="104">
        <v>87.75</v>
      </c>
      <c r="D110" s="108">
        <v>87.75</v>
      </c>
      <c r="E110" s="104">
        <v>87.75</v>
      </c>
      <c r="F110" s="108">
        <v>87.75</v>
      </c>
      <c r="G110" s="104">
        <v>87.75</v>
      </c>
      <c r="H110" s="108">
        <v>87.75</v>
      </c>
      <c r="I110" s="104">
        <v>87.75</v>
      </c>
      <c r="J110" s="108">
        <v>87.75</v>
      </c>
      <c r="K110" s="104">
        <v>87.75</v>
      </c>
      <c r="L110" s="73" t="s">
        <v>15</v>
      </c>
      <c r="M110" s="17" t="s">
        <v>33</v>
      </c>
      <c r="N110" s="73" t="s">
        <v>16</v>
      </c>
      <c r="O110" s="17" t="s">
        <v>507</v>
      </c>
    </row>
    <row r="111" spans="1:24">
      <c r="A111" s="171" t="s">
        <v>362</v>
      </c>
      <c r="B111" s="154">
        <v>0</v>
      </c>
      <c r="C111" s="105">
        <v>81</v>
      </c>
      <c r="D111" s="154">
        <v>81</v>
      </c>
      <c r="E111" s="105">
        <v>81</v>
      </c>
      <c r="F111" s="154">
        <v>81</v>
      </c>
      <c r="G111" s="105">
        <v>81</v>
      </c>
      <c r="H111" s="154">
        <v>81</v>
      </c>
      <c r="I111" s="105">
        <v>81</v>
      </c>
      <c r="J111" s="154">
        <v>81</v>
      </c>
      <c r="K111" s="105">
        <v>81</v>
      </c>
      <c r="L111" s="155" t="s">
        <v>15</v>
      </c>
      <c r="M111" s="75" t="s">
        <v>33</v>
      </c>
      <c r="N111" s="155" t="s">
        <v>16</v>
      </c>
      <c r="O111" s="75" t="s">
        <v>507</v>
      </c>
    </row>
    <row r="112" spans="1:24" ht="15.75" thickBot="1">
      <c r="A112" s="150"/>
      <c r="B112" s="109"/>
      <c r="C112" s="109"/>
      <c r="D112" s="109"/>
      <c r="E112" s="109"/>
      <c r="F112" s="109"/>
      <c r="G112" s="109"/>
      <c r="H112" s="109"/>
      <c r="I112" s="109"/>
      <c r="J112" s="109"/>
      <c r="K112" s="109"/>
      <c r="L112" s="150"/>
      <c r="M112" s="150"/>
      <c r="N112" s="150"/>
      <c r="O112" s="150"/>
    </row>
    <row r="113" spans="1:15" ht="15.75" thickBot="1">
      <c r="A113" s="53" t="s">
        <v>518</v>
      </c>
      <c r="B113" s="110">
        <f>SUMIF(Query1[[FuelType]:[FuelType]],"Wind",Query1[201819])</f>
        <v>1111.45</v>
      </c>
      <c r="C113" s="110">
        <f>SUMIF(Query1[[FuelType]:[FuelType]],"Wind",Query1[201920])</f>
        <v>2559.4</v>
      </c>
      <c r="D113" s="110">
        <f>SUMIF(Query1[[FuelType]:[FuelType]],"Wind",Query1[202021])</f>
        <v>3084.9999999999995</v>
      </c>
      <c r="E113" s="110">
        <f>SUMIF(Query1[[FuelType]:[FuelType]],"Wind",Query1[202122])</f>
        <v>3084.9999999999995</v>
      </c>
      <c r="F113" s="110">
        <f>SUMIF(Query1[[FuelType]:[FuelType]],"Wind",Query1[202223])</f>
        <v>3084.9999999999995</v>
      </c>
      <c r="G113" s="110">
        <f>SUMIF(Query1[[FuelType]:[FuelType]],"Wind",Query1[202324])</f>
        <v>3084.9999999999995</v>
      </c>
      <c r="H113" s="110">
        <f>SUMIF(Query1[[FuelType]:[FuelType]],"Wind",Query1[202425])</f>
        <v>3084.9999999999995</v>
      </c>
      <c r="I113" s="110">
        <f>SUMIF(Query1[[FuelType]:[FuelType]],"Wind",Query1[202526])</f>
        <v>3084.9999999999995</v>
      </c>
      <c r="J113" s="110">
        <f>SUMIF(Query1[[FuelType]:[FuelType]],"Wind",Query1[202627])</f>
        <v>3084.9999999999995</v>
      </c>
      <c r="K113" s="110">
        <f>SUMIF(Query1[[FuelType]:[FuelType]],"Wind",Query1[202728])</f>
        <v>3084.9999999999995</v>
      </c>
      <c r="L113" s="59"/>
      <c r="M113" s="50"/>
      <c r="N113" s="50"/>
      <c r="O113" s="50"/>
    </row>
    <row r="114" spans="1:15" ht="15.75" thickBot="1">
      <c r="A114" s="53" t="s">
        <v>519</v>
      </c>
      <c r="B114" s="110">
        <f>SUMIF(Query1[[FuelType]:[FuelType]],"Solar",Query1[201819])</f>
        <v>315.75</v>
      </c>
      <c r="C114" s="110">
        <f>SUMIF(Query1[[FuelType]:[FuelType]],"Solar",Query1[201920])</f>
        <v>724.02</v>
      </c>
      <c r="D114" s="110">
        <f>SUMIF(Query1[[FuelType]:[FuelType]],"Solar",Query1[202021])</f>
        <v>724.02</v>
      </c>
      <c r="E114" s="110">
        <f>SUMIF(Query1[[FuelType]:[FuelType]],"Solar",Query1[202122])</f>
        <v>724.02</v>
      </c>
      <c r="F114" s="110">
        <f>SUMIF(Query1[[FuelType]:[FuelType]],"Solar",Query1[202223])</f>
        <v>724.02</v>
      </c>
      <c r="G114" s="110">
        <f>SUMIF(Query1[[FuelType]:[FuelType]],"Solar",Query1[202324])</f>
        <v>724.02</v>
      </c>
      <c r="H114" s="110">
        <f>SUMIF(Query1[[FuelType]:[FuelType]],"Solar",Query1[202425])</f>
        <v>724.02</v>
      </c>
      <c r="I114" s="110">
        <f>SUMIF(Query1[[FuelType]:[FuelType]],"Solar",Query1[202526])</f>
        <v>724.02</v>
      </c>
      <c r="J114" s="110">
        <f>SUMIF(Query1[[FuelType]:[FuelType]],"Solar",Query1[202627])</f>
        <v>724.02</v>
      </c>
      <c r="K114" s="110">
        <f>SUMIF(Query1[[FuelType]:[FuelType]],"Solar",Query1[202728])</f>
        <v>724.02</v>
      </c>
      <c r="L114" s="59"/>
      <c r="M114" s="50"/>
      <c r="N114" s="50"/>
      <c r="O114" s="50"/>
    </row>
    <row r="115" spans="1:15" ht="15.75" thickBot="1">
      <c r="A115" s="53" t="s">
        <v>520</v>
      </c>
      <c r="B115" s="110">
        <f>SUMIF(Query1[[FuelType]:[FuelType]],"Storage",Query1[201819])</f>
        <v>0</v>
      </c>
      <c r="C115" s="110">
        <f>SUMIF(Query1[[FuelType]:[FuelType]],"Storage",Query1[201920])</f>
        <v>0</v>
      </c>
      <c r="D115" s="110">
        <f>SUMIF(Query1[[FuelType]:[FuelType]],"Storage",Query1[202021])</f>
        <v>0</v>
      </c>
      <c r="E115" s="110">
        <f>SUMIF(Query1[[FuelType]:[FuelType]],"Storage",Query1[202122])</f>
        <v>0</v>
      </c>
      <c r="F115" s="110">
        <f>SUMIF(Query1[[FuelType]:[FuelType]],"Storage",Query1[202223])</f>
        <v>0</v>
      </c>
      <c r="G115" s="110">
        <f>SUMIF(Query1[[FuelType]:[FuelType]],"Storage",Query1[202324])</f>
        <v>0</v>
      </c>
      <c r="H115" s="110">
        <f>SUMIF(Query1[[FuelType]:[FuelType]],"Storage",Query1[202425])</f>
        <v>0</v>
      </c>
      <c r="I115" s="110">
        <f>SUMIF(Query1[[FuelType]:[FuelType]],"Storage",Query1[202526])</f>
        <v>0</v>
      </c>
      <c r="J115" s="110">
        <f>SUMIF(Query1[[FuelType]:[FuelType]],"Storage",Query1[202627])</f>
        <v>0</v>
      </c>
      <c r="K115" s="110">
        <f>SUMIF(Query1[[FuelType]:[FuelType]],"Storage",Query1[202728])</f>
        <v>0</v>
      </c>
    </row>
  </sheetData>
  <mergeCells count="4">
    <mergeCell ref="A52:L52"/>
    <mergeCell ref="A53:L53"/>
    <mergeCell ref="A54:L54"/>
    <mergeCell ref="A55:L55"/>
  </mergeCells>
  <pageMargins left="0.7" right="0.7" top="0.75" bottom="0.75" header="0.3" footer="0.3"/>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15"/>
  <sheetViews>
    <sheetView workbookViewId="0"/>
  </sheetViews>
  <sheetFormatPr defaultColWidth="9.140625" defaultRowHeight="15"/>
  <cols>
    <col min="1" max="1" width="28.5703125" style="21" bestFit="1" customWidth="1"/>
    <col min="2" max="11" width="9" style="21" bestFit="1" customWidth="1"/>
    <col min="12" max="12" width="16.140625" style="21" bestFit="1" customWidth="1"/>
    <col min="13" max="13" width="11.7109375" style="21" hidden="1" customWidth="1"/>
    <col min="14" max="14" width="10" style="21" hidden="1" customWidth="1"/>
    <col min="15" max="15" width="10.42578125" style="21" hidden="1" customWidth="1"/>
    <col min="16" max="16384" width="9.140625" style="21"/>
  </cols>
  <sheetData>
    <row r="1" spans="1:24" ht="20.25" thickBot="1">
      <c r="A1" s="25" t="s">
        <v>524</v>
      </c>
      <c r="M1" s="50"/>
      <c r="N1" s="50"/>
      <c r="O1" s="50"/>
      <c r="P1" s="50"/>
      <c r="Q1" s="50"/>
      <c r="R1" s="50"/>
      <c r="S1" s="50"/>
      <c r="T1" s="50"/>
      <c r="U1" s="50"/>
      <c r="V1" s="50"/>
      <c r="W1" s="50"/>
      <c r="X1" s="50"/>
    </row>
    <row r="2" spans="1:24" ht="15.75" thickBot="1">
      <c r="A2" s="106" t="s">
        <v>504</v>
      </c>
      <c r="B2" s="106" t="s">
        <v>568</v>
      </c>
      <c r="C2" s="106" t="s">
        <v>569</v>
      </c>
      <c r="D2" s="106" t="s">
        <v>570</v>
      </c>
      <c r="E2" s="106" t="s">
        <v>571</v>
      </c>
      <c r="F2" s="106" t="s">
        <v>572</v>
      </c>
      <c r="G2" s="106" t="s">
        <v>573</v>
      </c>
      <c r="H2" s="106" t="s">
        <v>574</v>
      </c>
      <c r="I2" s="106" t="s">
        <v>575</v>
      </c>
      <c r="J2" s="106" t="s">
        <v>576</v>
      </c>
      <c r="K2" s="106" t="s">
        <v>577</v>
      </c>
      <c r="L2" s="106" t="s">
        <v>567</v>
      </c>
      <c r="M2" s="62" t="s">
        <v>505</v>
      </c>
      <c r="N2" s="62" t="s">
        <v>7</v>
      </c>
      <c r="O2" s="63" t="s">
        <v>506</v>
      </c>
    </row>
    <row r="3" spans="1:24" ht="15.75" thickBot="1">
      <c r="A3" s="77" t="s">
        <v>632</v>
      </c>
      <c r="B3" s="107">
        <v>240</v>
      </c>
      <c r="C3" s="107">
        <v>240</v>
      </c>
      <c r="D3" s="107">
        <v>240</v>
      </c>
      <c r="E3" s="107">
        <v>240</v>
      </c>
      <c r="F3" s="107">
        <v>240</v>
      </c>
      <c r="G3" s="107">
        <v>240</v>
      </c>
      <c r="H3" s="107">
        <v>240</v>
      </c>
      <c r="I3" s="107">
        <v>240</v>
      </c>
      <c r="J3" s="107">
        <v>240</v>
      </c>
      <c r="K3" s="107">
        <v>240</v>
      </c>
      <c r="L3" s="74" t="s">
        <v>15</v>
      </c>
      <c r="M3" s="74" t="s">
        <v>14</v>
      </c>
      <c r="N3" s="74" t="s">
        <v>16</v>
      </c>
      <c r="O3" s="79" t="s">
        <v>525</v>
      </c>
    </row>
    <row r="4" spans="1:24" ht="15.75" thickBot="1">
      <c r="A4" s="76" t="s">
        <v>17</v>
      </c>
      <c r="B4" s="108">
        <v>84</v>
      </c>
      <c r="C4" s="108">
        <v>84</v>
      </c>
      <c r="D4" s="108">
        <v>84</v>
      </c>
      <c r="E4" s="108">
        <v>84</v>
      </c>
      <c r="F4" s="108">
        <v>84</v>
      </c>
      <c r="G4" s="108">
        <v>84</v>
      </c>
      <c r="H4" s="108">
        <v>84</v>
      </c>
      <c r="I4" s="108">
        <v>84</v>
      </c>
      <c r="J4" s="108">
        <v>84</v>
      </c>
      <c r="K4" s="108">
        <v>84</v>
      </c>
      <c r="L4" s="73" t="s">
        <v>9</v>
      </c>
      <c r="M4" s="73" t="s">
        <v>508</v>
      </c>
      <c r="N4" s="73" t="s">
        <v>16</v>
      </c>
      <c r="O4" s="78" t="s">
        <v>525</v>
      </c>
    </row>
    <row r="5" spans="1:24" ht="15.75" thickBot="1">
      <c r="A5" s="76" t="s">
        <v>633</v>
      </c>
      <c r="B5" s="108">
        <v>106.6</v>
      </c>
      <c r="C5" s="108">
        <v>106.6</v>
      </c>
      <c r="D5" s="108">
        <v>106.6</v>
      </c>
      <c r="E5" s="108">
        <v>106.6</v>
      </c>
      <c r="F5" s="108">
        <v>106.6</v>
      </c>
      <c r="G5" s="108">
        <v>106.6</v>
      </c>
      <c r="H5" s="108">
        <v>106.6</v>
      </c>
      <c r="I5" s="108">
        <v>106.6</v>
      </c>
      <c r="J5" s="108">
        <v>106.6</v>
      </c>
      <c r="K5" s="108">
        <v>106.6</v>
      </c>
      <c r="L5" s="73" t="s">
        <v>15</v>
      </c>
      <c r="M5" s="73" t="s">
        <v>14</v>
      </c>
      <c r="N5" s="73" t="s">
        <v>16</v>
      </c>
      <c r="O5" s="78" t="s">
        <v>525</v>
      </c>
    </row>
    <row r="6" spans="1:24" ht="15.75" thickBot="1">
      <c r="A6" s="76" t="s">
        <v>509</v>
      </c>
      <c r="B6" s="108">
        <v>29.9</v>
      </c>
      <c r="C6" s="108">
        <v>29.9</v>
      </c>
      <c r="D6" s="108">
        <v>29.9</v>
      </c>
      <c r="E6" s="108">
        <v>29.9</v>
      </c>
      <c r="F6" s="108">
        <v>29.9</v>
      </c>
      <c r="G6" s="108">
        <v>29.9</v>
      </c>
      <c r="H6" s="108">
        <v>29.9</v>
      </c>
      <c r="I6" s="108">
        <v>29.9</v>
      </c>
      <c r="J6" s="108">
        <v>29.9</v>
      </c>
      <c r="K6" s="108">
        <v>29.9</v>
      </c>
      <c r="L6" s="73" t="s">
        <v>9</v>
      </c>
      <c r="M6" s="73" t="s">
        <v>680</v>
      </c>
      <c r="N6" s="73" t="s">
        <v>16</v>
      </c>
      <c r="O6" s="78" t="s">
        <v>525</v>
      </c>
    </row>
    <row r="7" spans="1:24" ht="15.75" thickBot="1">
      <c r="A7" s="76" t="s">
        <v>89</v>
      </c>
      <c r="B7" s="108">
        <v>88</v>
      </c>
      <c r="C7" s="108">
        <v>88</v>
      </c>
      <c r="D7" s="108">
        <v>88</v>
      </c>
      <c r="E7" s="108">
        <v>88</v>
      </c>
      <c r="F7" s="108">
        <v>88</v>
      </c>
      <c r="G7" s="108">
        <v>88</v>
      </c>
      <c r="H7" s="108">
        <v>88</v>
      </c>
      <c r="I7" s="108">
        <v>88</v>
      </c>
      <c r="J7" s="108">
        <v>88</v>
      </c>
      <c r="K7" s="108">
        <v>88</v>
      </c>
      <c r="L7" s="73" t="s">
        <v>15</v>
      </c>
      <c r="M7" s="73" t="s">
        <v>33</v>
      </c>
      <c r="N7" s="73" t="s">
        <v>16</v>
      </c>
      <c r="O7" s="78" t="s">
        <v>525</v>
      </c>
    </row>
    <row r="8" spans="1:24" ht="15.75" thickBot="1">
      <c r="A8" s="76" t="s">
        <v>29</v>
      </c>
      <c r="B8" s="108">
        <v>300</v>
      </c>
      <c r="C8" s="108">
        <v>300</v>
      </c>
      <c r="D8" s="108">
        <v>300</v>
      </c>
      <c r="E8" s="108">
        <v>300</v>
      </c>
      <c r="F8" s="108">
        <v>300</v>
      </c>
      <c r="G8" s="108">
        <v>300</v>
      </c>
      <c r="H8" s="108">
        <v>300</v>
      </c>
      <c r="I8" s="108">
        <v>300</v>
      </c>
      <c r="J8" s="108">
        <v>300</v>
      </c>
      <c r="K8" s="108">
        <v>300</v>
      </c>
      <c r="L8" s="73" t="s">
        <v>9</v>
      </c>
      <c r="M8" s="73" t="s">
        <v>510</v>
      </c>
      <c r="N8" s="73" t="s">
        <v>16</v>
      </c>
      <c r="O8" s="78" t="s">
        <v>525</v>
      </c>
    </row>
    <row r="9" spans="1:24" ht="15.75" thickBot="1">
      <c r="A9" s="76" t="s">
        <v>92</v>
      </c>
      <c r="B9" s="108">
        <v>0</v>
      </c>
      <c r="C9" s="108">
        <v>20</v>
      </c>
      <c r="D9" s="108">
        <v>20</v>
      </c>
      <c r="E9" s="108">
        <v>20</v>
      </c>
      <c r="F9" s="108">
        <v>20</v>
      </c>
      <c r="G9" s="108">
        <v>20</v>
      </c>
      <c r="H9" s="108">
        <v>20</v>
      </c>
      <c r="I9" s="108">
        <v>20</v>
      </c>
      <c r="J9" s="108">
        <v>20</v>
      </c>
      <c r="K9" s="108">
        <v>20</v>
      </c>
      <c r="L9" s="73" t="s">
        <v>15</v>
      </c>
      <c r="M9" s="73" t="s">
        <v>680</v>
      </c>
      <c r="N9" s="73" t="s">
        <v>16</v>
      </c>
      <c r="O9" s="78" t="s">
        <v>525</v>
      </c>
    </row>
    <row r="10" spans="1:24" ht="23.25" thickBot="1">
      <c r="A10" s="76" t="s">
        <v>93</v>
      </c>
      <c r="B10" s="108">
        <v>0</v>
      </c>
      <c r="C10" s="108">
        <v>194</v>
      </c>
      <c r="D10" s="108">
        <v>194</v>
      </c>
      <c r="E10" s="108">
        <v>194</v>
      </c>
      <c r="F10" s="108">
        <v>194</v>
      </c>
      <c r="G10" s="108">
        <v>194</v>
      </c>
      <c r="H10" s="108">
        <v>194</v>
      </c>
      <c r="I10" s="108">
        <v>194</v>
      </c>
      <c r="J10" s="108">
        <v>194</v>
      </c>
      <c r="K10" s="108">
        <v>194</v>
      </c>
      <c r="L10" s="73" t="s">
        <v>15</v>
      </c>
      <c r="M10" s="73" t="s">
        <v>14</v>
      </c>
      <c r="N10" s="73" t="s">
        <v>16</v>
      </c>
      <c r="O10" s="78" t="s">
        <v>525</v>
      </c>
    </row>
    <row r="11" spans="1:24" ht="15.75" thickBot="1">
      <c r="A11" s="76" t="s">
        <v>716</v>
      </c>
      <c r="B11" s="108">
        <v>0</v>
      </c>
      <c r="C11" s="108">
        <v>57.6</v>
      </c>
      <c r="D11" s="108">
        <v>57.6</v>
      </c>
      <c r="E11" s="108">
        <v>57.6</v>
      </c>
      <c r="F11" s="108">
        <v>57.6</v>
      </c>
      <c r="G11" s="108">
        <v>57.6</v>
      </c>
      <c r="H11" s="108">
        <v>57.6</v>
      </c>
      <c r="I11" s="108">
        <v>57.6</v>
      </c>
      <c r="J11" s="108">
        <v>57.6</v>
      </c>
      <c r="K11" s="108">
        <v>57.6</v>
      </c>
      <c r="L11" s="73" t="s">
        <v>15</v>
      </c>
      <c r="M11" s="73" t="s">
        <v>14</v>
      </c>
      <c r="N11" s="73" t="s">
        <v>16</v>
      </c>
      <c r="O11" s="78" t="s">
        <v>525</v>
      </c>
    </row>
    <row r="12" spans="1:24" ht="15.75" thickBot="1">
      <c r="A12" s="76" t="s">
        <v>705</v>
      </c>
      <c r="B12" s="108">
        <v>0</v>
      </c>
      <c r="C12" s="108">
        <v>27.27</v>
      </c>
      <c r="D12" s="108">
        <v>27.27</v>
      </c>
      <c r="E12" s="108">
        <v>27.27</v>
      </c>
      <c r="F12" s="108">
        <v>27.27</v>
      </c>
      <c r="G12" s="108">
        <v>27.27</v>
      </c>
      <c r="H12" s="108">
        <v>27.27</v>
      </c>
      <c r="I12" s="108">
        <v>27.27</v>
      </c>
      <c r="J12" s="108">
        <v>27.27</v>
      </c>
      <c r="K12" s="108">
        <v>27.27</v>
      </c>
      <c r="L12" s="73" t="s">
        <v>15</v>
      </c>
      <c r="M12" s="73" t="s">
        <v>33</v>
      </c>
      <c r="N12" s="73" t="s">
        <v>16</v>
      </c>
      <c r="O12" s="78" t="s">
        <v>525</v>
      </c>
    </row>
    <row r="13" spans="1:24" ht="15.75" thickBot="1">
      <c r="A13" s="76" t="s">
        <v>95</v>
      </c>
      <c r="B13" s="108">
        <v>79.95</v>
      </c>
      <c r="C13" s="108">
        <v>79.95</v>
      </c>
      <c r="D13" s="108">
        <v>79.95</v>
      </c>
      <c r="E13" s="108">
        <v>79.95</v>
      </c>
      <c r="F13" s="108">
        <v>79.95</v>
      </c>
      <c r="G13" s="108">
        <v>79.95</v>
      </c>
      <c r="H13" s="108">
        <v>79.95</v>
      </c>
      <c r="I13" s="108">
        <v>79.95</v>
      </c>
      <c r="J13" s="108">
        <v>79.95</v>
      </c>
      <c r="K13" s="108">
        <v>79.95</v>
      </c>
      <c r="L13" s="73" t="s">
        <v>15</v>
      </c>
      <c r="M13" s="73" t="s">
        <v>14</v>
      </c>
      <c r="N13" s="73" t="s">
        <v>16</v>
      </c>
      <c r="O13" s="78" t="s">
        <v>525</v>
      </c>
    </row>
    <row r="14" spans="1:24" ht="15.75" thickBot="1">
      <c r="A14" s="76" t="s">
        <v>37</v>
      </c>
      <c r="B14" s="108">
        <v>165</v>
      </c>
      <c r="C14" s="108">
        <v>165</v>
      </c>
      <c r="D14" s="108">
        <v>165</v>
      </c>
      <c r="E14" s="108">
        <v>165</v>
      </c>
      <c r="F14" s="108">
        <v>165</v>
      </c>
      <c r="G14" s="108">
        <v>165</v>
      </c>
      <c r="H14" s="108">
        <v>165</v>
      </c>
      <c r="I14" s="108">
        <v>165</v>
      </c>
      <c r="J14" s="108">
        <v>165</v>
      </c>
      <c r="K14" s="108">
        <v>165</v>
      </c>
      <c r="L14" s="73" t="s">
        <v>9</v>
      </c>
      <c r="M14" s="73" t="s">
        <v>510</v>
      </c>
      <c r="N14" s="73" t="s">
        <v>16</v>
      </c>
      <c r="O14" s="78" t="s">
        <v>525</v>
      </c>
    </row>
    <row r="15" spans="1:24" ht="15.75" thickBot="1">
      <c r="A15" s="76" t="s">
        <v>683</v>
      </c>
      <c r="B15" s="108">
        <v>0</v>
      </c>
      <c r="C15" s="108">
        <v>336</v>
      </c>
      <c r="D15" s="108">
        <v>336</v>
      </c>
      <c r="E15" s="108">
        <v>336</v>
      </c>
      <c r="F15" s="108">
        <v>336</v>
      </c>
      <c r="G15" s="108">
        <v>336</v>
      </c>
      <c r="H15" s="108">
        <v>336</v>
      </c>
      <c r="I15" s="108">
        <v>336</v>
      </c>
      <c r="J15" s="108">
        <v>336</v>
      </c>
      <c r="K15" s="108">
        <v>336</v>
      </c>
      <c r="L15" s="73" t="s">
        <v>15</v>
      </c>
      <c r="M15" s="73" t="s">
        <v>14</v>
      </c>
      <c r="N15" s="73" t="s">
        <v>16</v>
      </c>
      <c r="O15" s="78" t="s">
        <v>525</v>
      </c>
    </row>
    <row r="16" spans="1:24" ht="15.75" thickBot="1">
      <c r="A16" s="76" t="s">
        <v>39</v>
      </c>
      <c r="B16" s="108">
        <v>100</v>
      </c>
      <c r="C16" s="108">
        <v>100</v>
      </c>
      <c r="D16" s="108">
        <v>100</v>
      </c>
      <c r="E16" s="108">
        <v>100</v>
      </c>
      <c r="F16" s="108">
        <v>100</v>
      </c>
      <c r="G16" s="108">
        <v>100</v>
      </c>
      <c r="H16" s="108">
        <v>100</v>
      </c>
      <c r="I16" s="108">
        <v>100</v>
      </c>
      <c r="J16" s="108">
        <v>100</v>
      </c>
      <c r="K16" s="108">
        <v>100</v>
      </c>
      <c r="L16" s="73" t="s">
        <v>9</v>
      </c>
      <c r="M16" s="73" t="s">
        <v>510</v>
      </c>
      <c r="N16" s="73" t="s">
        <v>16</v>
      </c>
      <c r="O16" s="78" t="s">
        <v>525</v>
      </c>
    </row>
    <row r="17" spans="1:15" ht="15.75" thickBot="1">
      <c r="A17" s="76" t="s">
        <v>97</v>
      </c>
      <c r="B17" s="108">
        <v>25.33</v>
      </c>
      <c r="C17" s="108">
        <v>25.33</v>
      </c>
      <c r="D17" s="108">
        <v>25.33</v>
      </c>
      <c r="E17" s="108">
        <v>25.33</v>
      </c>
      <c r="F17" s="108">
        <v>25.33</v>
      </c>
      <c r="G17" s="108">
        <v>25.33</v>
      </c>
      <c r="H17" s="108">
        <v>25.33</v>
      </c>
      <c r="I17" s="108">
        <v>25.33</v>
      </c>
      <c r="J17" s="108">
        <v>25.33</v>
      </c>
      <c r="K17" s="108">
        <v>25.33</v>
      </c>
      <c r="L17" s="73" t="s">
        <v>9</v>
      </c>
      <c r="M17" s="73" t="s">
        <v>680</v>
      </c>
      <c r="N17" s="73" t="s">
        <v>16</v>
      </c>
      <c r="O17" s="78" t="s">
        <v>525</v>
      </c>
    </row>
    <row r="18" spans="1:15" ht="15.75" thickBot="1">
      <c r="A18" s="76" t="s">
        <v>98</v>
      </c>
      <c r="B18" s="108">
        <v>50</v>
      </c>
      <c r="C18" s="108">
        <v>50</v>
      </c>
      <c r="D18" s="108">
        <v>50</v>
      </c>
      <c r="E18" s="108">
        <v>50</v>
      </c>
      <c r="F18" s="108">
        <v>50</v>
      </c>
      <c r="G18" s="108">
        <v>50</v>
      </c>
      <c r="H18" s="108">
        <v>50</v>
      </c>
      <c r="I18" s="108">
        <v>50</v>
      </c>
      <c r="J18" s="108">
        <v>50</v>
      </c>
      <c r="K18" s="108">
        <v>50</v>
      </c>
      <c r="L18" s="73" t="s">
        <v>15</v>
      </c>
      <c r="M18" s="73" t="s">
        <v>33</v>
      </c>
      <c r="N18" s="73" t="s">
        <v>16</v>
      </c>
      <c r="O18" s="78" t="s">
        <v>525</v>
      </c>
    </row>
    <row r="19" spans="1:15" ht="15.75" thickBot="1">
      <c r="A19" s="76" t="s">
        <v>42</v>
      </c>
      <c r="B19" s="108">
        <v>0</v>
      </c>
      <c r="C19" s="108">
        <v>0</v>
      </c>
      <c r="D19" s="108">
        <v>0</v>
      </c>
      <c r="E19" s="108">
        <v>0</v>
      </c>
      <c r="F19" s="108">
        <v>0</v>
      </c>
      <c r="G19" s="108">
        <v>0</v>
      </c>
      <c r="H19" s="108">
        <v>0</v>
      </c>
      <c r="I19" s="108">
        <v>0</v>
      </c>
      <c r="J19" s="108">
        <v>0</v>
      </c>
      <c r="K19" s="108">
        <v>0</v>
      </c>
      <c r="L19" s="73" t="s">
        <v>9</v>
      </c>
      <c r="M19" s="73" t="s">
        <v>510</v>
      </c>
      <c r="N19" s="73" t="s">
        <v>16</v>
      </c>
      <c r="O19" s="78" t="s">
        <v>525</v>
      </c>
    </row>
    <row r="20" spans="1:15" ht="15.75" thickBot="1">
      <c r="A20" s="76" t="s">
        <v>43</v>
      </c>
      <c r="B20" s="108">
        <v>224</v>
      </c>
      <c r="C20" s="108">
        <v>224</v>
      </c>
      <c r="D20" s="108">
        <v>224</v>
      </c>
      <c r="E20" s="108">
        <v>224</v>
      </c>
      <c r="F20" s="108">
        <v>224</v>
      </c>
      <c r="G20" s="108">
        <v>224</v>
      </c>
      <c r="H20" s="108">
        <v>224</v>
      </c>
      <c r="I20" s="108">
        <v>224</v>
      </c>
      <c r="J20" s="108">
        <v>224</v>
      </c>
      <c r="K20" s="108">
        <v>224</v>
      </c>
      <c r="L20" s="73" t="s">
        <v>9</v>
      </c>
      <c r="M20" s="73" t="s">
        <v>508</v>
      </c>
      <c r="N20" s="73" t="s">
        <v>16</v>
      </c>
      <c r="O20" s="78" t="s">
        <v>525</v>
      </c>
    </row>
    <row r="21" spans="1:15" ht="15.75" thickBot="1">
      <c r="A21" s="76" t="s">
        <v>46</v>
      </c>
      <c r="B21" s="108">
        <v>255</v>
      </c>
      <c r="C21" s="108">
        <v>255</v>
      </c>
      <c r="D21" s="108">
        <v>255</v>
      </c>
      <c r="E21" s="108">
        <v>255</v>
      </c>
      <c r="F21" s="108">
        <v>255</v>
      </c>
      <c r="G21" s="108">
        <v>255</v>
      </c>
      <c r="H21" s="108">
        <v>255</v>
      </c>
      <c r="I21" s="108">
        <v>255</v>
      </c>
      <c r="J21" s="108">
        <v>255</v>
      </c>
      <c r="K21" s="108">
        <v>255</v>
      </c>
      <c r="L21" s="73" t="s">
        <v>9</v>
      </c>
      <c r="M21" s="73" t="s">
        <v>508</v>
      </c>
      <c r="N21" s="73" t="s">
        <v>16</v>
      </c>
      <c r="O21" s="78" t="s">
        <v>525</v>
      </c>
    </row>
    <row r="22" spans="1:15" ht="15.75" thickBot="1">
      <c r="A22" s="76" t="s">
        <v>288</v>
      </c>
      <c r="B22" s="108">
        <v>90</v>
      </c>
      <c r="C22" s="108">
        <v>90</v>
      </c>
      <c r="D22" s="108">
        <v>90</v>
      </c>
      <c r="E22" s="108">
        <v>90</v>
      </c>
      <c r="F22" s="108">
        <v>90</v>
      </c>
      <c r="G22" s="108">
        <v>90</v>
      </c>
      <c r="H22" s="108">
        <v>90</v>
      </c>
      <c r="I22" s="108">
        <v>90</v>
      </c>
      <c r="J22" s="108">
        <v>90</v>
      </c>
      <c r="K22" s="108">
        <v>90</v>
      </c>
      <c r="L22" s="73" t="s">
        <v>15</v>
      </c>
      <c r="M22" s="73" t="s">
        <v>33</v>
      </c>
      <c r="N22" s="73" t="s">
        <v>16</v>
      </c>
      <c r="O22" s="78" t="s">
        <v>525</v>
      </c>
    </row>
    <row r="23" spans="1:15" ht="23.25" thickBot="1">
      <c r="A23" s="76" t="s">
        <v>685</v>
      </c>
      <c r="B23" s="108">
        <v>200</v>
      </c>
      <c r="C23" s="108">
        <v>200</v>
      </c>
      <c r="D23" s="108">
        <v>200</v>
      </c>
      <c r="E23" s="108">
        <v>200</v>
      </c>
      <c r="F23" s="108">
        <v>200</v>
      </c>
      <c r="G23" s="108">
        <v>200</v>
      </c>
      <c r="H23" s="108">
        <v>200</v>
      </c>
      <c r="I23" s="108">
        <v>200</v>
      </c>
      <c r="J23" s="108">
        <v>200</v>
      </c>
      <c r="K23" s="108">
        <v>200</v>
      </c>
      <c r="L23" s="73" t="s">
        <v>15</v>
      </c>
      <c r="M23" s="73" t="s">
        <v>33</v>
      </c>
      <c r="N23" s="73" t="s">
        <v>16</v>
      </c>
      <c r="O23" s="78" t="s">
        <v>525</v>
      </c>
    </row>
    <row r="24" spans="1:15" ht="15.75" thickBot="1">
      <c r="A24" s="76" t="s">
        <v>48</v>
      </c>
      <c r="B24" s="108">
        <v>31.05</v>
      </c>
      <c r="C24" s="108">
        <v>31.05</v>
      </c>
      <c r="D24" s="108">
        <v>31.05</v>
      </c>
      <c r="E24" s="108">
        <v>31.05</v>
      </c>
      <c r="F24" s="108">
        <v>31.05</v>
      </c>
      <c r="G24" s="108">
        <v>31.05</v>
      </c>
      <c r="H24" s="108">
        <v>31.05</v>
      </c>
      <c r="I24" s="108">
        <v>31.05</v>
      </c>
      <c r="J24" s="108">
        <v>31.05</v>
      </c>
      <c r="K24" s="108">
        <v>31.05</v>
      </c>
      <c r="L24" s="73" t="s">
        <v>15</v>
      </c>
      <c r="M24" s="73" t="s">
        <v>14</v>
      </c>
      <c r="N24" s="73" t="s">
        <v>16</v>
      </c>
      <c r="O24" s="78" t="s">
        <v>525</v>
      </c>
    </row>
    <row r="25" spans="1:15" ht="34.5" thickBot="1">
      <c r="A25" s="76" t="s">
        <v>686</v>
      </c>
      <c r="B25" s="108">
        <v>83.6</v>
      </c>
      <c r="C25" s="108">
        <v>83.6</v>
      </c>
      <c r="D25" s="108">
        <v>83.6</v>
      </c>
      <c r="E25" s="108">
        <v>83.6</v>
      </c>
      <c r="F25" s="108">
        <v>83.6</v>
      </c>
      <c r="G25" s="108">
        <v>83.6</v>
      </c>
      <c r="H25" s="108">
        <v>83.6</v>
      </c>
      <c r="I25" s="108">
        <v>83.6</v>
      </c>
      <c r="J25" s="108">
        <v>83.6</v>
      </c>
      <c r="K25" s="108">
        <v>83.6</v>
      </c>
      <c r="L25" s="73" t="s">
        <v>15</v>
      </c>
      <c r="M25" s="73" t="s">
        <v>14</v>
      </c>
      <c r="N25" s="73" t="s">
        <v>16</v>
      </c>
      <c r="O25" s="78" t="s">
        <v>525</v>
      </c>
    </row>
    <row r="26" spans="1:15" ht="23.25" thickBot="1">
      <c r="A26" s="76" t="s">
        <v>295</v>
      </c>
      <c r="B26" s="108">
        <v>144.4</v>
      </c>
      <c r="C26" s="108">
        <v>144.4</v>
      </c>
      <c r="D26" s="108">
        <v>144.4</v>
      </c>
      <c r="E26" s="108">
        <v>144.4</v>
      </c>
      <c r="F26" s="108">
        <v>144.4</v>
      </c>
      <c r="G26" s="108">
        <v>144.4</v>
      </c>
      <c r="H26" s="108">
        <v>144.4</v>
      </c>
      <c r="I26" s="108">
        <v>144.4</v>
      </c>
      <c r="J26" s="108">
        <v>144.4</v>
      </c>
      <c r="K26" s="108">
        <v>144.4</v>
      </c>
      <c r="L26" s="73" t="s">
        <v>15</v>
      </c>
      <c r="M26" s="73" t="s">
        <v>14</v>
      </c>
      <c r="N26" s="73" t="s">
        <v>16</v>
      </c>
      <c r="O26" s="78" t="s">
        <v>525</v>
      </c>
    </row>
    <row r="27" spans="1:15" ht="15.75" thickBot="1">
      <c r="A27" s="76" t="s">
        <v>51</v>
      </c>
      <c r="B27" s="108">
        <v>340</v>
      </c>
      <c r="C27" s="108">
        <v>340</v>
      </c>
      <c r="D27" s="108">
        <v>340</v>
      </c>
      <c r="E27" s="108">
        <v>340</v>
      </c>
      <c r="F27" s="108">
        <v>340</v>
      </c>
      <c r="G27" s="108">
        <v>340</v>
      </c>
      <c r="H27" s="108">
        <v>340</v>
      </c>
      <c r="I27" s="108">
        <v>340</v>
      </c>
      <c r="J27" s="108">
        <v>340</v>
      </c>
      <c r="K27" s="108">
        <v>340</v>
      </c>
      <c r="L27" s="73" t="s">
        <v>9</v>
      </c>
      <c r="M27" s="73" t="s">
        <v>508</v>
      </c>
      <c r="N27" s="73" t="s">
        <v>16</v>
      </c>
      <c r="O27" s="78" t="s">
        <v>525</v>
      </c>
    </row>
    <row r="28" spans="1:15" ht="15.75" thickBot="1">
      <c r="A28" s="76" t="s">
        <v>54</v>
      </c>
      <c r="B28" s="108">
        <v>2210</v>
      </c>
      <c r="C28" s="108">
        <v>2210</v>
      </c>
      <c r="D28" s="108">
        <v>2210</v>
      </c>
      <c r="E28" s="108">
        <v>2210</v>
      </c>
      <c r="F28" s="108">
        <v>2210</v>
      </c>
      <c r="G28" s="108">
        <v>2210</v>
      </c>
      <c r="H28" s="108">
        <v>2210</v>
      </c>
      <c r="I28" s="108">
        <v>2210</v>
      </c>
      <c r="J28" s="108">
        <v>2210</v>
      </c>
      <c r="K28" s="108">
        <v>2210</v>
      </c>
      <c r="L28" s="73" t="s">
        <v>9</v>
      </c>
      <c r="M28" s="73" t="s">
        <v>508</v>
      </c>
      <c r="N28" s="73" t="s">
        <v>16</v>
      </c>
      <c r="O28" s="78" t="s">
        <v>525</v>
      </c>
    </row>
    <row r="29" spans="1:15" ht="15.75" thickBot="1">
      <c r="A29" s="76" t="s">
        <v>56</v>
      </c>
      <c r="B29" s="108">
        <v>1110</v>
      </c>
      <c r="C29" s="108">
        <v>1150</v>
      </c>
      <c r="D29" s="108">
        <v>1150</v>
      </c>
      <c r="E29" s="108">
        <v>1150</v>
      </c>
      <c r="F29" s="108">
        <v>1150</v>
      </c>
      <c r="G29" s="108">
        <v>1150</v>
      </c>
      <c r="H29" s="108">
        <v>1150</v>
      </c>
      <c r="I29" s="108">
        <v>1150</v>
      </c>
      <c r="J29" s="108">
        <v>1150</v>
      </c>
      <c r="K29" s="108">
        <v>1150</v>
      </c>
      <c r="L29" s="73" t="s">
        <v>9</v>
      </c>
      <c r="M29" s="73" t="s">
        <v>508</v>
      </c>
      <c r="N29" s="73" t="s">
        <v>16</v>
      </c>
      <c r="O29" s="78" t="s">
        <v>525</v>
      </c>
    </row>
    <row r="30" spans="1:15" ht="15.75" thickBot="1">
      <c r="A30" s="76" t="s">
        <v>634</v>
      </c>
      <c r="B30" s="108">
        <v>420</v>
      </c>
      <c r="C30" s="108">
        <v>420</v>
      </c>
      <c r="D30" s="108">
        <v>420</v>
      </c>
      <c r="E30" s="108">
        <v>420</v>
      </c>
      <c r="F30" s="108">
        <v>420</v>
      </c>
      <c r="G30" s="108">
        <v>420</v>
      </c>
      <c r="H30" s="108">
        <v>420</v>
      </c>
      <c r="I30" s="108">
        <v>420</v>
      </c>
      <c r="J30" s="108">
        <v>420</v>
      </c>
      <c r="K30" s="108">
        <v>420</v>
      </c>
      <c r="L30" s="73" t="s">
        <v>15</v>
      </c>
      <c r="M30" s="73" t="s">
        <v>14</v>
      </c>
      <c r="N30" s="73" t="s">
        <v>16</v>
      </c>
      <c r="O30" s="78" t="s">
        <v>525</v>
      </c>
    </row>
    <row r="31" spans="1:15" ht="15.75" thickBot="1">
      <c r="A31" s="76" t="s">
        <v>511</v>
      </c>
      <c r="B31" s="108">
        <v>320</v>
      </c>
      <c r="C31" s="108">
        <v>320</v>
      </c>
      <c r="D31" s="108">
        <v>320</v>
      </c>
      <c r="E31" s="108">
        <v>320</v>
      </c>
      <c r="F31" s="108">
        <v>320</v>
      </c>
      <c r="G31" s="108">
        <v>320</v>
      </c>
      <c r="H31" s="108">
        <v>320</v>
      </c>
      <c r="I31" s="108">
        <v>320</v>
      </c>
      <c r="J31" s="108">
        <v>320</v>
      </c>
      <c r="K31" s="108">
        <v>320</v>
      </c>
      <c r="L31" s="73" t="s">
        <v>15</v>
      </c>
      <c r="M31" s="73" t="s">
        <v>14</v>
      </c>
      <c r="N31" s="73" t="s">
        <v>16</v>
      </c>
      <c r="O31" s="78" t="s">
        <v>525</v>
      </c>
    </row>
    <row r="32" spans="1:15" ht="15.75" thickBot="1">
      <c r="A32" s="76" t="s">
        <v>61</v>
      </c>
      <c r="B32" s="108">
        <v>584</v>
      </c>
      <c r="C32" s="108">
        <v>584</v>
      </c>
      <c r="D32" s="108">
        <v>584</v>
      </c>
      <c r="E32" s="108">
        <v>584</v>
      </c>
      <c r="F32" s="108">
        <v>584</v>
      </c>
      <c r="G32" s="108">
        <v>584</v>
      </c>
      <c r="H32" s="108">
        <v>584</v>
      </c>
      <c r="I32" s="108">
        <v>584</v>
      </c>
      <c r="J32" s="108">
        <v>584</v>
      </c>
      <c r="K32" s="108">
        <v>584</v>
      </c>
      <c r="L32" s="73" t="s">
        <v>9</v>
      </c>
      <c r="M32" s="73" t="s">
        <v>508</v>
      </c>
      <c r="N32" s="73" t="s">
        <v>16</v>
      </c>
      <c r="O32" s="78" t="s">
        <v>525</v>
      </c>
    </row>
    <row r="33" spans="1:24" ht="15.75" thickBot="1">
      <c r="A33" s="76" t="s">
        <v>101</v>
      </c>
      <c r="B33" s="108">
        <v>132</v>
      </c>
      <c r="C33" s="108">
        <v>132</v>
      </c>
      <c r="D33" s="108">
        <v>132</v>
      </c>
      <c r="E33" s="108">
        <v>132</v>
      </c>
      <c r="F33" s="108">
        <v>132</v>
      </c>
      <c r="G33" s="108">
        <v>132</v>
      </c>
      <c r="H33" s="108">
        <v>132</v>
      </c>
      <c r="I33" s="108">
        <v>132</v>
      </c>
      <c r="J33" s="108">
        <v>132</v>
      </c>
      <c r="K33" s="108">
        <v>132</v>
      </c>
      <c r="L33" s="73" t="s">
        <v>15</v>
      </c>
      <c r="M33" s="73" t="s">
        <v>14</v>
      </c>
      <c r="N33" s="73" t="s">
        <v>16</v>
      </c>
      <c r="O33" s="78" t="s">
        <v>525</v>
      </c>
    </row>
    <row r="34" spans="1:24" ht="15.75" thickBot="1">
      <c r="A34" s="76" t="s">
        <v>635</v>
      </c>
      <c r="B34" s="108">
        <v>131.19999999999999</v>
      </c>
      <c r="C34" s="108">
        <v>131.19999999999999</v>
      </c>
      <c r="D34" s="108">
        <v>131.19999999999999</v>
      </c>
      <c r="E34" s="108">
        <v>131.19999999999999</v>
      </c>
      <c r="F34" s="108">
        <v>131.19999999999999</v>
      </c>
      <c r="G34" s="108">
        <v>131.19999999999999</v>
      </c>
      <c r="H34" s="108">
        <v>131.19999999999999</v>
      </c>
      <c r="I34" s="108">
        <v>131.19999999999999</v>
      </c>
      <c r="J34" s="108">
        <v>131.19999999999999</v>
      </c>
      <c r="K34" s="108">
        <v>131.19999999999999</v>
      </c>
      <c r="L34" s="73" t="s">
        <v>15</v>
      </c>
      <c r="M34" s="73" t="s">
        <v>14</v>
      </c>
      <c r="N34" s="73" t="s">
        <v>16</v>
      </c>
      <c r="O34" s="78" t="s">
        <v>525</v>
      </c>
    </row>
    <row r="35" spans="1:24" ht="15.75" thickBot="1">
      <c r="A35" s="76" t="s">
        <v>316</v>
      </c>
      <c r="B35" s="108">
        <v>226</v>
      </c>
      <c r="C35" s="108">
        <v>226</v>
      </c>
      <c r="D35" s="108">
        <v>226</v>
      </c>
      <c r="E35" s="108">
        <v>226</v>
      </c>
      <c r="F35" s="108">
        <v>226</v>
      </c>
      <c r="G35" s="108">
        <v>226</v>
      </c>
      <c r="H35" s="108">
        <v>226</v>
      </c>
      <c r="I35" s="108">
        <v>226</v>
      </c>
      <c r="J35" s="108">
        <v>226</v>
      </c>
      <c r="K35" s="108">
        <v>226</v>
      </c>
      <c r="L35" s="73" t="s">
        <v>15</v>
      </c>
      <c r="M35" s="73" t="s">
        <v>14</v>
      </c>
      <c r="N35" s="73" t="s">
        <v>16</v>
      </c>
      <c r="O35" s="78" t="s">
        <v>525</v>
      </c>
    </row>
    <row r="36" spans="1:24" ht="15.75" thickBot="1">
      <c r="A36" s="76" t="s">
        <v>65</v>
      </c>
      <c r="B36" s="108">
        <v>855</v>
      </c>
      <c r="C36" s="108">
        <v>950</v>
      </c>
      <c r="D36" s="108">
        <v>950</v>
      </c>
      <c r="E36" s="108">
        <v>950</v>
      </c>
      <c r="F36" s="108">
        <v>950</v>
      </c>
      <c r="G36" s="108">
        <v>855</v>
      </c>
      <c r="H36" s="108">
        <v>950</v>
      </c>
      <c r="I36" s="108">
        <v>950</v>
      </c>
      <c r="J36" s="108">
        <v>950</v>
      </c>
      <c r="K36" s="108">
        <v>950</v>
      </c>
      <c r="L36" s="73" t="s">
        <v>9</v>
      </c>
      <c r="M36" s="73" t="s">
        <v>510</v>
      </c>
      <c r="N36" s="73" t="s">
        <v>16</v>
      </c>
      <c r="O36" s="78" t="s">
        <v>525</v>
      </c>
    </row>
    <row r="37" spans="1:24" ht="15.75" thickBot="1">
      <c r="A37" s="76" t="s">
        <v>67</v>
      </c>
      <c r="B37" s="108">
        <v>560</v>
      </c>
      <c r="C37" s="108">
        <v>420</v>
      </c>
      <c r="D37" s="108">
        <v>420</v>
      </c>
      <c r="E37" s="108">
        <v>420</v>
      </c>
      <c r="F37" s="108">
        <v>420</v>
      </c>
      <c r="G37" s="108">
        <v>560</v>
      </c>
      <c r="H37" s="108">
        <v>560</v>
      </c>
      <c r="I37" s="108">
        <v>560</v>
      </c>
      <c r="J37" s="108">
        <v>560</v>
      </c>
      <c r="K37" s="108">
        <v>560</v>
      </c>
      <c r="L37" s="73" t="s">
        <v>9</v>
      </c>
      <c r="M37" s="73" t="s">
        <v>510</v>
      </c>
      <c r="N37" s="73" t="s">
        <v>16</v>
      </c>
      <c r="O37" s="78" t="s">
        <v>525</v>
      </c>
    </row>
    <row r="38" spans="1:24" ht="15.75" thickBot="1">
      <c r="A38" s="76" t="s">
        <v>69</v>
      </c>
      <c r="B38" s="108">
        <v>510</v>
      </c>
      <c r="C38" s="108">
        <v>510</v>
      </c>
      <c r="D38" s="108">
        <v>510</v>
      </c>
      <c r="E38" s="108">
        <v>510</v>
      </c>
      <c r="F38" s="108">
        <v>510</v>
      </c>
      <c r="G38" s="108">
        <v>510</v>
      </c>
      <c r="H38" s="108">
        <v>510</v>
      </c>
      <c r="I38" s="108">
        <v>510</v>
      </c>
      <c r="J38" s="108">
        <v>510</v>
      </c>
      <c r="K38" s="108">
        <v>510</v>
      </c>
      <c r="L38" s="73" t="s">
        <v>9</v>
      </c>
      <c r="M38" s="73" t="s">
        <v>508</v>
      </c>
      <c r="N38" s="73" t="s">
        <v>16</v>
      </c>
      <c r="O38" s="78" t="s">
        <v>525</v>
      </c>
    </row>
    <row r="39" spans="1:24" ht="15.75" thickBot="1">
      <c r="A39" s="76" t="s">
        <v>663</v>
      </c>
      <c r="B39" s="108">
        <v>100</v>
      </c>
      <c r="C39" s="108">
        <v>100</v>
      </c>
      <c r="D39" s="108">
        <v>100</v>
      </c>
      <c r="E39" s="108">
        <v>100</v>
      </c>
      <c r="F39" s="108">
        <v>100</v>
      </c>
      <c r="G39" s="108">
        <v>100</v>
      </c>
      <c r="H39" s="108">
        <v>100</v>
      </c>
      <c r="I39" s="108">
        <v>100</v>
      </c>
      <c r="J39" s="108">
        <v>100</v>
      </c>
      <c r="K39" s="108">
        <v>100</v>
      </c>
      <c r="L39" s="73" t="s">
        <v>15</v>
      </c>
      <c r="M39" s="73" t="s">
        <v>33</v>
      </c>
      <c r="N39" s="73" t="s">
        <v>16</v>
      </c>
      <c r="O39" s="78" t="s">
        <v>525</v>
      </c>
    </row>
    <row r="40" spans="1:24" ht="15.75" thickBot="1">
      <c r="A40" s="76" t="s">
        <v>636</v>
      </c>
      <c r="B40" s="108">
        <v>63</v>
      </c>
      <c r="C40" s="108">
        <v>63</v>
      </c>
      <c r="D40" s="108">
        <v>63</v>
      </c>
      <c r="E40" s="108">
        <v>63</v>
      </c>
      <c r="F40" s="108">
        <v>63</v>
      </c>
      <c r="G40" s="108">
        <v>63</v>
      </c>
      <c r="H40" s="108">
        <v>63</v>
      </c>
      <c r="I40" s="108">
        <v>63</v>
      </c>
      <c r="J40" s="108">
        <v>63</v>
      </c>
      <c r="K40" s="108">
        <v>63</v>
      </c>
      <c r="L40" s="73" t="s">
        <v>15</v>
      </c>
      <c r="M40" s="73" t="s">
        <v>14</v>
      </c>
      <c r="N40" s="73" t="s">
        <v>16</v>
      </c>
      <c r="O40" s="78" t="s">
        <v>525</v>
      </c>
    </row>
    <row r="41" spans="1:24" ht="15.75" thickBot="1">
      <c r="A41" s="76" t="s">
        <v>74</v>
      </c>
      <c r="B41" s="108">
        <v>54</v>
      </c>
      <c r="C41" s="108">
        <v>54</v>
      </c>
      <c r="D41" s="108">
        <v>54</v>
      </c>
      <c r="E41" s="108">
        <v>54</v>
      </c>
      <c r="F41" s="108">
        <v>54</v>
      </c>
      <c r="G41" s="108">
        <v>54</v>
      </c>
      <c r="H41" s="108">
        <v>54</v>
      </c>
      <c r="I41" s="108">
        <v>54</v>
      </c>
      <c r="J41" s="108">
        <v>54</v>
      </c>
      <c r="K41" s="108">
        <v>54</v>
      </c>
      <c r="L41" s="73" t="s">
        <v>15</v>
      </c>
      <c r="M41" s="73" t="s">
        <v>14</v>
      </c>
      <c r="N41" s="73" t="s">
        <v>16</v>
      </c>
      <c r="O41" s="78" t="s">
        <v>525</v>
      </c>
    </row>
    <row r="42" spans="1:24" ht="15.75" thickBot="1">
      <c r="A42" s="76" t="s">
        <v>77</v>
      </c>
      <c r="B42" s="108">
        <v>160</v>
      </c>
      <c r="C42" s="108">
        <v>160</v>
      </c>
      <c r="D42" s="108">
        <v>160</v>
      </c>
      <c r="E42" s="108">
        <v>160</v>
      </c>
      <c r="F42" s="108">
        <v>160</v>
      </c>
      <c r="G42" s="108">
        <v>160</v>
      </c>
      <c r="H42" s="108">
        <v>160</v>
      </c>
      <c r="I42" s="108">
        <v>160</v>
      </c>
      <c r="J42" s="108">
        <v>160</v>
      </c>
      <c r="K42" s="108">
        <v>160</v>
      </c>
      <c r="L42" s="73" t="s">
        <v>9</v>
      </c>
      <c r="M42" s="73" t="s">
        <v>508</v>
      </c>
      <c r="N42" s="73" t="s">
        <v>16</v>
      </c>
      <c r="O42" s="78" t="s">
        <v>525</v>
      </c>
      <c r="P42" s="50"/>
      <c r="Q42" s="50"/>
      <c r="R42" s="50"/>
      <c r="S42" s="50"/>
      <c r="T42" s="50"/>
      <c r="U42" s="50"/>
      <c r="V42" s="50"/>
      <c r="W42" s="50"/>
      <c r="X42" s="50"/>
    </row>
    <row r="43" spans="1:24" ht="15.75" thickBot="1">
      <c r="A43" s="76" t="s">
        <v>106</v>
      </c>
      <c r="B43" s="108">
        <v>0</v>
      </c>
      <c r="C43" s="108">
        <v>532</v>
      </c>
      <c r="D43" s="108">
        <v>532</v>
      </c>
      <c r="E43" s="108">
        <v>532</v>
      </c>
      <c r="F43" s="108">
        <v>532</v>
      </c>
      <c r="G43" s="108">
        <v>532</v>
      </c>
      <c r="H43" s="108">
        <v>532</v>
      </c>
      <c r="I43" s="108">
        <v>532</v>
      </c>
      <c r="J43" s="108">
        <v>532</v>
      </c>
      <c r="K43" s="108">
        <v>532</v>
      </c>
      <c r="L43" s="73" t="s">
        <v>15</v>
      </c>
      <c r="M43" s="73" t="s">
        <v>14</v>
      </c>
      <c r="N43" s="73" t="s">
        <v>16</v>
      </c>
      <c r="O43" s="78" t="s">
        <v>525</v>
      </c>
      <c r="P43" s="50"/>
      <c r="Q43" s="50"/>
      <c r="R43" s="50"/>
      <c r="S43" s="50"/>
      <c r="T43" s="50"/>
      <c r="U43" s="50"/>
      <c r="V43" s="50"/>
      <c r="W43" s="50"/>
      <c r="X43" s="50"/>
    </row>
    <row r="44" spans="1:24" ht="15.75" thickBot="1">
      <c r="A44" s="76" t="s">
        <v>81</v>
      </c>
      <c r="B44" s="108">
        <v>336</v>
      </c>
      <c r="C44" s="108">
        <v>336</v>
      </c>
      <c r="D44" s="108">
        <v>336</v>
      </c>
      <c r="E44" s="108">
        <v>336</v>
      </c>
      <c r="F44" s="108">
        <v>336</v>
      </c>
      <c r="G44" s="108">
        <v>336</v>
      </c>
      <c r="H44" s="108">
        <v>336</v>
      </c>
      <c r="I44" s="108">
        <v>336</v>
      </c>
      <c r="J44" s="108">
        <v>336</v>
      </c>
      <c r="K44" s="108">
        <v>336</v>
      </c>
      <c r="L44" s="73" t="s">
        <v>9</v>
      </c>
      <c r="M44" s="73" t="s">
        <v>508</v>
      </c>
      <c r="N44" s="73" t="s">
        <v>16</v>
      </c>
      <c r="O44" s="78" t="s">
        <v>525</v>
      </c>
      <c r="P44" s="50"/>
      <c r="Q44" s="50"/>
      <c r="R44" s="50"/>
      <c r="S44" s="50"/>
      <c r="T44" s="50"/>
      <c r="U44" s="50"/>
      <c r="V44" s="50"/>
      <c r="W44" s="50"/>
      <c r="X44" s="50"/>
    </row>
    <row r="45" spans="1:24" ht="15.75" thickBot="1">
      <c r="A45" s="76" t="s">
        <v>108</v>
      </c>
      <c r="B45" s="108">
        <v>87.75</v>
      </c>
      <c r="C45" s="108">
        <v>87.75</v>
      </c>
      <c r="D45" s="108">
        <v>87.75</v>
      </c>
      <c r="E45" s="108">
        <v>87.75</v>
      </c>
      <c r="F45" s="108">
        <v>87.75</v>
      </c>
      <c r="G45" s="108">
        <v>87.75</v>
      </c>
      <c r="H45" s="108">
        <v>87.75</v>
      </c>
      <c r="I45" s="108">
        <v>87.75</v>
      </c>
      <c r="J45" s="108">
        <v>87.75</v>
      </c>
      <c r="K45" s="108">
        <v>87.75</v>
      </c>
      <c r="L45" s="73" t="s">
        <v>15</v>
      </c>
      <c r="M45" s="73" t="s">
        <v>33</v>
      </c>
      <c r="N45" s="73" t="s">
        <v>16</v>
      </c>
      <c r="O45" s="78" t="s">
        <v>525</v>
      </c>
      <c r="P45" s="50"/>
      <c r="Q45" s="50"/>
      <c r="R45" s="50"/>
      <c r="S45" s="50"/>
      <c r="T45" s="50"/>
      <c r="U45" s="50"/>
      <c r="V45" s="50"/>
      <c r="W45" s="50"/>
      <c r="X45" s="50"/>
    </row>
    <row r="46" spans="1:24" ht="15.75" thickBot="1">
      <c r="A46" s="76" t="s">
        <v>82</v>
      </c>
      <c r="B46" s="108">
        <v>68</v>
      </c>
      <c r="C46" s="108">
        <v>68</v>
      </c>
      <c r="D46" s="108">
        <v>68</v>
      </c>
      <c r="E46" s="108">
        <v>68</v>
      </c>
      <c r="F46" s="108">
        <v>68</v>
      </c>
      <c r="G46" s="108">
        <v>68</v>
      </c>
      <c r="H46" s="108">
        <v>68</v>
      </c>
      <c r="I46" s="108">
        <v>68</v>
      </c>
      <c r="J46" s="108">
        <v>68</v>
      </c>
      <c r="K46" s="108">
        <v>68</v>
      </c>
      <c r="L46" s="73" t="s">
        <v>9</v>
      </c>
      <c r="M46" s="73" t="s">
        <v>510</v>
      </c>
      <c r="N46" s="73" t="s">
        <v>16</v>
      </c>
      <c r="O46" s="78" t="s">
        <v>525</v>
      </c>
      <c r="P46" s="208"/>
      <c r="Q46" s="208"/>
      <c r="R46" s="208"/>
      <c r="S46" s="208"/>
      <c r="T46" s="208"/>
      <c r="U46" s="208"/>
      <c r="V46" s="208"/>
      <c r="W46" s="208"/>
      <c r="X46" s="50"/>
    </row>
    <row r="47" spans="1:24" ht="15.75" thickBot="1">
      <c r="A47" s="76" t="s">
        <v>84</v>
      </c>
      <c r="B47" s="108">
        <v>1528</v>
      </c>
      <c r="C47" s="108">
        <v>1528</v>
      </c>
      <c r="D47" s="108">
        <v>1528</v>
      </c>
      <c r="E47" s="108">
        <v>1528</v>
      </c>
      <c r="F47" s="108">
        <v>1528</v>
      </c>
      <c r="G47" s="108">
        <v>1528</v>
      </c>
      <c r="H47" s="108">
        <v>1528</v>
      </c>
      <c r="I47" s="108">
        <v>1528</v>
      </c>
      <c r="J47" s="108">
        <v>1528</v>
      </c>
      <c r="K47" s="108">
        <v>1528</v>
      </c>
      <c r="L47" s="73" t="s">
        <v>9</v>
      </c>
      <c r="M47" s="73" t="s">
        <v>508</v>
      </c>
      <c r="N47" s="73" t="s">
        <v>16</v>
      </c>
      <c r="O47" s="78" t="s">
        <v>525</v>
      </c>
      <c r="P47" s="208"/>
      <c r="Q47" s="208"/>
      <c r="R47" s="208"/>
      <c r="S47" s="208"/>
      <c r="T47" s="208"/>
      <c r="U47" s="208"/>
      <c r="V47" s="208"/>
      <c r="W47" s="208"/>
      <c r="X47" s="50"/>
    </row>
    <row r="48" spans="1:24">
      <c r="A48" s="156" t="s">
        <v>362</v>
      </c>
      <c r="B48" s="154">
        <v>81</v>
      </c>
      <c r="C48" s="154">
        <v>81</v>
      </c>
      <c r="D48" s="154">
        <v>81</v>
      </c>
      <c r="E48" s="154">
        <v>81</v>
      </c>
      <c r="F48" s="154">
        <v>81</v>
      </c>
      <c r="G48" s="154">
        <v>81</v>
      </c>
      <c r="H48" s="154">
        <v>81</v>
      </c>
      <c r="I48" s="154">
        <v>81</v>
      </c>
      <c r="J48" s="154">
        <v>81</v>
      </c>
      <c r="K48" s="154">
        <v>81</v>
      </c>
      <c r="L48" s="155" t="s">
        <v>15</v>
      </c>
      <c r="M48" s="155" t="s">
        <v>33</v>
      </c>
      <c r="N48" s="155" t="s">
        <v>16</v>
      </c>
      <c r="O48" s="157" t="s">
        <v>525</v>
      </c>
      <c r="P48" s="50"/>
      <c r="Q48" s="50"/>
      <c r="R48" s="50"/>
      <c r="S48" s="50"/>
      <c r="T48" s="50"/>
      <c r="U48" s="50"/>
      <c r="V48" s="50"/>
      <c r="W48" s="50"/>
      <c r="X48" s="50"/>
    </row>
    <row r="49" spans="1:24" ht="15.75" thickBot="1">
      <c r="A49" s="150"/>
      <c r="B49" s="109"/>
      <c r="C49" s="109"/>
      <c r="D49" s="109"/>
      <c r="E49" s="109"/>
      <c r="F49" s="109"/>
      <c r="G49" s="109"/>
      <c r="H49" s="109"/>
      <c r="I49" s="109"/>
      <c r="J49" s="109"/>
      <c r="K49" s="109"/>
      <c r="L49" s="150"/>
      <c r="M49" s="150"/>
      <c r="N49" s="150"/>
      <c r="O49" s="150"/>
      <c r="P49" s="50"/>
      <c r="Q49" s="50"/>
      <c r="R49" s="50"/>
      <c r="S49" s="50"/>
      <c r="T49" s="50"/>
      <c r="U49" s="50"/>
      <c r="V49" s="50"/>
      <c r="W49" s="50"/>
      <c r="X49" s="50"/>
    </row>
    <row r="50" spans="1:24" ht="15.75" thickBot="1">
      <c r="A50" s="53" t="s">
        <v>86</v>
      </c>
      <c r="B50" s="110">
        <f>SUM(wincapsalltable[2019])</f>
        <v>12172.779999999999</v>
      </c>
      <c r="C50" s="110">
        <f>SUM(wincapsalltable[2020])</f>
        <v>13334.65</v>
      </c>
      <c r="D50" s="110">
        <f>SUM(wincapsalltable[2021])</f>
        <v>13334.65</v>
      </c>
      <c r="E50" s="110">
        <f>SUM(wincapsalltable[2022])</f>
        <v>13334.65</v>
      </c>
      <c r="F50" s="110">
        <f>SUM(wincapsalltable[2023])</f>
        <v>13334.65</v>
      </c>
      <c r="G50" s="110">
        <f>SUM(wincapsalltable[2024])</f>
        <v>13379.65</v>
      </c>
      <c r="H50" s="110">
        <f>SUM(wincapsalltable[2025])</f>
        <v>13474.65</v>
      </c>
      <c r="I50" s="110">
        <f>SUM(wincapsalltable[2026])</f>
        <v>13474.65</v>
      </c>
      <c r="J50" s="110">
        <f>SUM(wincapsalltable[2027])</f>
        <v>13474.65</v>
      </c>
      <c r="K50" s="110">
        <f>SUM(wincapsalltable[2028])</f>
        <v>13474.65</v>
      </c>
      <c r="L50" s="54"/>
      <c r="M50" s="50"/>
      <c r="N50" s="50"/>
      <c r="O50" s="50"/>
    </row>
    <row r="51" spans="1:24">
      <c r="B51" s="57"/>
      <c r="C51" s="57"/>
      <c r="D51" s="57"/>
      <c r="E51" s="57"/>
      <c r="F51" s="57"/>
      <c r="G51" s="57"/>
      <c r="H51" s="57"/>
      <c r="I51" s="57"/>
      <c r="J51" s="57"/>
      <c r="K51" s="57"/>
      <c r="M51" s="50"/>
      <c r="N51" s="50"/>
      <c r="O51" s="50"/>
    </row>
    <row r="52" spans="1:24">
      <c r="A52" s="206" t="s">
        <v>526</v>
      </c>
      <c r="B52" s="207"/>
      <c r="C52" s="207"/>
      <c r="D52" s="207"/>
      <c r="E52" s="207"/>
      <c r="F52" s="207"/>
      <c r="G52" s="207"/>
      <c r="H52" s="207"/>
      <c r="I52" s="207"/>
      <c r="J52" s="207"/>
      <c r="K52" s="207"/>
      <c r="L52" s="207"/>
      <c r="M52" s="50"/>
      <c r="N52" s="50"/>
      <c r="O52" s="50"/>
    </row>
    <row r="53" spans="1:24">
      <c r="A53" s="206" t="s">
        <v>513</v>
      </c>
      <c r="B53" s="207"/>
      <c r="C53" s="207"/>
      <c r="D53" s="207"/>
      <c r="E53" s="207"/>
      <c r="F53" s="207"/>
      <c r="G53" s="207"/>
      <c r="H53" s="207"/>
      <c r="I53" s="207"/>
      <c r="J53" s="207"/>
      <c r="K53" s="207"/>
      <c r="L53" s="207"/>
      <c r="M53" s="50"/>
      <c r="N53" s="50"/>
      <c r="O53" s="50"/>
    </row>
    <row r="54" spans="1:24">
      <c r="A54" s="206" t="s">
        <v>514</v>
      </c>
      <c r="B54" s="207"/>
      <c r="C54" s="207"/>
      <c r="D54" s="207"/>
      <c r="E54" s="207"/>
      <c r="F54" s="207"/>
      <c r="G54" s="207"/>
      <c r="H54" s="207"/>
      <c r="I54" s="207"/>
      <c r="J54" s="207"/>
      <c r="K54" s="207"/>
      <c r="L54" s="207"/>
      <c r="M54" s="50"/>
      <c r="N54" s="50"/>
      <c r="O54" s="50"/>
    </row>
    <row r="55" spans="1:24">
      <c r="A55" s="206" t="s">
        <v>527</v>
      </c>
      <c r="B55" s="207"/>
      <c r="C55" s="207"/>
      <c r="D55" s="207"/>
      <c r="E55" s="207"/>
      <c r="F55" s="207"/>
      <c r="G55" s="207"/>
      <c r="H55" s="207"/>
      <c r="I55" s="207"/>
      <c r="J55" s="207"/>
      <c r="K55" s="207"/>
      <c r="L55" s="207"/>
      <c r="M55" s="50"/>
      <c r="N55" s="50"/>
      <c r="O55" s="50"/>
    </row>
    <row r="56" spans="1:24" ht="15.75" thickBot="1">
      <c r="M56" s="50"/>
      <c r="N56" s="50"/>
      <c r="O56" s="50"/>
    </row>
    <row r="57" spans="1:24" ht="20.25" thickBot="1">
      <c r="A57" s="25" t="s">
        <v>528</v>
      </c>
      <c r="M57" s="50"/>
      <c r="N57" s="50"/>
      <c r="O57" s="50"/>
    </row>
    <row r="58" spans="1:24" ht="15.75" thickBot="1">
      <c r="A58" s="106" t="s">
        <v>504</v>
      </c>
      <c r="B58" s="106" t="s">
        <v>568</v>
      </c>
      <c r="C58" s="106" t="s">
        <v>569</v>
      </c>
      <c r="D58" s="106" t="s">
        <v>570</v>
      </c>
      <c r="E58" s="106" t="s">
        <v>571</v>
      </c>
      <c r="F58" s="106" t="s">
        <v>572</v>
      </c>
      <c r="G58" s="106" t="s">
        <v>573</v>
      </c>
      <c r="H58" s="106" t="s">
        <v>574</v>
      </c>
      <c r="I58" s="106" t="s">
        <v>575</v>
      </c>
      <c r="J58" s="106" t="s">
        <v>576</v>
      </c>
      <c r="K58" s="106" t="s">
        <v>577</v>
      </c>
      <c r="L58" s="106" t="s">
        <v>567</v>
      </c>
      <c r="M58" s="62" t="s">
        <v>505</v>
      </c>
      <c r="N58" s="62" t="s">
        <v>7</v>
      </c>
      <c r="O58" s="63" t="s">
        <v>506</v>
      </c>
    </row>
    <row r="59" spans="1:24" ht="15.75" thickBot="1">
      <c r="A59" s="60" t="s">
        <v>17</v>
      </c>
      <c r="B59" s="113">
        <v>84</v>
      </c>
      <c r="C59" s="114">
        <v>84</v>
      </c>
      <c r="D59" s="113">
        <v>84</v>
      </c>
      <c r="E59" s="114">
        <v>84</v>
      </c>
      <c r="F59" s="113">
        <v>84</v>
      </c>
      <c r="G59" s="114">
        <v>84</v>
      </c>
      <c r="H59" s="113">
        <v>84</v>
      </c>
      <c r="I59" s="114">
        <v>84</v>
      </c>
      <c r="J59" s="113">
        <v>84</v>
      </c>
      <c r="K59" s="114">
        <v>84</v>
      </c>
      <c r="L59" s="52" t="s">
        <v>9</v>
      </c>
      <c r="M59" s="55" t="s">
        <v>508</v>
      </c>
      <c r="N59" s="52" t="s">
        <v>16</v>
      </c>
      <c r="O59" s="61" t="s">
        <v>525</v>
      </c>
    </row>
    <row r="60" spans="1:24" ht="15.75" thickBot="1">
      <c r="A60" s="60" t="s">
        <v>509</v>
      </c>
      <c r="B60" s="113">
        <v>29.9</v>
      </c>
      <c r="C60" s="114">
        <v>29.9</v>
      </c>
      <c r="D60" s="113">
        <v>29.9</v>
      </c>
      <c r="E60" s="114">
        <v>29.9</v>
      </c>
      <c r="F60" s="113">
        <v>29.9</v>
      </c>
      <c r="G60" s="114">
        <v>29.9</v>
      </c>
      <c r="H60" s="113">
        <v>29.9</v>
      </c>
      <c r="I60" s="114">
        <v>29.9</v>
      </c>
      <c r="J60" s="113">
        <v>29.9</v>
      </c>
      <c r="K60" s="114">
        <v>29.9</v>
      </c>
      <c r="L60" s="52" t="s">
        <v>9</v>
      </c>
      <c r="M60" s="55" t="s">
        <v>680</v>
      </c>
      <c r="N60" s="52" t="s">
        <v>16</v>
      </c>
      <c r="O60" s="61" t="s">
        <v>525</v>
      </c>
    </row>
    <row r="61" spans="1:24" ht="15.75" thickBot="1">
      <c r="A61" s="60" t="s">
        <v>29</v>
      </c>
      <c r="B61" s="113">
        <v>300</v>
      </c>
      <c r="C61" s="114">
        <v>300</v>
      </c>
      <c r="D61" s="113">
        <v>300</v>
      </c>
      <c r="E61" s="114">
        <v>300</v>
      </c>
      <c r="F61" s="113">
        <v>300</v>
      </c>
      <c r="G61" s="114">
        <v>300</v>
      </c>
      <c r="H61" s="113">
        <v>300</v>
      </c>
      <c r="I61" s="114">
        <v>300</v>
      </c>
      <c r="J61" s="113">
        <v>300</v>
      </c>
      <c r="K61" s="114">
        <v>300</v>
      </c>
      <c r="L61" s="52" t="s">
        <v>9</v>
      </c>
      <c r="M61" s="55" t="s">
        <v>510</v>
      </c>
      <c r="N61" s="52" t="s">
        <v>16</v>
      </c>
      <c r="O61" s="61" t="s">
        <v>525</v>
      </c>
    </row>
    <row r="62" spans="1:24" ht="15.75" thickBot="1">
      <c r="A62" s="60" t="s">
        <v>37</v>
      </c>
      <c r="B62" s="113">
        <v>165</v>
      </c>
      <c r="C62" s="114">
        <v>165</v>
      </c>
      <c r="D62" s="113">
        <v>165</v>
      </c>
      <c r="E62" s="114">
        <v>165</v>
      </c>
      <c r="F62" s="113">
        <v>165</v>
      </c>
      <c r="G62" s="114">
        <v>165</v>
      </c>
      <c r="H62" s="113">
        <v>165</v>
      </c>
      <c r="I62" s="114">
        <v>165</v>
      </c>
      <c r="J62" s="113">
        <v>165</v>
      </c>
      <c r="K62" s="114">
        <v>165</v>
      </c>
      <c r="L62" s="52" t="s">
        <v>9</v>
      </c>
      <c r="M62" s="55" t="s">
        <v>510</v>
      </c>
      <c r="N62" s="52" t="s">
        <v>16</v>
      </c>
      <c r="O62" s="61" t="s">
        <v>525</v>
      </c>
    </row>
    <row r="63" spans="1:24" ht="15.75" thickBot="1">
      <c r="A63" s="60" t="s">
        <v>39</v>
      </c>
      <c r="B63" s="113">
        <v>100</v>
      </c>
      <c r="C63" s="114">
        <v>100</v>
      </c>
      <c r="D63" s="113">
        <v>100</v>
      </c>
      <c r="E63" s="114">
        <v>100</v>
      </c>
      <c r="F63" s="113">
        <v>100</v>
      </c>
      <c r="G63" s="114">
        <v>100</v>
      </c>
      <c r="H63" s="113">
        <v>100</v>
      </c>
      <c r="I63" s="114">
        <v>100</v>
      </c>
      <c r="J63" s="113">
        <v>100</v>
      </c>
      <c r="K63" s="114">
        <v>100</v>
      </c>
      <c r="L63" s="52" t="s">
        <v>9</v>
      </c>
      <c r="M63" s="55" t="s">
        <v>510</v>
      </c>
      <c r="N63" s="52" t="s">
        <v>16</v>
      </c>
      <c r="O63" s="61" t="s">
        <v>525</v>
      </c>
    </row>
    <row r="64" spans="1:24" ht="15.75" thickBot="1">
      <c r="A64" s="60" t="s">
        <v>97</v>
      </c>
      <c r="B64" s="113">
        <v>25.33</v>
      </c>
      <c r="C64" s="114">
        <v>25.33</v>
      </c>
      <c r="D64" s="113">
        <v>25.33</v>
      </c>
      <c r="E64" s="114">
        <v>25.33</v>
      </c>
      <c r="F64" s="113">
        <v>25.33</v>
      </c>
      <c r="G64" s="114">
        <v>25.33</v>
      </c>
      <c r="H64" s="113">
        <v>25.33</v>
      </c>
      <c r="I64" s="114">
        <v>25.33</v>
      </c>
      <c r="J64" s="113">
        <v>25.33</v>
      </c>
      <c r="K64" s="114">
        <v>25.33</v>
      </c>
      <c r="L64" s="52" t="s">
        <v>9</v>
      </c>
      <c r="M64" s="55" t="s">
        <v>680</v>
      </c>
      <c r="N64" s="52" t="s">
        <v>16</v>
      </c>
      <c r="O64" s="61" t="s">
        <v>525</v>
      </c>
    </row>
    <row r="65" spans="1:24" ht="15.75" thickBot="1">
      <c r="A65" s="60" t="s">
        <v>42</v>
      </c>
      <c r="B65" s="113">
        <v>0</v>
      </c>
      <c r="C65" s="114">
        <v>0</v>
      </c>
      <c r="D65" s="113">
        <v>0</v>
      </c>
      <c r="E65" s="114">
        <v>0</v>
      </c>
      <c r="F65" s="113">
        <v>0</v>
      </c>
      <c r="G65" s="114">
        <v>0</v>
      </c>
      <c r="H65" s="113">
        <v>0</v>
      </c>
      <c r="I65" s="114">
        <v>0</v>
      </c>
      <c r="J65" s="113">
        <v>0</v>
      </c>
      <c r="K65" s="114">
        <v>0</v>
      </c>
      <c r="L65" s="52" t="s">
        <v>9</v>
      </c>
      <c r="M65" s="55" t="s">
        <v>510</v>
      </c>
      <c r="N65" s="52" t="s">
        <v>16</v>
      </c>
      <c r="O65" s="61" t="s">
        <v>525</v>
      </c>
    </row>
    <row r="66" spans="1:24" ht="15.75" thickBot="1">
      <c r="A66" s="60" t="s">
        <v>43</v>
      </c>
      <c r="B66" s="113">
        <v>224</v>
      </c>
      <c r="C66" s="114">
        <v>224</v>
      </c>
      <c r="D66" s="113">
        <v>224</v>
      </c>
      <c r="E66" s="114">
        <v>224</v>
      </c>
      <c r="F66" s="113">
        <v>224</v>
      </c>
      <c r="G66" s="114">
        <v>224</v>
      </c>
      <c r="H66" s="113">
        <v>224</v>
      </c>
      <c r="I66" s="114">
        <v>224</v>
      </c>
      <c r="J66" s="113">
        <v>224</v>
      </c>
      <c r="K66" s="114">
        <v>224</v>
      </c>
      <c r="L66" s="52" t="s">
        <v>9</v>
      </c>
      <c r="M66" s="55" t="s">
        <v>508</v>
      </c>
      <c r="N66" s="52" t="s">
        <v>16</v>
      </c>
      <c r="O66" s="61" t="s">
        <v>525</v>
      </c>
    </row>
    <row r="67" spans="1:24" ht="15.75" thickBot="1">
      <c r="A67" s="60" t="s">
        <v>46</v>
      </c>
      <c r="B67" s="113">
        <v>255</v>
      </c>
      <c r="C67" s="114">
        <v>255</v>
      </c>
      <c r="D67" s="113">
        <v>255</v>
      </c>
      <c r="E67" s="114">
        <v>255</v>
      </c>
      <c r="F67" s="113">
        <v>255</v>
      </c>
      <c r="G67" s="114">
        <v>255</v>
      </c>
      <c r="H67" s="113">
        <v>255</v>
      </c>
      <c r="I67" s="114">
        <v>255</v>
      </c>
      <c r="J67" s="113">
        <v>255</v>
      </c>
      <c r="K67" s="114">
        <v>255</v>
      </c>
      <c r="L67" s="52" t="s">
        <v>9</v>
      </c>
      <c r="M67" s="55" t="s">
        <v>508</v>
      </c>
      <c r="N67" s="52" t="s">
        <v>16</v>
      </c>
      <c r="O67" s="61" t="s">
        <v>525</v>
      </c>
    </row>
    <row r="68" spans="1:24" ht="15.75" thickBot="1">
      <c r="A68" s="60" t="s">
        <v>51</v>
      </c>
      <c r="B68" s="113">
        <v>340</v>
      </c>
      <c r="C68" s="114">
        <v>340</v>
      </c>
      <c r="D68" s="113">
        <v>340</v>
      </c>
      <c r="E68" s="114">
        <v>340</v>
      </c>
      <c r="F68" s="113">
        <v>340</v>
      </c>
      <c r="G68" s="114">
        <v>340</v>
      </c>
      <c r="H68" s="113">
        <v>340</v>
      </c>
      <c r="I68" s="114">
        <v>340</v>
      </c>
      <c r="J68" s="113">
        <v>340</v>
      </c>
      <c r="K68" s="114">
        <v>340</v>
      </c>
      <c r="L68" s="52" t="s">
        <v>9</v>
      </c>
      <c r="M68" s="55" t="s">
        <v>508</v>
      </c>
      <c r="N68" s="52" t="s">
        <v>16</v>
      </c>
      <c r="O68" s="61" t="s">
        <v>525</v>
      </c>
    </row>
    <row r="69" spans="1:24" ht="15.75" thickBot="1">
      <c r="A69" s="60" t="s">
        <v>54</v>
      </c>
      <c r="B69" s="113">
        <v>2210</v>
      </c>
      <c r="C69" s="114">
        <v>2210</v>
      </c>
      <c r="D69" s="113">
        <v>2210</v>
      </c>
      <c r="E69" s="114">
        <v>2210</v>
      </c>
      <c r="F69" s="113">
        <v>2210</v>
      </c>
      <c r="G69" s="114">
        <v>2210</v>
      </c>
      <c r="H69" s="113">
        <v>2210</v>
      </c>
      <c r="I69" s="114">
        <v>2210</v>
      </c>
      <c r="J69" s="113">
        <v>2210</v>
      </c>
      <c r="K69" s="114">
        <v>2210</v>
      </c>
      <c r="L69" s="52" t="s">
        <v>9</v>
      </c>
      <c r="M69" s="55" t="s">
        <v>508</v>
      </c>
      <c r="N69" s="52" t="s">
        <v>16</v>
      </c>
      <c r="O69" s="61" t="s">
        <v>525</v>
      </c>
    </row>
    <row r="70" spans="1:24" ht="15.75" thickBot="1">
      <c r="A70" s="60" t="s">
        <v>56</v>
      </c>
      <c r="B70" s="113">
        <v>1110</v>
      </c>
      <c r="C70" s="114">
        <v>1150</v>
      </c>
      <c r="D70" s="113">
        <v>1150</v>
      </c>
      <c r="E70" s="114">
        <v>1150</v>
      </c>
      <c r="F70" s="113">
        <v>1150</v>
      </c>
      <c r="G70" s="114">
        <v>1150</v>
      </c>
      <c r="H70" s="113">
        <v>1150</v>
      </c>
      <c r="I70" s="114">
        <v>1150</v>
      </c>
      <c r="J70" s="113">
        <v>1150</v>
      </c>
      <c r="K70" s="114">
        <v>1150</v>
      </c>
      <c r="L70" s="52" t="s">
        <v>9</v>
      </c>
      <c r="M70" s="55" t="s">
        <v>508</v>
      </c>
      <c r="N70" s="52" t="s">
        <v>16</v>
      </c>
      <c r="O70" s="61" t="s">
        <v>525</v>
      </c>
    </row>
    <row r="71" spans="1:24" ht="15.75" thickBot="1">
      <c r="A71" s="60" t="s">
        <v>61</v>
      </c>
      <c r="B71" s="113">
        <v>584</v>
      </c>
      <c r="C71" s="114">
        <v>584</v>
      </c>
      <c r="D71" s="113">
        <v>584</v>
      </c>
      <c r="E71" s="114">
        <v>584</v>
      </c>
      <c r="F71" s="113">
        <v>584</v>
      </c>
      <c r="G71" s="114">
        <v>584</v>
      </c>
      <c r="H71" s="113">
        <v>584</v>
      </c>
      <c r="I71" s="114">
        <v>584</v>
      </c>
      <c r="J71" s="113">
        <v>584</v>
      </c>
      <c r="K71" s="114">
        <v>584</v>
      </c>
      <c r="L71" s="52" t="s">
        <v>9</v>
      </c>
      <c r="M71" s="55" t="s">
        <v>508</v>
      </c>
      <c r="N71" s="52" t="s">
        <v>16</v>
      </c>
      <c r="O71" s="61" t="s">
        <v>525</v>
      </c>
    </row>
    <row r="72" spans="1:24" ht="15.75" thickBot="1">
      <c r="A72" s="60" t="s">
        <v>65</v>
      </c>
      <c r="B72" s="113">
        <v>855</v>
      </c>
      <c r="C72" s="114">
        <v>950</v>
      </c>
      <c r="D72" s="113">
        <v>950</v>
      </c>
      <c r="E72" s="114">
        <v>950</v>
      </c>
      <c r="F72" s="113">
        <v>950</v>
      </c>
      <c r="G72" s="114">
        <v>855</v>
      </c>
      <c r="H72" s="113">
        <v>950</v>
      </c>
      <c r="I72" s="114">
        <v>950</v>
      </c>
      <c r="J72" s="113">
        <v>950</v>
      </c>
      <c r="K72" s="114">
        <v>950</v>
      </c>
      <c r="L72" s="52" t="s">
        <v>9</v>
      </c>
      <c r="M72" s="55" t="s">
        <v>510</v>
      </c>
      <c r="N72" s="52" t="s">
        <v>16</v>
      </c>
      <c r="O72" s="61" t="s">
        <v>525</v>
      </c>
      <c r="P72" s="50"/>
      <c r="Q72" s="50"/>
      <c r="R72" s="50"/>
      <c r="S72" s="50"/>
      <c r="T72" s="50"/>
      <c r="U72" s="50"/>
      <c r="V72" s="50"/>
      <c r="W72" s="50"/>
      <c r="X72" s="50"/>
    </row>
    <row r="73" spans="1:24" ht="15.75" thickBot="1">
      <c r="A73" s="60" t="s">
        <v>67</v>
      </c>
      <c r="B73" s="113">
        <v>560</v>
      </c>
      <c r="C73" s="114">
        <v>420</v>
      </c>
      <c r="D73" s="113">
        <v>420</v>
      </c>
      <c r="E73" s="114">
        <v>420</v>
      </c>
      <c r="F73" s="113">
        <v>420</v>
      </c>
      <c r="G73" s="114">
        <v>560</v>
      </c>
      <c r="H73" s="113">
        <v>560</v>
      </c>
      <c r="I73" s="114">
        <v>560</v>
      </c>
      <c r="J73" s="113">
        <v>560</v>
      </c>
      <c r="K73" s="114">
        <v>560</v>
      </c>
      <c r="L73" s="52" t="s">
        <v>9</v>
      </c>
      <c r="M73" s="55" t="s">
        <v>510</v>
      </c>
      <c r="N73" s="52" t="s">
        <v>16</v>
      </c>
      <c r="O73" s="61" t="s">
        <v>525</v>
      </c>
      <c r="P73" s="50"/>
      <c r="Q73" s="50"/>
      <c r="R73" s="50"/>
      <c r="S73" s="50"/>
      <c r="T73" s="50"/>
      <c r="U73" s="50"/>
      <c r="V73" s="50"/>
      <c r="W73" s="50"/>
      <c r="X73" s="50"/>
    </row>
    <row r="74" spans="1:24" ht="15.75" thickBot="1">
      <c r="A74" s="60" t="s">
        <v>69</v>
      </c>
      <c r="B74" s="113">
        <v>510</v>
      </c>
      <c r="C74" s="114">
        <v>510</v>
      </c>
      <c r="D74" s="113">
        <v>510</v>
      </c>
      <c r="E74" s="114">
        <v>510</v>
      </c>
      <c r="F74" s="113">
        <v>510</v>
      </c>
      <c r="G74" s="114">
        <v>510</v>
      </c>
      <c r="H74" s="113">
        <v>510</v>
      </c>
      <c r="I74" s="114">
        <v>510</v>
      </c>
      <c r="J74" s="113">
        <v>510</v>
      </c>
      <c r="K74" s="114">
        <v>510</v>
      </c>
      <c r="L74" s="52" t="s">
        <v>9</v>
      </c>
      <c r="M74" s="55" t="s">
        <v>508</v>
      </c>
      <c r="N74" s="52" t="s">
        <v>16</v>
      </c>
      <c r="O74" s="61" t="s">
        <v>525</v>
      </c>
      <c r="P74" s="50"/>
      <c r="Q74" s="50"/>
      <c r="R74" s="50"/>
      <c r="S74" s="50"/>
      <c r="T74" s="50"/>
      <c r="U74" s="50"/>
      <c r="V74" s="50"/>
      <c r="W74" s="50"/>
      <c r="X74" s="50"/>
    </row>
    <row r="75" spans="1:24" ht="15.75" thickBot="1">
      <c r="A75" s="60" t="s">
        <v>77</v>
      </c>
      <c r="B75" s="113">
        <v>160</v>
      </c>
      <c r="C75" s="114">
        <v>160</v>
      </c>
      <c r="D75" s="113">
        <v>160</v>
      </c>
      <c r="E75" s="114">
        <v>160</v>
      </c>
      <c r="F75" s="113">
        <v>160</v>
      </c>
      <c r="G75" s="114">
        <v>160</v>
      </c>
      <c r="H75" s="113">
        <v>160</v>
      </c>
      <c r="I75" s="114">
        <v>160</v>
      </c>
      <c r="J75" s="113">
        <v>160</v>
      </c>
      <c r="K75" s="114">
        <v>160</v>
      </c>
      <c r="L75" s="52" t="s">
        <v>9</v>
      </c>
      <c r="M75" s="55" t="s">
        <v>508</v>
      </c>
      <c r="N75" s="52" t="s">
        <v>16</v>
      </c>
      <c r="O75" s="61" t="s">
        <v>525</v>
      </c>
      <c r="P75" s="50"/>
      <c r="Q75" s="50"/>
      <c r="R75" s="50"/>
      <c r="S75" s="50"/>
      <c r="T75" s="50"/>
      <c r="U75" s="50"/>
      <c r="V75" s="50"/>
      <c r="W75" s="50"/>
      <c r="X75" s="50"/>
    </row>
    <row r="76" spans="1:24" ht="15.75" thickBot="1">
      <c r="A76" s="60" t="s">
        <v>81</v>
      </c>
      <c r="B76" s="113">
        <v>336</v>
      </c>
      <c r="C76" s="114">
        <v>336</v>
      </c>
      <c r="D76" s="113">
        <v>336</v>
      </c>
      <c r="E76" s="114">
        <v>336</v>
      </c>
      <c r="F76" s="113">
        <v>336</v>
      </c>
      <c r="G76" s="114">
        <v>336</v>
      </c>
      <c r="H76" s="113">
        <v>336</v>
      </c>
      <c r="I76" s="114">
        <v>336</v>
      </c>
      <c r="J76" s="113">
        <v>336</v>
      </c>
      <c r="K76" s="114">
        <v>336</v>
      </c>
      <c r="L76" s="52" t="s">
        <v>9</v>
      </c>
      <c r="M76" s="55" t="s">
        <v>508</v>
      </c>
      <c r="N76" s="52" t="s">
        <v>16</v>
      </c>
      <c r="O76" s="61" t="s">
        <v>525</v>
      </c>
      <c r="P76" s="50"/>
      <c r="Q76" s="50"/>
      <c r="R76" s="50"/>
      <c r="S76" s="50"/>
      <c r="T76" s="50"/>
      <c r="U76" s="50"/>
      <c r="V76" s="50"/>
      <c r="W76" s="50"/>
      <c r="X76" s="50"/>
    </row>
    <row r="77" spans="1:24" ht="15.75" thickBot="1">
      <c r="A77" s="60" t="s">
        <v>82</v>
      </c>
      <c r="B77" s="113">
        <v>68</v>
      </c>
      <c r="C77" s="114">
        <v>68</v>
      </c>
      <c r="D77" s="113">
        <v>68</v>
      </c>
      <c r="E77" s="114">
        <v>68</v>
      </c>
      <c r="F77" s="113">
        <v>68</v>
      </c>
      <c r="G77" s="114">
        <v>68</v>
      </c>
      <c r="H77" s="113">
        <v>68</v>
      </c>
      <c r="I77" s="114">
        <v>68</v>
      </c>
      <c r="J77" s="113">
        <v>68</v>
      </c>
      <c r="K77" s="114">
        <v>68</v>
      </c>
      <c r="L77" s="52" t="s">
        <v>9</v>
      </c>
      <c r="M77" s="55" t="s">
        <v>510</v>
      </c>
      <c r="N77" s="52" t="s">
        <v>16</v>
      </c>
      <c r="O77" s="61" t="s">
        <v>525</v>
      </c>
    </row>
    <row r="78" spans="1:24">
      <c r="A78" s="64" t="s">
        <v>84</v>
      </c>
      <c r="B78" s="115">
        <v>1528</v>
      </c>
      <c r="C78" s="116">
        <v>1528</v>
      </c>
      <c r="D78" s="115">
        <v>1528</v>
      </c>
      <c r="E78" s="116">
        <v>1528</v>
      </c>
      <c r="F78" s="115">
        <v>1528</v>
      </c>
      <c r="G78" s="116">
        <v>1528</v>
      </c>
      <c r="H78" s="115">
        <v>1528</v>
      </c>
      <c r="I78" s="116">
        <v>1528</v>
      </c>
      <c r="J78" s="115">
        <v>1528</v>
      </c>
      <c r="K78" s="116">
        <v>1528</v>
      </c>
      <c r="L78" s="65" t="s">
        <v>9</v>
      </c>
      <c r="M78" s="66" t="s">
        <v>508</v>
      </c>
      <c r="N78" s="65" t="s">
        <v>16</v>
      </c>
      <c r="O78" s="67" t="s">
        <v>525</v>
      </c>
    </row>
    <row r="79" spans="1:24" ht="15.75" thickBot="1">
      <c r="B79" s="109"/>
      <c r="C79" s="109"/>
      <c r="D79" s="109"/>
      <c r="E79" s="109"/>
      <c r="F79" s="109"/>
      <c r="G79" s="109"/>
      <c r="H79" s="109"/>
      <c r="I79" s="109"/>
      <c r="J79" s="109"/>
      <c r="K79" s="109"/>
    </row>
    <row r="80" spans="1:24" ht="15.75" thickBot="1">
      <c r="A80" s="51" t="s">
        <v>521</v>
      </c>
      <c r="B80" s="110">
        <f>SUMIF(wincapsSStable[[FuelType]:[FuelType]],"Wind",wincapsSStable[2019])*0.073</f>
        <v>148.32139999999998</v>
      </c>
      <c r="C80" s="110">
        <f>SUMIF(wincapsSStable[[FuelType]:[FuelType]],"Wind",wincapsSStable[2020])*0.073</f>
        <v>230.05219999999997</v>
      </c>
      <c r="D80" s="110">
        <f>SUMIF(wincapsSStable[[FuelType]:[FuelType]],"Wind",wincapsSStable[2021])*0.073</f>
        <v>230.05219999999997</v>
      </c>
      <c r="E80" s="110">
        <f>SUMIF(wincapsSStable[[FuelType]:[FuelType]],"Wind",wincapsSStable[2022])*0.073</f>
        <v>230.05219999999997</v>
      </c>
      <c r="F80" s="110">
        <f>SUMIF(wincapsSStable[[FuelType]:[FuelType]],"Wind",wincapsSStable[2023])*0.073</f>
        <v>230.05219999999997</v>
      </c>
      <c r="G80" s="110">
        <f>SUMIF(wincapsSStable[[FuelType]:[FuelType]],"Wind",wincapsSStable[2024])*0.073</f>
        <v>230.05219999999997</v>
      </c>
      <c r="H80" s="110">
        <f>SUMIF(wincapsSStable[[FuelType]:[FuelType]],"Wind",wincapsSStable[2025])*0.073</f>
        <v>230.05219999999997</v>
      </c>
      <c r="I80" s="110">
        <f>SUMIF(wincapsSStable[[FuelType]:[FuelType]],"Wind",wincapsSStable[2026])*0.073</f>
        <v>230.05219999999997</v>
      </c>
      <c r="J80" s="110">
        <f>SUMIF(wincapsSStable[[FuelType]:[FuelType]],"Wind",wincapsSStable[2027])*0.073</f>
        <v>230.05219999999997</v>
      </c>
      <c r="K80" s="110">
        <f>SUMIF(wincapsSStable[[FuelType]:[FuelType]],"Wind",wincapsSStable[2028])*0.073</f>
        <v>230.05219999999997</v>
      </c>
      <c r="L80" s="52" t="s">
        <v>15</v>
      </c>
      <c r="M80" s="50"/>
      <c r="N80" s="50"/>
      <c r="O80" s="50"/>
    </row>
    <row r="81" spans="1:15" ht="15.75" thickBot="1">
      <c r="A81" s="51" t="s">
        <v>522</v>
      </c>
      <c r="B81" s="113" t="s">
        <v>523</v>
      </c>
      <c r="C81" s="114" t="s">
        <v>523</v>
      </c>
      <c r="D81" s="113" t="s">
        <v>523</v>
      </c>
      <c r="E81" s="114" t="s">
        <v>523</v>
      </c>
      <c r="F81" s="113" t="s">
        <v>523</v>
      </c>
      <c r="G81" s="114" t="s">
        <v>523</v>
      </c>
      <c r="H81" s="113" t="s">
        <v>523</v>
      </c>
      <c r="I81" s="114" t="s">
        <v>523</v>
      </c>
      <c r="J81" s="113" t="s">
        <v>523</v>
      </c>
      <c r="K81" s="114" t="s">
        <v>523</v>
      </c>
      <c r="L81" s="52" t="s">
        <v>15</v>
      </c>
      <c r="M81" s="50"/>
      <c r="N81" s="50"/>
      <c r="O81" s="50"/>
    </row>
    <row r="82" spans="1:15" ht="15.75" thickBot="1">
      <c r="A82" s="53" t="s">
        <v>86</v>
      </c>
      <c r="B82" s="110">
        <f>SUM(wincapsStable[2019])+B80</f>
        <v>9592.5514000000003</v>
      </c>
      <c r="C82" s="110">
        <f>SUM(wincapsStable[2020])+C80</f>
        <v>9669.2821999999996</v>
      </c>
      <c r="D82" s="110">
        <f>SUM(wincapsStable[2021])+D80</f>
        <v>9669.2821999999996</v>
      </c>
      <c r="E82" s="110">
        <f>SUM(wincapsStable[2022])+E80</f>
        <v>9669.2821999999996</v>
      </c>
      <c r="F82" s="110">
        <f>SUM(wincapsStable[2023])+F80</f>
        <v>9669.2821999999996</v>
      </c>
      <c r="G82" s="110">
        <f>SUM(wincapsStable[2024])+G80</f>
        <v>9714.2821999999996</v>
      </c>
      <c r="H82" s="110">
        <f>SUM(wincapsStable[2025])+H80</f>
        <v>9809.2821999999996</v>
      </c>
      <c r="I82" s="110">
        <f>SUM(wincapsStable[2026])+I80</f>
        <v>9809.2821999999996</v>
      </c>
      <c r="J82" s="110">
        <f>SUM(wincapsStable[2027])+J80</f>
        <v>9809.2821999999996</v>
      </c>
      <c r="K82" s="110">
        <f>SUM(wincapsStable[2028])+K80</f>
        <v>9809.2821999999996</v>
      </c>
      <c r="L82" s="54"/>
      <c r="M82" s="50"/>
      <c r="N82" s="50"/>
      <c r="O82" s="50"/>
    </row>
    <row r="83" spans="1:15" ht="15.75" thickBot="1">
      <c r="B83" s="57"/>
      <c r="C83" s="57"/>
      <c r="D83" s="57"/>
      <c r="E83" s="57"/>
      <c r="F83" s="57"/>
      <c r="G83" s="57"/>
      <c r="H83" s="57"/>
      <c r="I83" s="57"/>
      <c r="J83" s="57"/>
      <c r="K83" s="57"/>
      <c r="M83" s="50"/>
      <c r="N83" s="50"/>
      <c r="O83" s="50"/>
    </row>
    <row r="84" spans="1:15" ht="20.25" thickBot="1">
      <c r="A84" s="25" t="s">
        <v>529</v>
      </c>
      <c r="M84" s="50"/>
      <c r="N84" s="50"/>
      <c r="O84" s="50"/>
    </row>
    <row r="85" spans="1:15" ht="15.75" thickBot="1">
      <c r="A85" s="106" t="s">
        <v>504</v>
      </c>
      <c r="B85" s="106" t="s">
        <v>568</v>
      </c>
      <c r="C85" s="106" t="s">
        <v>569</v>
      </c>
      <c r="D85" s="106" t="s">
        <v>570</v>
      </c>
      <c r="E85" s="106" t="s">
        <v>571</v>
      </c>
      <c r="F85" s="106" t="s">
        <v>572</v>
      </c>
      <c r="G85" s="106" t="s">
        <v>573</v>
      </c>
      <c r="H85" s="106" t="s">
        <v>574</v>
      </c>
      <c r="I85" s="106" t="s">
        <v>575</v>
      </c>
      <c r="J85" s="106" t="s">
        <v>576</v>
      </c>
      <c r="K85" s="106" t="s">
        <v>577</v>
      </c>
      <c r="L85" s="106" t="s">
        <v>567</v>
      </c>
      <c r="M85" s="62" t="s">
        <v>505</v>
      </c>
      <c r="N85" s="62" t="s">
        <v>7</v>
      </c>
      <c r="O85" s="63" t="s">
        <v>506</v>
      </c>
    </row>
    <row r="86" spans="1:15" ht="15.75" thickBot="1">
      <c r="A86" s="77" t="s">
        <v>632</v>
      </c>
      <c r="B86" s="107">
        <v>240</v>
      </c>
      <c r="C86" s="103">
        <v>240</v>
      </c>
      <c r="D86" s="107">
        <v>240</v>
      </c>
      <c r="E86" s="103">
        <v>240</v>
      </c>
      <c r="F86" s="107">
        <v>240</v>
      </c>
      <c r="G86" s="103">
        <v>240</v>
      </c>
      <c r="H86" s="107">
        <v>240</v>
      </c>
      <c r="I86" s="103">
        <v>240</v>
      </c>
      <c r="J86" s="107">
        <v>240</v>
      </c>
      <c r="K86" s="103">
        <v>240</v>
      </c>
      <c r="L86" s="74" t="s">
        <v>15</v>
      </c>
      <c r="M86" s="18" t="s">
        <v>14</v>
      </c>
      <c r="N86" s="74" t="s">
        <v>16</v>
      </c>
      <c r="O86" s="81" t="s">
        <v>525</v>
      </c>
    </row>
    <row r="87" spans="1:15" ht="15.75" thickBot="1">
      <c r="A87" s="76" t="s">
        <v>633</v>
      </c>
      <c r="B87" s="108">
        <v>106.6</v>
      </c>
      <c r="C87" s="104">
        <v>106.6</v>
      </c>
      <c r="D87" s="108">
        <v>106.6</v>
      </c>
      <c r="E87" s="104">
        <v>106.6</v>
      </c>
      <c r="F87" s="108">
        <v>106.6</v>
      </c>
      <c r="G87" s="104">
        <v>106.6</v>
      </c>
      <c r="H87" s="108">
        <v>106.6</v>
      </c>
      <c r="I87" s="104">
        <v>106.6</v>
      </c>
      <c r="J87" s="108">
        <v>106.6</v>
      </c>
      <c r="K87" s="104">
        <v>106.6</v>
      </c>
      <c r="L87" s="73" t="s">
        <v>15</v>
      </c>
      <c r="M87" s="17" t="s">
        <v>14</v>
      </c>
      <c r="N87" s="73" t="s">
        <v>16</v>
      </c>
      <c r="O87" s="80" t="s">
        <v>525</v>
      </c>
    </row>
    <row r="88" spans="1:15" ht="15.75" thickBot="1">
      <c r="A88" s="76" t="s">
        <v>89</v>
      </c>
      <c r="B88" s="108">
        <v>88</v>
      </c>
      <c r="C88" s="104">
        <v>88</v>
      </c>
      <c r="D88" s="108">
        <v>88</v>
      </c>
      <c r="E88" s="104">
        <v>88</v>
      </c>
      <c r="F88" s="108">
        <v>88</v>
      </c>
      <c r="G88" s="104">
        <v>88</v>
      </c>
      <c r="H88" s="108">
        <v>88</v>
      </c>
      <c r="I88" s="104">
        <v>88</v>
      </c>
      <c r="J88" s="108">
        <v>88</v>
      </c>
      <c r="K88" s="104">
        <v>88</v>
      </c>
      <c r="L88" s="73" t="s">
        <v>15</v>
      </c>
      <c r="M88" s="17" t="s">
        <v>33</v>
      </c>
      <c r="N88" s="73" t="s">
        <v>16</v>
      </c>
      <c r="O88" s="80" t="s">
        <v>525</v>
      </c>
    </row>
    <row r="89" spans="1:15" ht="15.75" thickBot="1">
      <c r="A89" s="76" t="s">
        <v>92</v>
      </c>
      <c r="B89" s="108">
        <v>0</v>
      </c>
      <c r="C89" s="104">
        <v>20</v>
      </c>
      <c r="D89" s="108">
        <v>20</v>
      </c>
      <c r="E89" s="104">
        <v>20</v>
      </c>
      <c r="F89" s="108">
        <v>20</v>
      </c>
      <c r="G89" s="104">
        <v>20</v>
      </c>
      <c r="H89" s="108">
        <v>20</v>
      </c>
      <c r="I89" s="104">
        <v>20</v>
      </c>
      <c r="J89" s="108">
        <v>20</v>
      </c>
      <c r="K89" s="104">
        <v>20</v>
      </c>
      <c r="L89" s="73" t="s">
        <v>15</v>
      </c>
      <c r="M89" s="17" t="s">
        <v>680</v>
      </c>
      <c r="N89" s="73" t="s">
        <v>16</v>
      </c>
      <c r="O89" s="80" t="s">
        <v>525</v>
      </c>
    </row>
    <row r="90" spans="1:15" ht="23.25" thickBot="1">
      <c r="A90" s="76" t="s">
        <v>93</v>
      </c>
      <c r="B90" s="108">
        <v>0</v>
      </c>
      <c r="C90" s="104">
        <v>194</v>
      </c>
      <c r="D90" s="108">
        <v>194</v>
      </c>
      <c r="E90" s="104">
        <v>194</v>
      </c>
      <c r="F90" s="108">
        <v>194</v>
      </c>
      <c r="G90" s="104">
        <v>194</v>
      </c>
      <c r="H90" s="108">
        <v>194</v>
      </c>
      <c r="I90" s="104">
        <v>194</v>
      </c>
      <c r="J90" s="108">
        <v>194</v>
      </c>
      <c r="K90" s="104">
        <v>194</v>
      </c>
      <c r="L90" s="73" t="s">
        <v>15</v>
      </c>
      <c r="M90" s="17" t="s">
        <v>14</v>
      </c>
      <c r="N90" s="73" t="s">
        <v>16</v>
      </c>
      <c r="O90" s="80" t="s">
        <v>525</v>
      </c>
    </row>
    <row r="91" spans="1:15" ht="15.75" thickBot="1">
      <c r="A91" s="76" t="s">
        <v>716</v>
      </c>
      <c r="B91" s="108">
        <v>0</v>
      </c>
      <c r="C91" s="104">
        <v>57.6</v>
      </c>
      <c r="D91" s="108">
        <v>57.6</v>
      </c>
      <c r="E91" s="104">
        <v>57.6</v>
      </c>
      <c r="F91" s="108">
        <v>57.6</v>
      </c>
      <c r="G91" s="104">
        <v>57.6</v>
      </c>
      <c r="H91" s="108">
        <v>57.6</v>
      </c>
      <c r="I91" s="104">
        <v>57.6</v>
      </c>
      <c r="J91" s="108">
        <v>57.6</v>
      </c>
      <c r="K91" s="104">
        <v>57.6</v>
      </c>
      <c r="L91" s="73" t="s">
        <v>15</v>
      </c>
      <c r="M91" s="17" t="s">
        <v>14</v>
      </c>
      <c r="N91" s="73" t="s">
        <v>16</v>
      </c>
      <c r="O91" s="80" t="s">
        <v>525</v>
      </c>
    </row>
    <row r="92" spans="1:15" ht="15.75" thickBot="1">
      <c r="A92" s="76" t="s">
        <v>705</v>
      </c>
      <c r="B92" s="108">
        <v>0</v>
      </c>
      <c r="C92" s="104">
        <v>27.27</v>
      </c>
      <c r="D92" s="108">
        <v>27.27</v>
      </c>
      <c r="E92" s="104">
        <v>27.27</v>
      </c>
      <c r="F92" s="108">
        <v>27.27</v>
      </c>
      <c r="G92" s="104">
        <v>27.27</v>
      </c>
      <c r="H92" s="108">
        <v>27.27</v>
      </c>
      <c r="I92" s="104">
        <v>27.27</v>
      </c>
      <c r="J92" s="108">
        <v>27.27</v>
      </c>
      <c r="K92" s="104">
        <v>27.27</v>
      </c>
      <c r="L92" s="73" t="s">
        <v>15</v>
      </c>
      <c r="M92" s="17" t="s">
        <v>33</v>
      </c>
      <c r="N92" s="73" t="s">
        <v>16</v>
      </c>
      <c r="O92" s="80" t="s">
        <v>525</v>
      </c>
    </row>
    <row r="93" spans="1:15" ht="15.75" thickBot="1">
      <c r="A93" s="76" t="s">
        <v>95</v>
      </c>
      <c r="B93" s="108">
        <v>79.95</v>
      </c>
      <c r="C93" s="104">
        <v>79.95</v>
      </c>
      <c r="D93" s="108">
        <v>79.95</v>
      </c>
      <c r="E93" s="104">
        <v>79.95</v>
      </c>
      <c r="F93" s="108">
        <v>79.95</v>
      </c>
      <c r="G93" s="104">
        <v>79.95</v>
      </c>
      <c r="H93" s="108">
        <v>79.95</v>
      </c>
      <c r="I93" s="104">
        <v>79.95</v>
      </c>
      <c r="J93" s="108">
        <v>79.95</v>
      </c>
      <c r="K93" s="104">
        <v>79.95</v>
      </c>
      <c r="L93" s="73" t="s">
        <v>15</v>
      </c>
      <c r="M93" s="17" t="s">
        <v>14</v>
      </c>
      <c r="N93" s="73" t="s">
        <v>16</v>
      </c>
      <c r="O93" s="80" t="s">
        <v>525</v>
      </c>
    </row>
    <row r="94" spans="1:15" ht="15.75" thickBot="1">
      <c r="A94" s="76" t="s">
        <v>683</v>
      </c>
      <c r="B94" s="108">
        <v>0</v>
      </c>
      <c r="C94" s="104">
        <v>336</v>
      </c>
      <c r="D94" s="108">
        <v>336</v>
      </c>
      <c r="E94" s="104">
        <v>336</v>
      </c>
      <c r="F94" s="108">
        <v>336</v>
      </c>
      <c r="G94" s="104">
        <v>336</v>
      </c>
      <c r="H94" s="108">
        <v>336</v>
      </c>
      <c r="I94" s="104">
        <v>336</v>
      </c>
      <c r="J94" s="108">
        <v>336</v>
      </c>
      <c r="K94" s="104">
        <v>336</v>
      </c>
      <c r="L94" s="73" t="s">
        <v>15</v>
      </c>
      <c r="M94" s="17" t="s">
        <v>14</v>
      </c>
      <c r="N94" s="73" t="s">
        <v>16</v>
      </c>
      <c r="O94" s="80" t="s">
        <v>525</v>
      </c>
    </row>
    <row r="95" spans="1:15" ht="15.75" thickBot="1">
      <c r="A95" s="76" t="s">
        <v>98</v>
      </c>
      <c r="B95" s="108">
        <v>50</v>
      </c>
      <c r="C95" s="104">
        <v>50</v>
      </c>
      <c r="D95" s="108">
        <v>50</v>
      </c>
      <c r="E95" s="104">
        <v>50</v>
      </c>
      <c r="F95" s="108">
        <v>50</v>
      </c>
      <c r="G95" s="104">
        <v>50</v>
      </c>
      <c r="H95" s="108">
        <v>50</v>
      </c>
      <c r="I95" s="104">
        <v>50</v>
      </c>
      <c r="J95" s="108">
        <v>50</v>
      </c>
      <c r="K95" s="104">
        <v>50</v>
      </c>
      <c r="L95" s="73" t="s">
        <v>15</v>
      </c>
      <c r="M95" s="17" t="s">
        <v>33</v>
      </c>
      <c r="N95" s="73" t="s">
        <v>16</v>
      </c>
      <c r="O95" s="80" t="s">
        <v>525</v>
      </c>
    </row>
    <row r="96" spans="1:15" ht="15.75" thickBot="1">
      <c r="A96" s="76" t="s">
        <v>288</v>
      </c>
      <c r="B96" s="108">
        <v>90</v>
      </c>
      <c r="C96" s="104">
        <v>90</v>
      </c>
      <c r="D96" s="108">
        <v>90</v>
      </c>
      <c r="E96" s="104">
        <v>90</v>
      </c>
      <c r="F96" s="108">
        <v>90</v>
      </c>
      <c r="G96" s="104">
        <v>90</v>
      </c>
      <c r="H96" s="108">
        <v>90</v>
      </c>
      <c r="I96" s="104">
        <v>90</v>
      </c>
      <c r="J96" s="108">
        <v>90</v>
      </c>
      <c r="K96" s="104">
        <v>90</v>
      </c>
      <c r="L96" s="73" t="s">
        <v>15</v>
      </c>
      <c r="M96" s="17" t="s">
        <v>33</v>
      </c>
      <c r="N96" s="73" t="s">
        <v>16</v>
      </c>
      <c r="O96" s="80" t="s">
        <v>525</v>
      </c>
    </row>
    <row r="97" spans="1:24" ht="23.25" thickBot="1">
      <c r="A97" s="76" t="s">
        <v>685</v>
      </c>
      <c r="B97" s="108">
        <v>200</v>
      </c>
      <c r="C97" s="104">
        <v>200</v>
      </c>
      <c r="D97" s="108">
        <v>200</v>
      </c>
      <c r="E97" s="104">
        <v>200</v>
      </c>
      <c r="F97" s="108">
        <v>200</v>
      </c>
      <c r="G97" s="104">
        <v>200</v>
      </c>
      <c r="H97" s="108">
        <v>200</v>
      </c>
      <c r="I97" s="104">
        <v>200</v>
      </c>
      <c r="J97" s="108">
        <v>200</v>
      </c>
      <c r="K97" s="104">
        <v>200</v>
      </c>
      <c r="L97" s="73" t="s">
        <v>15</v>
      </c>
      <c r="M97" s="17" t="s">
        <v>33</v>
      </c>
      <c r="N97" s="73" t="s">
        <v>16</v>
      </c>
      <c r="O97" s="80" t="s">
        <v>525</v>
      </c>
      <c r="P97" s="50"/>
      <c r="Q97" s="50"/>
      <c r="R97" s="50"/>
      <c r="S97" s="50"/>
      <c r="T97" s="50"/>
      <c r="U97" s="50"/>
      <c r="V97" s="50"/>
      <c r="W97" s="50"/>
      <c r="X97" s="50"/>
    </row>
    <row r="98" spans="1:24" ht="15.75" thickBot="1">
      <c r="A98" s="76" t="s">
        <v>48</v>
      </c>
      <c r="B98" s="108">
        <v>31.05</v>
      </c>
      <c r="C98" s="104">
        <v>31.05</v>
      </c>
      <c r="D98" s="108">
        <v>31.05</v>
      </c>
      <c r="E98" s="104">
        <v>31.05</v>
      </c>
      <c r="F98" s="108">
        <v>31.05</v>
      </c>
      <c r="G98" s="104">
        <v>31.05</v>
      </c>
      <c r="H98" s="108">
        <v>31.05</v>
      </c>
      <c r="I98" s="104">
        <v>31.05</v>
      </c>
      <c r="J98" s="108">
        <v>31.05</v>
      </c>
      <c r="K98" s="104">
        <v>31.05</v>
      </c>
      <c r="L98" s="73" t="s">
        <v>15</v>
      </c>
      <c r="M98" s="17" t="s">
        <v>14</v>
      </c>
      <c r="N98" s="73" t="s">
        <v>16</v>
      </c>
      <c r="O98" s="80" t="s">
        <v>525</v>
      </c>
      <c r="P98" s="50"/>
      <c r="Q98" s="50"/>
      <c r="R98" s="50"/>
      <c r="S98" s="50"/>
      <c r="T98" s="50"/>
      <c r="U98" s="50"/>
      <c r="V98" s="50"/>
      <c r="W98" s="50"/>
      <c r="X98" s="50"/>
    </row>
    <row r="99" spans="1:24" ht="34.5" thickBot="1">
      <c r="A99" s="76" t="s">
        <v>686</v>
      </c>
      <c r="B99" s="108">
        <v>83.6</v>
      </c>
      <c r="C99" s="104">
        <v>83.6</v>
      </c>
      <c r="D99" s="108">
        <v>83.6</v>
      </c>
      <c r="E99" s="104">
        <v>83.6</v>
      </c>
      <c r="F99" s="108">
        <v>83.6</v>
      </c>
      <c r="G99" s="104">
        <v>83.6</v>
      </c>
      <c r="H99" s="108">
        <v>83.6</v>
      </c>
      <c r="I99" s="104">
        <v>83.6</v>
      </c>
      <c r="J99" s="108">
        <v>83.6</v>
      </c>
      <c r="K99" s="104">
        <v>83.6</v>
      </c>
      <c r="L99" s="73" t="s">
        <v>15</v>
      </c>
      <c r="M99" s="17" t="s">
        <v>14</v>
      </c>
      <c r="N99" s="73" t="s">
        <v>16</v>
      </c>
      <c r="O99" s="80" t="s">
        <v>525</v>
      </c>
    </row>
    <row r="100" spans="1:24" ht="23.25" thickBot="1">
      <c r="A100" s="76" t="s">
        <v>295</v>
      </c>
      <c r="B100" s="108">
        <v>144.4</v>
      </c>
      <c r="C100" s="104">
        <v>144.4</v>
      </c>
      <c r="D100" s="108">
        <v>144.4</v>
      </c>
      <c r="E100" s="104">
        <v>144.4</v>
      </c>
      <c r="F100" s="108">
        <v>144.4</v>
      </c>
      <c r="G100" s="104">
        <v>144.4</v>
      </c>
      <c r="H100" s="108">
        <v>144.4</v>
      </c>
      <c r="I100" s="104">
        <v>144.4</v>
      </c>
      <c r="J100" s="108">
        <v>144.4</v>
      </c>
      <c r="K100" s="104">
        <v>144.4</v>
      </c>
      <c r="L100" s="73" t="s">
        <v>15</v>
      </c>
      <c r="M100" s="17" t="s">
        <v>14</v>
      </c>
      <c r="N100" s="73" t="s">
        <v>16</v>
      </c>
      <c r="O100" s="80" t="s">
        <v>525</v>
      </c>
    </row>
    <row r="101" spans="1:24" ht="15.75" thickBot="1">
      <c r="A101" s="76" t="s">
        <v>634</v>
      </c>
      <c r="B101" s="108">
        <v>420</v>
      </c>
      <c r="C101" s="104">
        <v>420</v>
      </c>
      <c r="D101" s="108">
        <v>420</v>
      </c>
      <c r="E101" s="104">
        <v>420</v>
      </c>
      <c r="F101" s="108">
        <v>420</v>
      </c>
      <c r="G101" s="104">
        <v>420</v>
      </c>
      <c r="H101" s="108">
        <v>420</v>
      </c>
      <c r="I101" s="104">
        <v>420</v>
      </c>
      <c r="J101" s="108">
        <v>420</v>
      </c>
      <c r="K101" s="104">
        <v>420</v>
      </c>
      <c r="L101" s="73" t="s">
        <v>15</v>
      </c>
      <c r="M101" s="17" t="s">
        <v>14</v>
      </c>
      <c r="N101" s="73" t="s">
        <v>16</v>
      </c>
      <c r="O101" s="80" t="s">
        <v>525</v>
      </c>
    </row>
    <row r="102" spans="1:24" ht="15.75" thickBot="1">
      <c r="A102" s="76" t="s">
        <v>511</v>
      </c>
      <c r="B102" s="108">
        <v>320</v>
      </c>
      <c r="C102" s="104">
        <v>320</v>
      </c>
      <c r="D102" s="108">
        <v>320</v>
      </c>
      <c r="E102" s="104">
        <v>320</v>
      </c>
      <c r="F102" s="108">
        <v>320</v>
      </c>
      <c r="G102" s="104">
        <v>320</v>
      </c>
      <c r="H102" s="108">
        <v>320</v>
      </c>
      <c r="I102" s="104">
        <v>320</v>
      </c>
      <c r="J102" s="108">
        <v>320</v>
      </c>
      <c r="K102" s="104">
        <v>320</v>
      </c>
      <c r="L102" s="73" t="s">
        <v>15</v>
      </c>
      <c r="M102" s="17" t="s">
        <v>14</v>
      </c>
      <c r="N102" s="73" t="s">
        <v>16</v>
      </c>
      <c r="O102" s="80" t="s">
        <v>525</v>
      </c>
    </row>
    <row r="103" spans="1:24" ht="15.75" thickBot="1">
      <c r="A103" s="76" t="s">
        <v>101</v>
      </c>
      <c r="B103" s="108">
        <v>132</v>
      </c>
      <c r="C103" s="104">
        <v>132</v>
      </c>
      <c r="D103" s="108">
        <v>132</v>
      </c>
      <c r="E103" s="104">
        <v>132</v>
      </c>
      <c r="F103" s="108">
        <v>132</v>
      </c>
      <c r="G103" s="104">
        <v>132</v>
      </c>
      <c r="H103" s="108">
        <v>132</v>
      </c>
      <c r="I103" s="104">
        <v>132</v>
      </c>
      <c r="J103" s="108">
        <v>132</v>
      </c>
      <c r="K103" s="104">
        <v>132</v>
      </c>
      <c r="L103" s="73" t="s">
        <v>15</v>
      </c>
      <c r="M103" s="17" t="s">
        <v>14</v>
      </c>
      <c r="N103" s="73" t="s">
        <v>16</v>
      </c>
      <c r="O103" s="80" t="s">
        <v>525</v>
      </c>
    </row>
    <row r="104" spans="1:24" ht="15.75" thickBot="1">
      <c r="A104" s="76" t="s">
        <v>635</v>
      </c>
      <c r="B104" s="108">
        <v>131.19999999999999</v>
      </c>
      <c r="C104" s="104">
        <v>131.19999999999999</v>
      </c>
      <c r="D104" s="108">
        <v>131.19999999999999</v>
      </c>
      <c r="E104" s="104">
        <v>131.19999999999999</v>
      </c>
      <c r="F104" s="108">
        <v>131.19999999999999</v>
      </c>
      <c r="G104" s="104">
        <v>131.19999999999999</v>
      </c>
      <c r="H104" s="108">
        <v>131.19999999999999</v>
      </c>
      <c r="I104" s="104">
        <v>131.19999999999999</v>
      </c>
      <c r="J104" s="108">
        <v>131.19999999999999</v>
      </c>
      <c r="K104" s="104">
        <v>131.19999999999999</v>
      </c>
      <c r="L104" s="73" t="s">
        <v>15</v>
      </c>
      <c r="M104" s="17" t="s">
        <v>14</v>
      </c>
      <c r="N104" s="73" t="s">
        <v>16</v>
      </c>
      <c r="O104" s="80" t="s">
        <v>525</v>
      </c>
    </row>
    <row r="105" spans="1:24" ht="15.75" thickBot="1">
      <c r="A105" s="76" t="s">
        <v>316</v>
      </c>
      <c r="B105" s="108">
        <v>226</v>
      </c>
      <c r="C105" s="104">
        <v>226</v>
      </c>
      <c r="D105" s="108">
        <v>226</v>
      </c>
      <c r="E105" s="104">
        <v>226</v>
      </c>
      <c r="F105" s="108">
        <v>226</v>
      </c>
      <c r="G105" s="104">
        <v>226</v>
      </c>
      <c r="H105" s="108">
        <v>226</v>
      </c>
      <c r="I105" s="104">
        <v>226</v>
      </c>
      <c r="J105" s="108">
        <v>226</v>
      </c>
      <c r="K105" s="104">
        <v>226</v>
      </c>
      <c r="L105" s="73" t="s">
        <v>15</v>
      </c>
      <c r="M105" s="17" t="s">
        <v>14</v>
      </c>
      <c r="N105" s="73" t="s">
        <v>16</v>
      </c>
      <c r="O105" s="80" t="s">
        <v>525</v>
      </c>
    </row>
    <row r="106" spans="1:24" ht="15.75" thickBot="1">
      <c r="A106" s="76" t="s">
        <v>663</v>
      </c>
      <c r="B106" s="108">
        <v>100</v>
      </c>
      <c r="C106" s="104">
        <v>100</v>
      </c>
      <c r="D106" s="108">
        <v>100</v>
      </c>
      <c r="E106" s="104">
        <v>100</v>
      </c>
      <c r="F106" s="108">
        <v>100</v>
      </c>
      <c r="G106" s="104">
        <v>100</v>
      </c>
      <c r="H106" s="108">
        <v>100</v>
      </c>
      <c r="I106" s="104">
        <v>100</v>
      </c>
      <c r="J106" s="108">
        <v>100</v>
      </c>
      <c r="K106" s="104">
        <v>100</v>
      </c>
      <c r="L106" s="73" t="s">
        <v>15</v>
      </c>
      <c r="M106" s="17" t="s">
        <v>33</v>
      </c>
      <c r="N106" s="73" t="s">
        <v>16</v>
      </c>
      <c r="O106" s="80" t="s">
        <v>525</v>
      </c>
    </row>
    <row r="107" spans="1:24" ht="15.75" thickBot="1">
      <c r="A107" s="76" t="s">
        <v>636</v>
      </c>
      <c r="B107" s="108">
        <v>63</v>
      </c>
      <c r="C107" s="104">
        <v>63</v>
      </c>
      <c r="D107" s="108">
        <v>63</v>
      </c>
      <c r="E107" s="104">
        <v>63</v>
      </c>
      <c r="F107" s="108">
        <v>63</v>
      </c>
      <c r="G107" s="104">
        <v>63</v>
      </c>
      <c r="H107" s="108">
        <v>63</v>
      </c>
      <c r="I107" s="104">
        <v>63</v>
      </c>
      <c r="J107" s="108">
        <v>63</v>
      </c>
      <c r="K107" s="104">
        <v>63</v>
      </c>
      <c r="L107" s="73" t="s">
        <v>15</v>
      </c>
      <c r="M107" s="17" t="s">
        <v>14</v>
      </c>
      <c r="N107" s="73" t="s">
        <v>16</v>
      </c>
      <c r="O107" s="80" t="s">
        <v>525</v>
      </c>
    </row>
    <row r="108" spans="1:24" ht="15.75" thickBot="1">
      <c r="A108" s="76" t="s">
        <v>74</v>
      </c>
      <c r="B108" s="108">
        <v>54</v>
      </c>
      <c r="C108" s="104">
        <v>54</v>
      </c>
      <c r="D108" s="108">
        <v>54</v>
      </c>
      <c r="E108" s="104">
        <v>54</v>
      </c>
      <c r="F108" s="108">
        <v>54</v>
      </c>
      <c r="G108" s="104">
        <v>54</v>
      </c>
      <c r="H108" s="108">
        <v>54</v>
      </c>
      <c r="I108" s="104">
        <v>54</v>
      </c>
      <c r="J108" s="108">
        <v>54</v>
      </c>
      <c r="K108" s="104">
        <v>54</v>
      </c>
      <c r="L108" s="73" t="s">
        <v>15</v>
      </c>
      <c r="M108" s="17" t="s">
        <v>14</v>
      </c>
      <c r="N108" s="73" t="s">
        <v>16</v>
      </c>
      <c r="O108" s="80" t="s">
        <v>525</v>
      </c>
    </row>
    <row r="109" spans="1:24" ht="15.75" thickBot="1">
      <c r="A109" s="76" t="s">
        <v>106</v>
      </c>
      <c r="B109" s="108">
        <v>0</v>
      </c>
      <c r="C109" s="104">
        <v>532</v>
      </c>
      <c r="D109" s="108">
        <v>532</v>
      </c>
      <c r="E109" s="104">
        <v>532</v>
      </c>
      <c r="F109" s="108">
        <v>532</v>
      </c>
      <c r="G109" s="104">
        <v>532</v>
      </c>
      <c r="H109" s="108">
        <v>532</v>
      </c>
      <c r="I109" s="104">
        <v>532</v>
      </c>
      <c r="J109" s="108">
        <v>532</v>
      </c>
      <c r="K109" s="104">
        <v>532</v>
      </c>
      <c r="L109" s="73" t="s">
        <v>15</v>
      </c>
      <c r="M109" s="17" t="s">
        <v>14</v>
      </c>
      <c r="N109" s="73" t="s">
        <v>16</v>
      </c>
      <c r="O109" s="80" t="s">
        <v>525</v>
      </c>
    </row>
    <row r="110" spans="1:24" ht="15.75" thickBot="1">
      <c r="A110" s="76" t="s">
        <v>108</v>
      </c>
      <c r="B110" s="108">
        <v>87.75</v>
      </c>
      <c r="C110" s="104">
        <v>87.75</v>
      </c>
      <c r="D110" s="108">
        <v>87.75</v>
      </c>
      <c r="E110" s="104">
        <v>87.75</v>
      </c>
      <c r="F110" s="108">
        <v>87.75</v>
      </c>
      <c r="G110" s="104">
        <v>87.75</v>
      </c>
      <c r="H110" s="108">
        <v>87.75</v>
      </c>
      <c r="I110" s="104">
        <v>87.75</v>
      </c>
      <c r="J110" s="108">
        <v>87.75</v>
      </c>
      <c r="K110" s="104">
        <v>87.75</v>
      </c>
      <c r="L110" s="73" t="s">
        <v>15</v>
      </c>
      <c r="M110" s="17" t="s">
        <v>33</v>
      </c>
      <c r="N110" s="73" t="s">
        <v>16</v>
      </c>
      <c r="O110" s="80" t="s">
        <v>525</v>
      </c>
    </row>
    <row r="111" spans="1:24">
      <c r="A111" s="156" t="s">
        <v>362</v>
      </c>
      <c r="B111" s="154">
        <v>81</v>
      </c>
      <c r="C111" s="105">
        <v>81</v>
      </c>
      <c r="D111" s="154">
        <v>81</v>
      </c>
      <c r="E111" s="105">
        <v>81</v>
      </c>
      <c r="F111" s="154">
        <v>81</v>
      </c>
      <c r="G111" s="105">
        <v>81</v>
      </c>
      <c r="H111" s="154">
        <v>81</v>
      </c>
      <c r="I111" s="105">
        <v>81</v>
      </c>
      <c r="J111" s="154">
        <v>81</v>
      </c>
      <c r="K111" s="105">
        <v>81</v>
      </c>
      <c r="L111" s="155" t="s">
        <v>15</v>
      </c>
      <c r="M111" s="75" t="s">
        <v>33</v>
      </c>
      <c r="N111" s="155" t="s">
        <v>16</v>
      </c>
      <c r="O111" s="158" t="s">
        <v>525</v>
      </c>
    </row>
    <row r="112" spans="1:24" ht="15.75" thickBot="1">
      <c r="A112" s="150"/>
      <c r="B112" s="109"/>
      <c r="C112" s="109"/>
      <c r="D112" s="109"/>
      <c r="E112" s="109"/>
      <c r="F112" s="109"/>
      <c r="G112" s="109"/>
      <c r="H112" s="109"/>
      <c r="I112" s="109"/>
      <c r="J112" s="109"/>
      <c r="K112" s="109"/>
      <c r="L112" s="150"/>
      <c r="M112" s="150"/>
      <c r="N112" s="150"/>
      <c r="O112" s="150"/>
    </row>
    <row r="113" spans="1:15" ht="15.75" thickBot="1">
      <c r="A113" s="53" t="s">
        <v>518</v>
      </c>
      <c r="B113" s="110">
        <f>SUMIF(wincapsSStable[[FuelType]:[FuelType]],"Wind",wincapsSStable[2019])</f>
        <v>2031.8</v>
      </c>
      <c r="C113" s="110">
        <f>SUMIF(wincapsSStable[[FuelType]:[FuelType]],"Wind",wincapsSStable[2020])</f>
        <v>3151.3999999999996</v>
      </c>
      <c r="D113" s="110">
        <f>SUMIF(wincapsSStable[[FuelType]:[FuelType]],"Wind",wincapsSStable[2021])</f>
        <v>3151.3999999999996</v>
      </c>
      <c r="E113" s="110">
        <f>SUMIF(wincapsSStable[[FuelType]:[FuelType]],"Wind",wincapsSStable[2022])</f>
        <v>3151.3999999999996</v>
      </c>
      <c r="F113" s="110">
        <f>SUMIF(wincapsSStable[[FuelType]:[FuelType]],"Wind",wincapsSStable[2023])</f>
        <v>3151.3999999999996</v>
      </c>
      <c r="G113" s="110">
        <f>SUMIF(wincapsSStable[[FuelType]:[FuelType]],"Wind",wincapsSStable[2024])</f>
        <v>3151.3999999999996</v>
      </c>
      <c r="H113" s="110">
        <f>SUMIF(wincapsSStable[[FuelType]:[FuelType]],"Wind",wincapsSStable[2025])</f>
        <v>3151.3999999999996</v>
      </c>
      <c r="I113" s="110">
        <f>SUMIF(wincapsSStable[[FuelType]:[FuelType]],"Wind",wincapsSStable[2026])</f>
        <v>3151.3999999999996</v>
      </c>
      <c r="J113" s="110">
        <f>SUMIF(wincapsSStable[[FuelType]:[FuelType]],"Wind",wincapsSStable[2027])</f>
        <v>3151.3999999999996</v>
      </c>
      <c r="K113" s="110">
        <f>SUMIF(wincapsSStable[[FuelType]:[FuelType]],"Wind",wincapsSStable[2028])</f>
        <v>3151.3999999999996</v>
      </c>
      <c r="L113" s="59"/>
      <c r="M113" s="50"/>
      <c r="N113" s="50"/>
      <c r="O113" s="50"/>
    </row>
    <row r="114" spans="1:15" ht="15.75" thickBot="1">
      <c r="A114" s="53" t="s">
        <v>519</v>
      </c>
      <c r="B114" s="110">
        <f>SUMIF(wincapsSStable[[FuelType]:[FuelType]],"Solar",wincapsSStable[2019])</f>
        <v>696.75</v>
      </c>
      <c r="C114" s="110">
        <f>SUMIF(wincapsSStable[[FuelType]:[FuelType]],"Solar",wincapsSStable[2020])</f>
        <v>724.02</v>
      </c>
      <c r="D114" s="110">
        <f>SUMIF(wincapsSStable[[FuelType]:[FuelType]],"Solar",wincapsSStable[2021])</f>
        <v>724.02</v>
      </c>
      <c r="E114" s="110">
        <f>SUMIF(wincapsSStable[[FuelType]:[FuelType]],"Solar",wincapsSStable[2022])</f>
        <v>724.02</v>
      </c>
      <c r="F114" s="110">
        <f>SUMIF(wincapsSStable[[FuelType]:[FuelType]],"Solar",wincapsSStable[2023])</f>
        <v>724.02</v>
      </c>
      <c r="G114" s="110">
        <f>SUMIF(wincapsSStable[[FuelType]:[FuelType]],"Solar",wincapsSStable[2024])</f>
        <v>724.02</v>
      </c>
      <c r="H114" s="110">
        <f>SUMIF(wincapsSStable[[FuelType]:[FuelType]],"Solar",wincapsSStable[2025])</f>
        <v>724.02</v>
      </c>
      <c r="I114" s="110">
        <f>SUMIF(wincapsSStable[[FuelType]:[FuelType]],"Solar",wincapsSStable[2026])</f>
        <v>724.02</v>
      </c>
      <c r="J114" s="110">
        <f>SUMIF(wincapsSStable[[FuelType]:[FuelType]],"Solar",wincapsSStable[2027])</f>
        <v>724.02</v>
      </c>
      <c r="K114" s="110">
        <f>SUMIF(wincapsSStable[[FuelType]:[FuelType]],"Solar",wincapsSStable[2028])</f>
        <v>724.02</v>
      </c>
      <c r="L114" s="59"/>
      <c r="M114" s="50"/>
      <c r="N114" s="50"/>
      <c r="O114" s="50"/>
    </row>
    <row r="115" spans="1:15" ht="15.75" thickBot="1">
      <c r="A115" s="53" t="s">
        <v>519</v>
      </c>
      <c r="B115" s="110">
        <f>SUMIF(wincapsSStable[[FuelType]:[FuelType]],"Storage",wincapsSStable[2019])</f>
        <v>0</v>
      </c>
      <c r="C115" s="110">
        <f>SUMIF(wincapsSStable[[FuelType]:[FuelType]],"Storage",wincapsSStable[2020])</f>
        <v>0</v>
      </c>
      <c r="D115" s="110">
        <f>SUMIF(wincapsSStable[[FuelType]:[FuelType]],"Storage",wincapsSStable[2021])</f>
        <v>0</v>
      </c>
      <c r="E115" s="110">
        <f>SUMIF(wincapsSStable[[FuelType]:[FuelType]],"Storage",wincapsSStable[2022])</f>
        <v>0</v>
      </c>
      <c r="F115" s="110">
        <f>SUMIF(wincapsSStable[[FuelType]:[FuelType]],"Storage",wincapsSStable[2023])</f>
        <v>0</v>
      </c>
      <c r="G115" s="110">
        <f>SUMIF(wincapsSStable[[FuelType]:[FuelType]],"Storage",wincapsSStable[2024])</f>
        <v>0</v>
      </c>
      <c r="H115" s="110">
        <f>SUMIF(wincapsSStable[[FuelType]:[FuelType]],"Storage",wincapsSStable[2025])</f>
        <v>0</v>
      </c>
      <c r="I115" s="110">
        <f>SUMIF(wincapsSStable[[FuelType]:[FuelType]],"Storage",wincapsSStable[2026])</f>
        <v>0</v>
      </c>
      <c r="J115" s="110">
        <f>SUMIF(wincapsSStable[[FuelType]:[FuelType]],"Storage",wincapsSStable[2027])</f>
        <v>0</v>
      </c>
      <c r="K115" s="110">
        <f>SUMIF(wincapsSStable[[FuelType]:[FuelType]],"Storage",wincapsSStable[2028])</f>
        <v>0</v>
      </c>
    </row>
  </sheetData>
  <mergeCells count="5">
    <mergeCell ref="A52:L52"/>
    <mergeCell ref="A53:L53"/>
    <mergeCell ref="A54:L54"/>
    <mergeCell ref="P46:W47"/>
    <mergeCell ref="A55:L55"/>
  </mergeCells>
  <pageMargins left="0.7" right="0.7" top="0.75" bottom="0.75" header="0.3" footer="0.3"/>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2"/>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5"/>
  <cols>
    <col min="1" max="1" width="49.5703125" style="21" bestFit="1" customWidth="1"/>
    <col min="2" max="6" width="10.7109375" style="21" bestFit="1" customWidth="1"/>
    <col min="7" max="7" width="11" style="21" hidden="1" customWidth="1"/>
    <col min="8" max="8" width="19.5703125" style="21" hidden="1" customWidth="1"/>
    <col min="9" max="9" width="26.85546875" style="141" hidden="1" customWidth="1"/>
    <col min="10" max="10" width="26.85546875" style="21" customWidth="1"/>
    <col min="11" max="16384" width="9.140625" style="21"/>
  </cols>
  <sheetData>
    <row r="1" spans="1:9" ht="20.25" thickBot="1">
      <c r="A1" s="25" t="s">
        <v>110</v>
      </c>
    </row>
    <row r="2" spans="1:9" ht="34.5" thickBot="1">
      <c r="A2" s="56" t="s">
        <v>1</v>
      </c>
      <c r="B2" s="56" t="s">
        <v>2</v>
      </c>
      <c r="C2" s="56" t="s">
        <v>111</v>
      </c>
      <c r="D2" s="56" t="s">
        <v>3</v>
      </c>
      <c r="E2" s="56" t="s">
        <v>4</v>
      </c>
      <c r="F2" s="56" t="s">
        <v>6</v>
      </c>
      <c r="G2" s="1" t="s">
        <v>7</v>
      </c>
      <c r="H2" s="1" t="s">
        <v>207</v>
      </c>
      <c r="I2" s="1" t="s">
        <v>203</v>
      </c>
    </row>
    <row r="3" spans="1:9" ht="34.5" thickBot="1">
      <c r="A3" s="14" t="s">
        <v>114</v>
      </c>
      <c r="B3" s="12" t="s">
        <v>112</v>
      </c>
      <c r="C3" s="103">
        <v>0.38600000000000001</v>
      </c>
      <c r="D3" s="12" t="s">
        <v>8</v>
      </c>
      <c r="E3" s="18" t="s">
        <v>21</v>
      </c>
      <c r="F3" s="12" t="s">
        <v>113</v>
      </c>
      <c r="G3" s="18" t="s">
        <v>16</v>
      </c>
      <c r="H3" s="12" t="s">
        <v>194</v>
      </c>
      <c r="I3" s="18" t="s">
        <v>198</v>
      </c>
    </row>
    <row r="4" spans="1:9" ht="34.5" thickBot="1">
      <c r="A4" s="13" t="s">
        <v>115</v>
      </c>
      <c r="B4" s="11" t="s">
        <v>116</v>
      </c>
      <c r="C4" s="104">
        <v>1.2</v>
      </c>
      <c r="D4" s="11" t="s">
        <v>530</v>
      </c>
      <c r="E4" s="17" t="s">
        <v>21</v>
      </c>
      <c r="F4" s="12" t="s">
        <v>113</v>
      </c>
      <c r="G4" s="17" t="s">
        <v>16</v>
      </c>
      <c r="H4" s="11" t="s">
        <v>194</v>
      </c>
      <c r="I4" s="17" t="s">
        <v>198</v>
      </c>
    </row>
    <row r="5" spans="1:9" ht="34.5" thickBot="1">
      <c r="A5" s="13" t="s">
        <v>117</v>
      </c>
      <c r="B5" s="11" t="s">
        <v>112</v>
      </c>
      <c r="C5" s="104">
        <v>0.38600000000000001</v>
      </c>
      <c r="D5" s="11" t="s">
        <v>8</v>
      </c>
      <c r="E5" s="17" t="s">
        <v>21</v>
      </c>
      <c r="F5" s="12" t="s">
        <v>113</v>
      </c>
      <c r="G5" s="17" t="s">
        <v>16</v>
      </c>
      <c r="H5" s="11" t="s">
        <v>194</v>
      </c>
      <c r="I5" s="17" t="s">
        <v>198</v>
      </c>
    </row>
    <row r="6" spans="1:9" ht="34.5" thickBot="1">
      <c r="A6" s="13" t="s">
        <v>467</v>
      </c>
      <c r="B6" s="11" t="s">
        <v>186</v>
      </c>
      <c r="C6" s="104">
        <v>0.1996</v>
      </c>
      <c r="D6" s="11" t="s">
        <v>468</v>
      </c>
      <c r="E6" s="17" t="s">
        <v>33</v>
      </c>
      <c r="F6" s="12" t="s">
        <v>113</v>
      </c>
      <c r="G6" s="17" t="s">
        <v>16</v>
      </c>
      <c r="H6" s="11" t="s">
        <v>33</v>
      </c>
      <c r="I6" s="17" t="s">
        <v>198</v>
      </c>
    </row>
    <row r="7" spans="1:9" ht="34.5" thickBot="1">
      <c r="A7" s="13" t="s">
        <v>120</v>
      </c>
      <c r="B7" s="11" t="s">
        <v>121</v>
      </c>
      <c r="C7" s="104">
        <v>0.78900000000000003</v>
      </c>
      <c r="D7" s="11" t="s">
        <v>530</v>
      </c>
      <c r="E7" s="17" t="s">
        <v>119</v>
      </c>
      <c r="F7" s="12" t="s">
        <v>113</v>
      </c>
      <c r="G7" s="17" t="s">
        <v>16</v>
      </c>
      <c r="H7" s="11" t="s">
        <v>195</v>
      </c>
      <c r="I7" s="17" t="s">
        <v>198</v>
      </c>
    </row>
    <row r="8" spans="1:9" ht="34.5" thickBot="1">
      <c r="A8" s="13" t="s">
        <v>122</v>
      </c>
      <c r="B8" s="11" t="s">
        <v>122</v>
      </c>
      <c r="C8" s="104">
        <v>3.06</v>
      </c>
      <c r="D8" s="11" t="s">
        <v>530</v>
      </c>
      <c r="E8" s="17" t="s">
        <v>21</v>
      </c>
      <c r="F8" s="12" t="s">
        <v>113</v>
      </c>
      <c r="G8" s="17" t="s">
        <v>16</v>
      </c>
      <c r="H8" s="11" t="s">
        <v>194</v>
      </c>
      <c r="I8" s="17" t="s">
        <v>198</v>
      </c>
    </row>
    <row r="9" spans="1:9" ht="23.25" thickBot="1">
      <c r="A9" s="13" t="s">
        <v>123</v>
      </c>
      <c r="B9" s="11" t="s">
        <v>30</v>
      </c>
      <c r="C9" s="104">
        <v>12.2</v>
      </c>
      <c r="D9" s="11" t="s">
        <v>25</v>
      </c>
      <c r="E9" s="17" t="s">
        <v>24</v>
      </c>
      <c r="F9" s="12" t="s">
        <v>113</v>
      </c>
      <c r="G9" s="17" t="s">
        <v>16</v>
      </c>
      <c r="H9" s="11" t="s">
        <v>24</v>
      </c>
      <c r="I9" s="17" t="s">
        <v>198</v>
      </c>
    </row>
    <row r="10" spans="1:9" ht="34.5" thickBot="1">
      <c r="A10" s="13" t="s">
        <v>469</v>
      </c>
      <c r="B10" s="11" t="s">
        <v>470</v>
      </c>
      <c r="C10" s="104">
        <v>0.1502</v>
      </c>
      <c r="D10" s="11" t="s">
        <v>468</v>
      </c>
      <c r="E10" s="17" t="s">
        <v>33</v>
      </c>
      <c r="F10" s="12" t="s">
        <v>113</v>
      </c>
      <c r="G10" s="17" t="s">
        <v>16</v>
      </c>
      <c r="H10" s="11" t="s">
        <v>33</v>
      </c>
      <c r="I10" s="17" t="s">
        <v>198</v>
      </c>
    </row>
    <row r="11" spans="1:9" ht="34.5" thickBot="1">
      <c r="A11" s="13" t="s">
        <v>471</v>
      </c>
      <c r="B11" s="11" t="s">
        <v>186</v>
      </c>
      <c r="C11" s="104">
        <v>0.20019999999999999</v>
      </c>
      <c r="D11" s="11" t="s">
        <v>468</v>
      </c>
      <c r="E11" s="17" t="s">
        <v>33</v>
      </c>
      <c r="F11" s="12" t="s">
        <v>113</v>
      </c>
      <c r="G11" s="17" t="s">
        <v>16</v>
      </c>
      <c r="H11" s="11" t="s">
        <v>33</v>
      </c>
      <c r="I11" s="17" t="s">
        <v>198</v>
      </c>
    </row>
    <row r="12" spans="1:9" ht="34.5" thickBot="1">
      <c r="A12" s="13" t="s">
        <v>124</v>
      </c>
      <c r="B12" s="11" t="s">
        <v>121</v>
      </c>
      <c r="C12" s="104">
        <v>0.5</v>
      </c>
      <c r="D12" s="11" t="s">
        <v>530</v>
      </c>
      <c r="E12" s="17" t="s">
        <v>119</v>
      </c>
      <c r="F12" s="12" t="s">
        <v>113</v>
      </c>
      <c r="G12" s="17" t="s">
        <v>16</v>
      </c>
      <c r="H12" s="11" t="s">
        <v>195</v>
      </c>
      <c r="I12" s="17" t="s">
        <v>198</v>
      </c>
    </row>
    <row r="13" spans="1:9" ht="34.5" thickBot="1">
      <c r="A13" s="13" t="s">
        <v>125</v>
      </c>
      <c r="B13" s="11" t="s">
        <v>126</v>
      </c>
      <c r="C13" s="104">
        <v>4.57</v>
      </c>
      <c r="D13" s="11" t="s">
        <v>530</v>
      </c>
      <c r="E13" s="17" t="s">
        <v>119</v>
      </c>
      <c r="F13" s="12" t="s">
        <v>113</v>
      </c>
      <c r="G13" s="17" t="s">
        <v>16</v>
      </c>
      <c r="H13" s="11" t="s">
        <v>195</v>
      </c>
      <c r="I13" s="17" t="s">
        <v>198</v>
      </c>
    </row>
    <row r="14" spans="1:9" ht="23.25" thickBot="1">
      <c r="A14" s="13" t="s">
        <v>472</v>
      </c>
      <c r="B14" s="11" t="s">
        <v>186</v>
      </c>
      <c r="C14" s="104">
        <v>0.11</v>
      </c>
      <c r="D14" s="11" t="s">
        <v>25</v>
      </c>
      <c r="E14" s="17" t="s">
        <v>24</v>
      </c>
      <c r="F14" s="12" t="s">
        <v>113</v>
      </c>
      <c r="G14" s="17" t="s">
        <v>16</v>
      </c>
      <c r="H14" s="11" t="s">
        <v>24</v>
      </c>
      <c r="I14" s="17" t="s">
        <v>198</v>
      </c>
    </row>
    <row r="15" spans="1:9" ht="15.75" thickBot="1">
      <c r="A15" s="13" t="s">
        <v>553</v>
      </c>
      <c r="B15" s="11" t="s">
        <v>298</v>
      </c>
      <c r="C15" s="104">
        <v>1.3</v>
      </c>
      <c r="D15" s="11" t="s">
        <v>468</v>
      </c>
      <c r="E15" s="17" t="s">
        <v>33</v>
      </c>
      <c r="F15" s="12" t="s">
        <v>113</v>
      </c>
      <c r="G15" s="17" t="s">
        <v>16</v>
      </c>
      <c r="H15" s="11" t="s">
        <v>33</v>
      </c>
      <c r="I15" s="17" t="s">
        <v>198</v>
      </c>
    </row>
    <row r="16" spans="1:9" ht="34.5" thickBot="1">
      <c r="A16" s="13" t="s">
        <v>128</v>
      </c>
      <c r="B16" s="11" t="s">
        <v>126</v>
      </c>
      <c r="C16" s="104">
        <v>6.18</v>
      </c>
      <c r="D16" s="11" t="s">
        <v>530</v>
      </c>
      <c r="E16" s="17" t="s">
        <v>119</v>
      </c>
      <c r="F16" s="12" t="s">
        <v>113</v>
      </c>
      <c r="G16" s="17" t="s">
        <v>16</v>
      </c>
      <c r="H16" s="11" t="s">
        <v>195</v>
      </c>
      <c r="I16" s="17" t="s">
        <v>198</v>
      </c>
    </row>
    <row r="17" spans="1:9" ht="34.5" thickBot="1">
      <c r="A17" s="13" t="s">
        <v>129</v>
      </c>
      <c r="B17" s="11" t="s">
        <v>126</v>
      </c>
      <c r="C17" s="104">
        <v>2.83</v>
      </c>
      <c r="D17" s="11" t="s">
        <v>530</v>
      </c>
      <c r="E17" s="17" t="s">
        <v>119</v>
      </c>
      <c r="F17" s="12" t="s">
        <v>113</v>
      </c>
      <c r="G17" s="17" t="s">
        <v>16</v>
      </c>
      <c r="H17" s="11" t="s">
        <v>195</v>
      </c>
      <c r="I17" s="17" t="s">
        <v>198</v>
      </c>
    </row>
    <row r="18" spans="1:9" ht="34.5" thickBot="1">
      <c r="A18" s="13" t="s">
        <v>473</v>
      </c>
      <c r="B18" s="11" t="s">
        <v>186</v>
      </c>
      <c r="C18" s="104">
        <v>0.26</v>
      </c>
      <c r="D18" s="11" t="s">
        <v>468</v>
      </c>
      <c r="E18" s="17" t="s">
        <v>33</v>
      </c>
      <c r="F18" s="12" t="s">
        <v>113</v>
      </c>
      <c r="G18" s="17" t="s">
        <v>16</v>
      </c>
      <c r="H18" s="11" t="s">
        <v>33</v>
      </c>
      <c r="I18" s="17" t="s">
        <v>198</v>
      </c>
    </row>
    <row r="19" spans="1:9" ht="34.5" thickBot="1">
      <c r="A19" s="13" t="s">
        <v>474</v>
      </c>
      <c r="B19" s="11" t="s">
        <v>186</v>
      </c>
      <c r="C19" s="104">
        <v>0.09</v>
      </c>
      <c r="D19" s="11" t="s">
        <v>25</v>
      </c>
      <c r="E19" s="17" t="s">
        <v>24</v>
      </c>
      <c r="F19" s="12" t="s">
        <v>113</v>
      </c>
      <c r="G19" s="17" t="s">
        <v>16</v>
      </c>
      <c r="H19" s="11" t="s">
        <v>24</v>
      </c>
      <c r="I19" s="17" t="s">
        <v>198</v>
      </c>
    </row>
    <row r="20" spans="1:9" ht="23.25" thickBot="1">
      <c r="A20" s="13" t="s">
        <v>475</v>
      </c>
      <c r="B20" s="11" t="s">
        <v>186</v>
      </c>
      <c r="C20" s="104">
        <v>3.1</v>
      </c>
      <c r="D20" s="11" t="s">
        <v>27</v>
      </c>
      <c r="E20" s="17" t="s">
        <v>476</v>
      </c>
      <c r="F20" s="12" t="s">
        <v>113</v>
      </c>
      <c r="G20" s="17" t="s">
        <v>16</v>
      </c>
      <c r="H20" s="11" t="s">
        <v>195</v>
      </c>
      <c r="I20" s="17" t="s">
        <v>198</v>
      </c>
    </row>
    <row r="21" spans="1:9" ht="23.25" thickBot="1">
      <c r="A21" s="13" t="s">
        <v>477</v>
      </c>
      <c r="B21" s="11" t="s">
        <v>478</v>
      </c>
      <c r="C21" s="104">
        <v>0.19980000000000001</v>
      </c>
      <c r="D21" s="11" t="s">
        <v>468</v>
      </c>
      <c r="E21" s="17" t="s">
        <v>33</v>
      </c>
      <c r="F21" s="12" t="s">
        <v>113</v>
      </c>
      <c r="G21" s="17" t="s">
        <v>16</v>
      </c>
      <c r="H21" s="11" t="s">
        <v>33</v>
      </c>
      <c r="I21" s="17" t="s">
        <v>198</v>
      </c>
    </row>
    <row r="22" spans="1:9" ht="34.5" thickBot="1">
      <c r="A22" s="13" t="s">
        <v>130</v>
      </c>
      <c r="B22" s="11" t="s">
        <v>131</v>
      </c>
      <c r="C22" s="104">
        <v>52.5</v>
      </c>
      <c r="D22" s="11" t="s">
        <v>13</v>
      </c>
      <c r="E22" s="17" t="s">
        <v>14</v>
      </c>
      <c r="F22" s="12" t="s">
        <v>113</v>
      </c>
      <c r="G22" s="17" t="s">
        <v>16</v>
      </c>
      <c r="H22" s="11" t="s">
        <v>14</v>
      </c>
      <c r="I22" s="17" t="s">
        <v>198</v>
      </c>
    </row>
    <row r="23" spans="1:9" ht="34.5" thickBot="1">
      <c r="A23" s="13" t="s">
        <v>132</v>
      </c>
      <c r="B23" s="11" t="s">
        <v>133</v>
      </c>
      <c r="C23" s="104">
        <v>6.15</v>
      </c>
      <c r="D23" s="11" t="s">
        <v>13</v>
      </c>
      <c r="E23" s="17" t="s">
        <v>14</v>
      </c>
      <c r="F23" s="12" t="s">
        <v>113</v>
      </c>
      <c r="G23" s="17" t="s">
        <v>16</v>
      </c>
      <c r="H23" s="11" t="s">
        <v>14</v>
      </c>
      <c r="I23" s="17" t="s">
        <v>198</v>
      </c>
    </row>
    <row r="24" spans="1:9" ht="34.5" thickBot="1">
      <c r="A24" s="13" t="s">
        <v>134</v>
      </c>
      <c r="B24" s="11" t="s">
        <v>126</v>
      </c>
      <c r="C24" s="104">
        <v>12</v>
      </c>
      <c r="D24" s="11" t="s">
        <v>530</v>
      </c>
      <c r="E24" s="17" t="s">
        <v>119</v>
      </c>
      <c r="F24" s="12" t="s">
        <v>113</v>
      </c>
      <c r="G24" s="17" t="s">
        <v>16</v>
      </c>
      <c r="H24" s="11" t="s">
        <v>195</v>
      </c>
      <c r="I24" s="17" t="s">
        <v>198</v>
      </c>
    </row>
    <row r="25" spans="1:9" ht="23.25" thickBot="1">
      <c r="A25" s="13" t="s">
        <v>135</v>
      </c>
      <c r="B25" s="11" t="s">
        <v>30</v>
      </c>
      <c r="C25" s="104">
        <v>29</v>
      </c>
      <c r="D25" s="11" t="s">
        <v>25</v>
      </c>
      <c r="E25" s="17" t="s">
        <v>24</v>
      </c>
      <c r="F25" s="12" t="s">
        <v>113</v>
      </c>
      <c r="G25" s="17" t="s">
        <v>16</v>
      </c>
      <c r="H25" s="11" t="s">
        <v>24</v>
      </c>
      <c r="I25" s="17" t="s">
        <v>198</v>
      </c>
    </row>
    <row r="26" spans="1:9" ht="34.5" thickBot="1">
      <c r="A26" s="13" t="s">
        <v>136</v>
      </c>
      <c r="B26" s="11" t="s">
        <v>79</v>
      </c>
      <c r="C26" s="104">
        <v>18.2</v>
      </c>
      <c r="D26" s="11" t="s">
        <v>13</v>
      </c>
      <c r="E26" s="17" t="s">
        <v>14</v>
      </c>
      <c r="F26" s="12" t="s">
        <v>113</v>
      </c>
      <c r="G26" s="17" t="s">
        <v>16</v>
      </c>
      <c r="H26" s="11" t="s">
        <v>14</v>
      </c>
      <c r="I26" s="17" t="s">
        <v>198</v>
      </c>
    </row>
    <row r="27" spans="1:9" ht="34.5" thickBot="1">
      <c r="A27" s="13" t="s">
        <v>137</v>
      </c>
      <c r="B27" s="11" t="s">
        <v>138</v>
      </c>
      <c r="C27" s="104">
        <v>19.8</v>
      </c>
      <c r="D27" s="11" t="s">
        <v>13</v>
      </c>
      <c r="E27" s="17" t="s">
        <v>14</v>
      </c>
      <c r="F27" s="12" t="s">
        <v>113</v>
      </c>
      <c r="G27" s="17" t="s">
        <v>16</v>
      </c>
      <c r="H27" s="11" t="s">
        <v>14</v>
      </c>
      <c r="I27" s="17" t="s">
        <v>198</v>
      </c>
    </row>
    <row r="28" spans="1:9" ht="34.5" thickBot="1">
      <c r="A28" s="13" t="s">
        <v>139</v>
      </c>
      <c r="B28" s="11" t="s">
        <v>126</v>
      </c>
      <c r="C28" s="104">
        <v>1</v>
      </c>
      <c r="D28" s="11" t="s">
        <v>530</v>
      </c>
      <c r="E28" s="17" t="s">
        <v>119</v>
      </c>
      <c r="F28" s="12" t="s">
        <v>113</v>
      </c>
      <c r="G28" s="17" t="s">
        <v>16</v>
      </c>
      <c r="H28" s="11" t="s">
        <v>195</v>
      </c>
      <c r="I28" s="17" t="s">
        <v>198</v>
      </c>
    </row>
    <row r="29" spans="1:9" ht="34.5" thickBot="1">
      <c r="A29" s="13" t="s">
        <v>140</v>
      </c>
      <c r="B29" s="11" t="s">
        <v>141</v>
      </c>
      <c r="C29" s="104">
        <v>5.58</v>
      </c>
      <c r="D29" s="11" t="s">
        <v>530</v>
      </c>
      <c r="E29" s="17" t="s">
        <v>21</v>
      </c>
      <c r="F29" s="12" t="s">
        <v>113</v>
      </c>
      <c r="G29" s="17" t="s">
        <v>16</v>
      </c>
      <c r="H29" s="11" t="s">
        <v>194</v>
      </c>
      <c r="I29" s="17" t="s">
        <v>198</v>
      </c>
    </row>
    <row r="30" spans="1:9" ht="34.5" thickBot="1">
      <c r="A30" s="13" t="s">
        <v>142</v>
      </c>
      <c r="B30" s="11" t="s">
        <v>112</v>
      </c>
      <c r="C30" s="104">
        <v>2</v>
      </c>
      <c r="D30" s="11" t="s">
        <v>8</v>
      </c>
      <c r="E30" s="17" t="s">
        <v>21</v>
      </c>
      <c r="F30" s="12" t="s">
        <v>113</v>
      </c>
      <c r="G30" s="17" t="s">
        <v>16</v>
      </c>
      <c r="H30" s="11" t="s">
        <v>194</v>
      </c>
      <c r="I30" s="17" t="s">
        <v>198</v>
      </c>
    </row>
    <row r="31" spans="1:9" ht="34.5" thickBot="1">
      <c r="A31" s="13" t="s">
        <v>143</v>
      </c>
      <c r="B31" s="11" t="s">
        <v>144</v>
      </c>
      <c r="C31" s="104">
        <v>4.5</v>
      </c>
      <c r="D31" s="11" t="s">
        <v>25</v>
      </c>
      <c r="E31" s="17" t="s">
        <v>24</v>
      </c>
      <c r="F31" s="12" t="s">
        <v>113</v>
      </c>
      <c r="G31" s="17" t="s">
        <v>16</v>
      </c>
      <c r="H31" s="11" t="s">
        <v>24</v>
      </c>
      <c r="I31" s="17" t="s">
        <v>198</v>
      </c>
    </row>
    <row r="32" spans="1:9" ht="23.25" thickBot="1">
      <c r="A32" s="13" t="s">
        <v>479</v>
      </c>
      <c r="B32" s="11" t="s">
        <v>186</v>
      </c>
      <c r="C32" s="104">
        <v>0.14940000000000001</v>
      </c>
      <c r="D32" s="11" t="s">
        <v>468</v>
      </c>
      <c r="E32" s="17" t="s">
        <v>33</v>
      </c>
      <c r="F32" s="12" t="s">
        <v>113</v>
      </c>
      <c r="G32" s="17" t="s">
        <v>16</v>
      </c>
      <c r="H32" s="11" t="s">
        <v>33</v>
      </c>
      <c r="I32" s="17" t="s">
        <v>198</v>
      </c>
    </row>
    <row r="33" spans="1:9" ht="34.5" thickBot="1">
      <c r="A33" s="13" t="s">
        <v>145</v>
      </c>
      <c r="B33" s="11" t="s">
        <v>144</v>
      </c>
      <c r="C33" s="104">
        <v>3.8</v>
      </c>
      <c r="D33" s="11" t="s">
        <v>25</v>
      </c>
      <c r="E33" s="17" t="s">
        <v>24</v>
      </c>
      <c r="F33" s="12" t="s">
        <v>113</v>
      </c>
      <c r="G33" s="17" t="s">
        <v>16</v>
      </c>
      <c r="H33" s="11" t="s">
        <v>24</v>
      </c>
      <c r="I33" s="17" t="s">
        <v>198</v>
      </c>
    </row>
    <row r="34" spans="1:9" ht="34.5" thickBot="1">
      <c r="A34" s="13" t="s">
        <v>146</v>
      </c>
      <c r="B34" s="11" t="s">
        <v>118</v>
      </c>
      <c r="C34" s="104">
        <v>8.984</v>
      </c>
      <c r="D34" s="11" t="s">
        <v>530</v>
      </c>
      <c r="E34" s="17" t="s">
        <v>119</v>
      </c>
      <c r="F34" s="12" t="s">
        <v>113</v>
      </c>
      <c r="G34" s="17" t="s">
        <v>16</v>
      </c>
      <c r="H34" s="11" t="s">
        <v>195</v>
      </c>
      <c r="I34" s="17" t="s">
        <v>198</v>
      </c>
    </row>
    <row r="35" spans="1:9" ht="45.75" thickBot="1">
      <c r="A35" s="13" t="s">
        <v>148</v>
      </c>
      <c r="B35" s="11" t="s">
        <v>147</v>
      </c>
      <c r="C35" s="104">
        <v>0.25</v>
      </c>
      <c r="D35" s="11" t="s">
        <v>25</v>
      </c>
      <c r="E35" s="17" t="s">
        <v>24</v>
      </c>
      <c r="F35" s="12" t="s">
        <v>113</v>
      </c>
      <c r="G35" s="17" t="s">
        <v>16</v>
      </c>
      <c r="H35" s="11" t="s">
        <v>24</v>
      </c>
      <c r="I35" s="17" t="s">
        <v>198</v>
      </c>
    </row>
    <row r="36" spans="1:9" ht="34.5" thickBot="1">
      <c r="A36" s="13" t="s">
        <v>480</v>
      </c>
      <c r="B36" s="11" t="s">
        <v>186</v>
      </c>
      <c r="C36" s="104">
        <v>0.36499999999999999</v>
      </c>
      <c r="D36" s="11" t="s">
        <v>468</v>
      </c>
      <c r="E36" s="17" t="s">
        <v>33</v>
      </c>
      <c r="F36" s="12" t="s">
        <v>113</v>
      </c>
      <c r="G36" s="17" t="s">
        <v>16</v>
      </c>
      <c r="H36" s="11" t="s">
        <v>33</v>
      </c>
      <c r="I36" s="17" t="s">
        <v>198</v>
      </c>
    </row>
    <row r="37" spans="1:9" ht="23.25" thickBot="1">
      <c r="A37" s="13" t="s">
        <v>481</v>
      </c>
      <c r="B37" s="11" t="s">
        <v>186</v>
      </c>
      <c r="C37" s="104">
        <v>0.15</v>
      </c>
      <c r="D37" s="11" t="s">
        <v>468</v>
      </c>
      <c r="E37" s="17" t="s">
        <v>33</v>
      </c>
      <c r="F37" s="12" t="s">
        <v>113</v>
      </c>
      <c r="G37" s="17" t="s">
        <v>16</v>
      </c>
      <c r="H37" s="11" t="s">
        <v>33</v>
      </c>
      <c r="I37" s="17" t="s">
        <v>198</v>
      </c>
    </row>
    <row r="38" spans="1:9" ht="57" thickBot="1">
      <c r="A38" s="13" t="s">
        <v>149</v>
      </c>
      <c r="B38" s="11" t="s">
        <v>150</v>
      </c>
      <c r="C38" s="104">
        <v>4.0999999999999996</v>
      </c>
      <c r="D38" s="11" t="s">
        <v>13</v>
      </c>
      <c r="E38" s="17" t="s">
        <v>14</v>
      </c>
      <c r="F38" s="12" t="s">
        <v>113</v>
      </c>
      <c r="G38" s="17" t="s">
        <v>16</v>
      </c>
      <c r="H38" s="11" t="s">
        <v>14</v>
      </c>
      <c r="I38" s="17" t="s">
        <v>198</v>
      </c>
    </row>
    <row r="39" spans="1:9" ht="23.25" thickBot="1">
      <c r="A39" s="13" t="s">
        <v>151</v>
      </c>
      <c r="B39" s="11" t="s">
        <v>152</v>
      </c>
      <c r="C39" s="104">
        <v>44.8</v>
      </c>
      <c r="D39" s="11" t="s">
        <v>20</v>
      </c>
      <c r="E39" s="17" t="s">
        <v>21</v>
      </c>
      <c r="F39" s="12" t="s">
        <v>113</v>
      </c>
      <c r="G39" s="17" t="s">
        <v>16</v>
      </c>
      <c r="H39" s="11" t="s">
        <v>20</v>
      </c>
      <c r="I39" s="17" t="s">
        <v>198</v>
      </c>
    </row>
    <row r="40" spans="1:9" ht="34.5" thickBot="1">
      <c r="A40" s="13" t="s">
        <v>638</v>
      </c>
      <c r="B40" s="11" t="s">
        <v>153</v>
      </c>
      <c r="C40" s="104">
        <v>7.2</v>
      </c>
      <c r="D40" s="11" t="s">
        <v>13</v>
      </c>
      <c r="E40" s="17" t="s">
        <v>14</v>
      </c>
      <c r="F40" s="12" t="s">
        <v>113</v>
      </c>
      <c r="G40" s="17" t="s">
        <v>16</v>
      </c>
      <c r="H40" s="11" t="s">
        <v>14</v>
      </c>
      <c r="I40" s="17" t="s">
        <v>198</v>
      </c>
    </row>
    <row r="41" spans="1:9" ht="34.5" thickBot="1">
      <c r="A41" s="13" t="s">
        <v>482</v>
      </c>
      <c r="B41" s="11" t="s">
        <v>186</v>
      </c>
      <c r="C41" s="104">
        <v>0.50900000000000001</v>
      </c>
      <c r="D41" s="11" t="s">
        <v>468</v>
      </c>
      <c r="E41" s="17" t="s">
        <v>33</v>
      </c>
      <c r="F41" s="12" t="s">
        <v>113</v>
      </c>
      <c r="G41" s="17" t="s">
        <v>16</v>
      </c>
      <c r="H41" s="11" t="s">
        <v>33</v>
      </c>
      <c r="I41" s="17" t="s">
        <v>198</v>
      </c>
    </row>
    <row r="42" spans="1:9" ht="45.75" thickBot="1">
      <c r="A42" s="13" t="s">
        <v>154</v>
      </c>
      <c r="B42" s="11" t="s">
        <v>118</v>
      </c>
      <c r="C42" s="104">
        <v>0.77</v>
      </c>
      <c r="D42" s="11" t="s">
        <v>530</v>
      </c>
      <c r="E42" s="17" t="s">
        <v>119</v>
      </c>
      <c r="F42" s="12" t="s">
        <v>113</v>
      </c>
      <c r="G42" s="17" t="s">
        <v>16</v>
      </c>
      <c r="H42" s="11" t="s">
        <v>195</v>
      </c>
      <c r="I42" s="17" t="s">
        <v>198</v>
      </c>
    </row>
    <row r="43" spans="1:9" ht="34.5" thickBot="1">
      <c r="A43" s="13" t="s">
        <v>155</v>
      </c>
      <c r="B43" s="11" t="s">
        <v>156</v>
      </c>
      <c r="C43" s="104">
        <v>19.5</v>
      </c>
      <c r="D43" s="11" t="s">
        <v>13</v>
      </c>
      <c r="E43" s="17" t="s">
        <v>14</v>
      </c>
      <c r="F43" s="12" t="s">
        <v>113</v>
      </c>
      <c r="G43" s="17" t="s">
        <v>16</v>
      </c>
      <c r="H43" s="11" t="s">
        <v>14</v>
      </c>
      <c r="I43" s="17" t="s">
        <v>198</v>
      </c>
    </row>
    <row r="44" spans="1:9" ht="34.5" thickBot="1">
      <c r="A44" s="13" t="s">
        <v>483</v>
      </c>
      <c r="B44" s="11" t="s">
        <v>186</v>
      </c>
      <c r="C44" s="104">
        <v>0.35499999999999998</v>
      </c>
      <c r="D44" s="11" t="s">
        <v>25</v>
      </c>
      <c r="E44" s="17" t="s">
        <v>24</v>
      </c>
      <c r="F44" s="12" t="s">
        <v>113</v>
      </c>
      <c r="G44" s="17" t="s">
        <v>16</v>
      </c>
      <c r="H44" s="11" t="s">
        <v>24</v>
      </c>
      <c r="I44" s="17" t="s">
        <v>198</v>
      </c>
    </row>
    <row r="45" spans="1:9" ht="23.25" thickBot="1">
      <c r="A45" s="13" t="s">
        <v>484</v>
      </c>
      <c r="B45" s="11" t="s">
        <v>186</v>
      </c>
      <c r="C45" s="104">
        <v>0.2432</v>
      </c>
      <c r="D45" s="11" t="s">
        <v>468</v>
      </c>
      <c r="E45" s="17" t="s">
        <v>33</v>
      </c>
      <c r="F45" s="12" t="s">
        <v>113</v>
      </c>
      <c r="G45" s="17" t="s">
        <v>16</v>
      </c>
      <c r="H45" s="11" t="s">
        <v>33</v>
      </c>
      <c r="I45" s="17" t="s">
        <v>198</v>
      </c>
    </row>
    <row r="46" spans="1:9" ht="34.5" thickBot="1">
      <c r="A46" s="13" t="s">
        <v>157</v>
      </c>
      <c r="B46" s="11" t="s">
        <v>158</v>
      </c>
      <c r="C46" s="104">
        <v>151.69999999999999</v>
      </c>
      <c r="D46" s="11" t="s">
        <v>13</v>
      </c>
      <c r="E46" s="17" t="s">
        <v>14</v>
      </c>
      <c r="F46" s="12" t="s">
        <v>113</v>
      </c>
      <c r="G46" s="17" t="s">
        <v>16</v>
      </c>
      <c r="H46" s="11" t="s">
        <v>14</v>
      </c>
      <c r="I46" s="17" t="s">
        <v>198</v>
      </c>
    </row>
    <row r="47" spans="1:9" ht="34.5" thickBot="1">
      <c r="A47" s="13" t="s">
        <v>159</v>
      </c>
      <c r="B47" s="11" t="s">
        <v>30</v>
      </c>
      <c r="C47" s="104">
        <v>21</v>
      </c>
      <c r="D47" s="11" t="s">
        <v>35</v>
      </c>
      <c r="E47" s="17" t="s">
        <v>21</v>
      </c>
      <c r="F47" s="12" t="s">
        <v>113</v>
      </c>
      <c r="G47" s="17" t="s">
        <v>16</v>
      </c>
      <c r="H47" s="11" t="s">
        <v>35</v>
      </c>
      <c r="I47" s="17" t="s">
        <v>198</v>
      </c>
    </row>
    <row r="48" spans="1:9" ht="34.5" thickBot="1">
      <c r="A48" s="13" t="s">
        <v>485</v>
      </c>
      <c r="B48" s="11" t="s">
        <v>186</v>
      </c>
      <c r="C48" s="104">
        <v>1.06</v>
      </c>
      <c r="D48" s="11" t="s">
        <v>486</v>
      </c>
      <c r="E48" s="17" t="s">
        <v>119</v>
      </c>
      <c r="F48" s="12" t="s">
        <v>113</v>
      </c>
      <c r="G48" s="17" t="s">
        <v>16</v>
      </c>
      <c r="H48" s="11" t="s">
        <v>195</v>
      </c>
      <c r="I48" s="17" t="s">
        <v>198</v>
      </c>
    </row>
    <row r="49" spans="1:9" ht="34.5" thickBot="1">
      <c r="A49" s="13" t="s">
        <v>160</v>
      </c>
      <c r="B49" s="11" t="s">
        <v>30</v>
      </c>
      <c r="C49" s="104">
        <v>13.5</v>
      </c>
      <c r="D49" s="11" t="s">
        <v>25</v>
      </c>
      <c r="E49" s="17" t="s">
        <v>24</v>
      </c>
      <c r="F49" s="12" t="s">
        <v>113</v>
      </c>
      <c r="G49" s="17" t="s">
        <v>16</v>
      </c>
      <c r="H49" s="11" t="s">
        <v>24</v>
      </c>
      <c r="I49" s="17" t="s">
        <v>198</v>
      </c>
    </row>
    <row r="50" spans="1:9" ht="34.5" thickBot="1">
      <c r="A50" s="13" t="s">
        <v>487</v>
      </c>
      <c r="B50" s="11" t="s">
        <v>186</v>
      </c>
      <c r="C50" s="104">
        <v>0.2636</v>
      </c>
      <c r="D50" s="11" t="s">
        <v>468</v>
      </c>
      <c r="E50" s="17" t="s">
        <v>33</v>
      </c>
      <c r="F50" s="12" t="s">
        <v>113</v>
      </c>
      <c r="G50" s="17" t="s">
        <v>16</v>
      </c>
      <c r="H50" s="11" t="s">
        <v>33</v>
      </c>
      <c r="I50" s="17" t="s">
        <v>198</v>
      </c>
    </row>
    <row r="51" spans="1:9" ht="23.25" thickBot="1">
      <c r="A51" s="13" t="s">
        <v>488</v>
      </c>
      <c r="B51" s="11" t="s">
        <v>186</v>
      </c>
      <c r="C51" s="104">
        <v>0.3</v>
      </c>
      <c r="D51" s="11" t="s">
        <v>468</v>
      </c>
      <c r="E51" s="17" t="s">
        <v>33</v>
      </c>
      <c r="F51" s="12" t="s">
        <v>113</v>
      </c>
      <c r="G51" s="17" t="s">
        <v>16</v>
      </c>
      <c r="H51" s="11" t="s">
        <v>33</v>
      </c>
      <c r="I51" s="17" t="s">
        <v>198</v>
      </c>
    </row>
    <row r="52" spans="1:9" ht="23.25" thickBot="1">
      <c r="A52" s="13" t="s">
        <v>489</v>
      </c>
      <c r="B52" s="11" t="s">
        <v>186</v>
      </c>
      <c r="C52" s="104">
        <v>0.30520000000000003</v>
      </c>
      <c r="D52" s="11" t="s">
        <v>468</v>
      </c>
      <c r="E52" s="17" t="s">
        <v>33</v>
      </c>
      <c r="F52" s="12" t="s">
        <v>113</v>
      </c>
      <c r="G52" s="17" t="s">
        <v>16</v>
      </c>
      <c r="H52" s="11" t="s">
        <v>33</v>
      </c>
      <c r="I52" s="17" t="s">
        <v>198</v>
      </c>
    </row>
    <row r="53" spans="1:9" ht="34.5" thickBot="1">
      <c r="A53" s="13" t="s">
        <v>161</v>
      </c>
      <c r="B53" s="11" t="s">
        <v>121</v>
      </c>
      <c r="C53" s="104">
        <v>0.78</v>
      </c>
      <c r="D53" s="11" t="s">
        <v>530</v>
      </c>
      <c r="E53" s="17" t="s">
        <v>162</v>
      </c>
      <c r="F53" s="12" t="s">
        <v>113</v>
      </c>
      <c r="G53" s="17" t="s">
        <v>16</v>
      </c>
      <c r="H53" s="11" t="s">
        <v>195</v>
      </c>
      <c r="I53" s="17" t="s">
        <v>198</v>
      </c>
    </row>
    <row r="54" spans="1:9" ht="45.75" thickBot="1">
      <c r="A54" s="13" t="s">
        <v>164</v>
      </c>
      <c r="B54" s="11" t="s">
        <v>163</v>
      </c>
      <c r="C54" s="104">
        <v>1.1000000000000001</v>
      </c>
      <c r="D54" s="11" t="s">
        <v>530</v>
      </c>
      <c r="E54" s="17" t="s">
        <v>127</v>
      </c>
      <c r="F54" s="12" t="s">
        <v>113</v>
      </c>
      <c r="G54" s="17" t="s">
        <v>16</v>
      </c>
      <c r="H54" s="11" t="s">
        <v>195</v>
      </c>
      <c r="I54" s="17" t="s">
        <v>198</v>
      </c>
    </row>
    <row r="55" spans="1:9" ht="34.5" thickBot="1">
      <c r="A55" s="13" t="s">
        <v>165</v>
      </c>
      <c r="B55" s="11" t="s">
        <v>126</v>
      </c>
      <c r="C55" s="104">
        <v>4.2</v>
      </c>
      <c r="D55" s="11" t="s">
        <v>530</v>
      </c>
      <c r="E55" s="17" t="s">
        <v>119</v>
      </c>
      <c r="F55" s="12" t="s">
        <v>113</v>
      </c>
      <c r="G55" s="17" t="s">
        <v>16</v>
      </c>
      <c r="H55" s="11" t="s">
        <v>195</v>
      </c>
      <c r="I55" s="17" t="s">
        <v>198</v>
      </c>
    </row>
    <row r="56" spans="1:9" ht="45.75" thickBot="1">
      <c r="A56" s="13" t="s">
        <v>166</v>
      </c>
      <c r="B56" s="11" t="s">
        <v>167</v>
      </c>
      <c r="C56" s="104">
        <v>7.2</v>
      </c>
      <c r="D56" s="11" t="s">
        <v>34</v>
      </c>
      <c r="E56" s="17" t="s">
        <v>33</v>
      </c>
      <c r="F56" s="12" t="s">
        <v>113</v>
      </c>
      <c r="G56" s="17" t="s">
        <v>16</v>
      </c>
      <c r="H56" s="11" t="s">
        <v>33</v>
      </c>
      <c r="I56" s="17" t="s">
        <v>198</v>
      </c>
    </row>
    <row r="57" spans="1:9" ht="45.75" thickBot="1">
      <c r="A57" s="13" t="s">
        <v>168</v>
      </c>
      <c r="B57" s="11" t="s">
        <v>167</v>
      </c>
      <c r="C57" s="104">
        <v>7.2</v>
      </c>
      <c r="D57" s="11" t="s">
        <v>34</v>
      </c>
      <c r="E57" s="17" t="s">
        <v>33</v>
      </c>
      <c r="F57" s="12" t="s">
        <v>113</v>
      </c>
      <c r="G57" s="17" t="s">
        <v>16</v>
      </c>
      <c r="H57" s="11" t="s">
        <v>33</v>
      </c>
      <c r="I57" s="17" t="s">
        <v>198</v>
      </c>
    </row>
    <row r="58" spans="1:9" ht="34.5" thickBot="1">
      <c r="A58" s="13" t="s">
        <v>169</v>
      </c>
      <c r="B58" s="11" t="s">
        <v>163</v>
      </c>
      <c r="C58" s="104">
        <v>1.1000000000000001</v>
      </c>
      <c r="D58" s="11" t="s">
        <v>530</v>
      </c>
      <c r="E58" s="17" t="s">
        <v>127</v>
      </c>
      <c r="F58" s="12" t="s">
        <v>113</v>
      </c>
      <c r="G58" s="17" t="s">
        <v>16</v>
      </c>
      <c r="H58" s="11" t="s">
        <v>195</v>
      </c>
      <c r="I58" s="17" t="s">
        <v>198</v>
      </c>
    </row>
    <row r="59" spans="1:9" ht="45.75" thickBot="1">
      <c r="A59" s="13" t="s">
        <v>490</v>
      </c>
      <c r="B59" s="11" t="s">
        <v>186</v>
      </c>
      <c r="C59" s="104">
        <v>0.3498</v>
      </c>
      <c r="D59" s="11" t="s">
        <v>468</v>
      </c>
      <c r="E59" s="17" t="s">
        <v>33</v>
      </c>
      <c r="F59" s="12" t="s">
        <v>113</v>
      </c>
      <c r="G59" s="17" t="s">
        <v>16</v>
      </c>
      <c r="H59" s="11" t="s">
        <v>33</v>
      </c>
      <c r="I59" s="17" t="s">
        <v>198</v>
      </c>
    </row>
    <row r="60" spans="1:9" ht="45.75" thickBot="1">
      <c r="A60" s="13" t="s">
        <v>491</v>
      </c>
      <c r="B60" s="11" t="s">
        <v>186</v>
      </c>
      <c r="C60" s="104">
        <v>0.223</v>
      </c>
      <c r="D60" s="11" t="s">
        <v>468</v>
      </c>
      <c r="E60" s="17" t="s">
        <v>33</v>
      </c>
      <c r="F60" s="12" t="s">
        <v>113</v>
      </c>
      <c r="G60" s="17" t="s">
        <v>16</v>
      </c>
      <c r="H60" s="11" t="s">
        <v>33</v>
      </c>
      <c r="I60" s="17" t="s">
        <v>198</v>
      </c>
    </row>
    <row r="61" spans="1:9" ht="23.25" thickBot="1">
      <c r="A61" s="13" t="s">
        <v>492</v>
      </c>
      <c r="B61" s="11" t="s">
        <v>186</v>
      </c>
      <c r="C61" s="104">
        <v>0.1245</v>
      </c>
      <c r="D61" s="11" t="s">
        <v>468</v>
      </c>
      <c r="E61" s="17" t="s">
        <v>33</v>
      </c>
      <c r="F61" s="12" t="s">
        <v>113</v>
      </c>
      <c r="G61" s="17" t="s">
        <v>16</v>
      </c>
      <c r="H61" s="11" t="s">
        <v>33</v>
      </c>
      <c r="I61" s="17" t="s">
        <v>198</v>
      </c>
    </row>
    <row r="62" spans="1:9" ht="23.25" thickBot="1">
      <c r="A62" s="13" t="s">
        <v>493</v>
      </c>
      <c r="B62" s="11" t="s">
        <v>186</v>
      </c>
      <c r="C62" s="104">
        <v>0.1842</v>
      </c>
      <c r="D62" s="11" t="s">
        <v>468</v>
      </c>
      <c r="E62" s="17" t="s">
        <v>33</v>
      </c>
      <c r="F62" s="12" t="s">
        <v>113</v>
      </c>
      <c r="G62" s="17" t="s">
        <v>16</v>
      </c>
      <c r="H62" s="11" t="s">
        <v>33</v>
      </c>
      <c r="I62" s="17" t="s">
        <v>198</v>
      </c>
    </row>
    <row r="63" spans="1:9" ht="23.25" thickBot="1">
      <c r="A63" s="13" t="s">
        <v>170</v>
      </c>
      <c r="B63" s="11" t="s">
        <v>80</v>
      </c>
      <c r="C63" s="104">
        <v>21</v>
      </c>
      <c r="D63" s="11" t="s">
        <v>13</v>
      </c>
      <c r="E63" s="17" t="s">
        <v>14</v>
      </c>
      <c r="F63" s="12" t="s">
        <v>113</v>
      </c>
      <c r="G63" s="17" t="s">
        <v>16</v>
      </c>
      <c r="H63" s="11" t="s">
        <v>14</v>
      </c>
      <c r="I63" s="17" t="s">
        <v>198</v>
      </c>
    </row>
    <row r="64" spans="1:9" ht="45.75" thickBot="1">
      <c r="A64" s="13" t="s">
        <v>494</v>
      </c>
      <c r="B64" s="11" t="s">
        <v>186</v>
      </c>
      <c r="C64" s="104">
        <v>9.1600000000000001E-2</v>
      </c>
      <c r="D64" s="11" t="s">
        <v>468</v>
      </c>
      <c r="E64" s="17" t="s">
        <v>33</v>
      </c>
      <c r="F64" s="12" t="s">
        <v>113</v>
      </c>
      <c r="G64" s="17" t="s">
        <v>16</v>
      </c>
      <c r="H64" s="11" t="s">
        <v>33</v>
      </c>
      <c r="I64" s="17" t="s">
        <v>198</v>
      </c>
    </row>
    <row r="65" spans="1:9" ht="45.75" thickBot="1">
      <c r="A65" s="13" t="s">
        <v>495</v>
      </c>
      <c r="B65" s="11" t="s">
        <v>186</v>
      </c>
      <c r="C65" s="104">
        <v>7.3300000000000004E-2</v>
      </c>
      <c r="D65" s="11" t="s">
        <v>468</v>
      </c>
      <c r="E65" s="17" t="s">
        <v>33</v>
      </c>
      <c r="F65" s="12" t="s">
        <v>113</v>
      </c>
      <c r="G65" s="17" t="s">
        <v>16</v>
      </c>
      <c r="H65" s="11" t="s">
        <v>33</v>
      </c>
      <c r="I65" s="17" t="s">
        <v>198</v>
      </c>
    </row>
    <row r="66" spans="1:9" ht="57" thickBot="1">
      <c r="A66" s="13" t="s">
        <v>496</v>
      </c>
      <c r="B66" s="11" t="s">
        <v>186</v>
      </c>
      <c r="C66" s="104">
        <v>0.13650000000000001</v>
      </c>
      <c r="D66" s="11" t="s">
        <v>468</v>
      </c>
      <c r="E66" s="17" t="s">
        <v>33</v>
      </c>
      <c r="F66" s="12" t="s">
        <v>113</v>
      </c>
      <c r="G66" s="17" t="s">
        <v>16</v>
      </c>
      <c r="H66" s="11" t="s">
        <v>33</v>
      </c>
      <c r="I66" s="17" t="s">
        <v>198</v>
      </c>
    </row>
    <row r="67" spans="1:9" ht="45.75" thickBot="1">
      <c r="A67" s="13" t="s">
        <v>497</v>
      </c>
      <c r="B67" s="11" t="s">
        <v>186</v>
      </c>
      <c r="C67" s="104">
        <v>4.7800000000000002E-2</v>
      </c>
      <c r="D67" s="11" t="s">
        <v>468</v>
      </c>
      <c r="E67" s="17" t="s">
        <v>33</v>
      </c>
      <c r="F67" s="12" t="s">
        <v>113</v>
      </c>
      <c r="G67" s="17" t="s">
        <v>16</v>
      </c>
      <c r="H67" s="11" t="s">
        <v>33</v>
      </c>
      <c r="I67" s="17" t="s">
        <v>198</v>
      </c>
    </row>
    <row r="68" spans="1:9" ht="45.75" thickBot="1">
      <c r="A68" s="13" t="s">
        <v>498</v>
      </c>
      <c r="B68" s="11" t="s">
        <v>186</v>
      </c>
      <c r="C68" s="104">
        <v>0.1608</v>
      </c>
      <c r="D68" s="11" t="s">
        <v>468</v>
      </c>
      <c r="E68" s="17" t="s">
        <v>33</v>
      </c>
      <c r="F68" s="12" t="s">
        <v>113</v>
      </c>
      <c r="G68" s="17" t="s">
        <v>16</v>
      </c>
      <c r="H68" s="11" t="s">
        <v>33</v>
      </c>
      <c r="I68" s="17" t="s">
        <v>198</v>
      </c>
    </row>
    <row r="69" spans="1:9" ht="45.75" thickBot="1">
      <c r="A69" s="13" t="s">
        <v>499</v>
      </c>
      <c r="B69" s="11" t="s">
        <v>186</v>
      </c>
      <c r="C69" s="104">
        <v>5.8799999999999998E-2</v>
      </c>
      <c r="D69" s="11" t="s">
        <v>468</v>
      </c>
      <c r="E69" s="17" t="s">
        <v>33</v>
      </c>
      <c r="F69" s="12" t="s">
        <v>113</v>
      </c>
      <c r="G69" s="17" t="s">
        <v>16</v>
      </c>
      <c r="H69" s="11" t="s">
        <v>33</v>
      </c>
      <c r="I69" s="17" t="s">
        <v>198</v>
      </c>
    </row>
    <row r="70" spans="1:9" ht="34.5" thickBot="1">
      <c r="A70" s="13" t="s">
        <v>500</v>
      </c>
      <c r="B70" s="11" t="s">
        <v>186</v>
      </c>
      <c r="C70" s="104">
        <v>0.75260000000000005</v>
      </c>
      <c r="D70" s="11" t="s">
        <v>468</v>
      </c>
      <c r="E70" s="17" t="s">
        <v>33</v>
      </c>
      <c r="F70" s="12" t="s">
        <v>113</v>
      </c>
      <c r="G70" s="17" t="s">
        <v>16</v>
      </c>
      <c r="H70" s="11" t="s">
        <v>33</v>
      </c>
      <c r="I70" s="17" t="s">
        <v>198</v>
      </c>
    </row>
    <row r="71" spans="1:9" ht="23.25" thickBot="1">
      <c r="A71" s="13" t="s">
        <v>501</v>
      </c>
      <c r="B71" s="11" t="s">
        <v>186</v>
      </c>
      <c r="C71" s="104">
        <v>0.13200000000000001</v>
      </c>
      <c r="D71" s="11" t="s">
        <v>25</v>
      </c>
      <c r="E71" s="17" t="s">
        <v>24</v>
      </c>
      <c r="F71" s="12" t="s">
        <v>113</v>
      </c>
      <c r="G71" s="17" t="s">
        <v>16</v>
      </c>
      <c r="H71" s="11" t="s">
        <v>24</v>
      </c>
      <c r="I71" s="17" t="s">
        <v>198</v>
      </c>
    </row>
    <row r="72" spans="1:9" ht="34.5" thickBot="1">
      <c r="A72" s="13" t="s">
        <v>171</v>
      </c>
      <c r="B72" s="11" t="s">
        <v>172</v>
      </c>
      <c r="C72" s="104">
        <v>192</v>
      </c>
      <c r="D72" s="11" t="s">
        <v>13</v>
      </c>
      <c r="E72" s="17" t="s">
        <v>14</v>
      </c>
      <c r="F72" s="12" t="s">
        <v>113</v>
      </c>
      <c r="G72" s="17" t="s">
        <v>16</v>
      </c>
      <c r="H72" s="11" t="s">
        <v>14</v>
      </c>
      <c r="I72" s="17" t="s">
        <v>198</v>
      </c>
    </row>
    <row r="73" spans="1:9" ht="34.5" thickBot="1">
      <c r="A73" s="13" t="s">
        <v>173</v>
      </c>
      <c r="B73" s="11" t="s">
        <v>144</v>
      </c>
      <c r="C73" s="104">
        <v>1.8</v>
      </c>
      <c r="D73" s="11" t="s">
        <v>25</v>
      </c>
      <c r="E73" s="17" t="s">
        <v>24</v>
      </c>
      <c r="F73" s="12" t="s">
        <v>113</v>
      </c>
      <c r="G73" s="17" t="s">
        <v>16</v>
      </c>
      <c r="H73" s="11" t="s">
        <v>24</v>
      </c>
      <c r="I73" s="17" t="s">
        <v>198</v>
      </c>
    </row>
    <row r="74" spans="1:9" ht="34.5" thickBot="1">
      <c r="A74" s="13" t="s">
        <v>174</v>
      </c>
      <c r="B74" s="11" t="s">
        <v>118</v>
      </c>
      <c r="C74" s="104">
        <v>6.7380000000000004</v>
      </c>
      <c r="D74" s="11" t="s">
        <v>530</v>
      </c>
      <c r="E74" s="17" t="s">
        <v>119</v>
      </c>
      <c r="F74" s="12" t="s">
        <v>113</v>
      </c>
      <c r="G74" s="17" t="s">
        <v>16</v>
      </c>
      <c r="H74" s="11" t="s">
        <v>195</v>
      </c>
      <c r="I74" s="17" t="s">
        <v>198</v>
      </c>
    </row>
    <row r="75" spans="1:9" ht="23.25" thickBot="1">
      <c r="A75" s="13" t="s">
        <v>175</v>
      </c>
      <c r="B75" s="11" t="s">
        <v>176</v>
      </c>
      <c r="C75" s="104">
        <v>12</v>
      </c>
      <c r="D75" s="11" t="s">
        <v>13</v>
      </c>
      <c r="E75" s="17" t="s">
        <v>14</v>
      </c>
      <c r="F75" s="12" t="s">
        <v>113</v>
      </c>
      <c r="G75" s="17" t="s">
        <v>16</v>
      </c>
      <c r="H75" s="11" t="s">
        <v>14</v>
      </c>
      <c r="I75" s="17" t="s">
        <v>198</v>
      </c>
    </row>
    <row r="76" spans="1:9" ht="45.75" thickBot="1">
      <c r="A76" s="13" t="s">
        <v>177</v>
      </c>
      <c r="B76" s="11" t="s">
        <v>118</v>
      </c>
      <c r="C76" s="104">
        <v>1.903</v>
      </c>
      <c r="D76" s="11" t="s">
        <v>530</v>
      </c>
      <c r="E76" s="17" t="s">
        <v>119</v>
      </c>
      <c r="F76" s="12" t="s">
        <v>113</v>
      </c>
      <c r="G76" s="17" t="s">
        <v>16</v>
      </c>
      <c r="H76" s="11" t="s">
        <v>195</v>
      </c>
      <c r="I76" s="17" t="s">
        <v>198</v>
      </c>
    </row>
    <row r="77" spans="1:9" ht="34.5" thickBot="1">
      <c r="A77" s="13" t="s">
        <v>178</v>
      </c>
      <c r="B77" s="11" t="s">
        <v>179</v>
      </c>
      <c r="C77" s="104">
        <v>28.7</v>
      </c>
      <c r="D77" s="11" t="s">
        <v>13</v>
      </c>
      <c r="E77" s="17" t="s">
        <v>14</v>
      </c>
      <c r="F77" s="12" t="s">
        <v>113</v>
      </c>
      <c r="G77" s="17" t="s">
        <v>16</v>
      </c>
      <c r="H77" s="11" t="s">
        <v>14</v>
      </c>
      <c r="I77" s="17" t="s">
        <v>198</v>
      </c>
    </row>
    <row r="78" spans="1:9" ht="34.5" thickBot="1">
      <c r="A78" s="13" t="s">
        <v>180</v>
      </c>
      <c r="B78" s="11" t="s">
        <v>79</v>
      </c>
      <c r="C78" s="104">
        <v>30</v>
      </c>
      <c r="D78" s="11" t="s">
        <v>13</v>
      </c>
      <c r="E78" s="17" t="s">
        <v>14</v>
      </c>
      <c r="F78" s="12" t="s">
        <v>113</v>
      </c>
      <c r="G78" s="17" t="s">
        <v>16</v>
      </c>
      <c r="H78" s="11" t="s">
        <v>14</v>
      </c>
      <c r="I78" s="17" t="s">
        <v>198</v>
      </c>
    </row>
    <row r="79" spans="1:9" ht="23.25" thickBot="1">
      <c r="A79" s="13" t="s">
        <v>181</v>
      </c>
      <c r="B79" s="11" t="s">
        <v>30</v>
      </c>
      <c r="C79" s="104">
        <v>9.5</v>
      </c>
      <c r="D79" s="11" t="s">
        <v>25</v>
      </c>
      <c r="E79" s="17" t="s">
        <v>24</v>
      </c>
      <c r="F79" s="12" t="s">
        <v>113</v>
      </c>
      <c r="G79" s="17" t="s">
        <v>16</v>
      </c>
      <c r="H79" s="11" t="s">
        <v>24</v>
      </c>
      <c r="I79" s="17" t="s">
        <v>198</v>
      </c>
    </row>
    <row r="80" spans="1:9" s="163" customFormat="1" ht="23.25" thickBot="1">
      <c r="A80" s="13" t="s">
        <v>502</v>
      </c>
      <c r="B80" s="11" t="s">
        <v>186</v>
      </c>
      <c r="C80" s="104">
        <v>0.1134</v>
      </c>
      <c r="D80" s="11" t="s">
        <v>468</v>
      </c>
      <c r="E80" s="17" t="s">
        <v>33</v>
      </c>
      <c r="F80" s="12" t="s">
        <v>113</v>
      </c>
      <c r="G80" s="17" t="s">
        <v>16</v>
      </c>
      <c r="H80" s="11" t="s">
        <v>33</v>
      </c>
      <c r="I80" s="17" t="s">
        <v>198</v>
      </c>
    </row>
    <row r="81" spans="1:6" ht="15.75" thickBot="1"/>
    <row r="82" spans="1:6" ht="15.75" thickBot="1">
      <c r="A82" s="120" t="s">
        <v>86</v>
      </c>
      <c r="B82" s="121"/>
      <c r="C82" s="123">
        <f>SUM(existingnstable[Nameplate Capacity (MW)])</f>
        <v>795.41450000000009</v>
      </c>
      <c r="D82" s="121"/>
      <c r="E82" s="122"/>
      <c r="F82" s="121"/>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76"/>
  <sheetViews>
    <sheetView zoomScaleNormal="100" workbookViewId="0">
      <pane xSplit="1" ySplit="2" topLeftCell="B3" activePane="bottomRight" state="frozen"/>
      <selection pane="topRight" activeCell="B1" sqref="B1"/>
      <selection pane="bottomLeft" activeCell="A3" sqref="A3"/>
      <selection pane="bottomRight"/>
    </sheetView>
  </sheetViews>
  <sheetFormatPr defaultColWidth="95.5703125" defaultRowHeight="15"/>
  <cols>
    <col min="1" max="1" width="30.28515625" style="21" bestFit="1" customWidth="1"/>
    <col min="2" max="2" width="48.42578125" style="21" bestFit="1" customWidth="1"/>
    <col min="3" max="3" width="27.42578125" style="21" bestFit="1" customWidth="1"/>
    <col min="4" max="4" width="16.5703125" style="21" bestFit="1" customWidth="1"/>
    <col min="5" max="5" width="14.85546875" style="21" bestFit="1" customWidth="1"/>
    <col min="6" max="6" width="14.7109375" style="21" bestFit="1" customWidth="1"/>
    <col min="7" max="7" width="21" style="21" bestFit="1" customWidth="1"/>
    <col min="8" max="8" width="12" style="21" bestFit="1" customWidth="1"/>
    <col min="9" max="9" width="21.42578125" style="21" bestFit="1" customWidth="1"/>
    <col min="10" max="10" width="95.5703125" style="21" bestFit="1" customWidth="1"/>
    <col min="11" max="11" width="10" style="21" hidden="1" customWidth="1"/>
    <col min="12" max="12" width="17.140625" style="21" hidden="1" customWidth="1"/>
    <col min="13" max="13" width="8.28515625" style="21" hidden="1" customWidth="1"/>
    <col min="14" max="14" width="8" style="21" hidden="1" customWidth="1"/>
    <col min="15" max="15" width="16.42578125" style="70" hidden="1" customWidth="1"/>
    <col min="16" max="16384" width="95.5703125" style="21"/>
  </cols>
  <sheetData>
    <row r="1" spans="1:15" ht="20.25" thickBot="1">
      <c r="A1" s="25" t="s">
        <v>182</v>
      </c>
    </row>
    <row r="2" spans="1:15" ht="23.25" thickBot="1">
      <c r="A2" s="68" t="s">
        <v>183</v>
      </c>
      <c r="B2" s="69" t="s">
        <v>2</v>
      </c>
      <c r="C2" s="69" t="s">
        <v>717</v>
      </c>
      <c r="D2" s="69" t="s">
        <v>3</v>
      </c>
      <c r="E2" s="69" t="s">
        <v>4</v>
      </c>
      <c r="F2" s="69" t="s">
        <v>184</v>
      </c>
      <c r="G2" s="69" t="s">
        <v>111</v>
      </c>
      <c r="H2" s="69" t="s">
        <v>5</v>
      </c>
      <c r="I2" s="69" t="s">
        <v>185</v>
      </c>
      <c r="J2" s="164" t="s">
        <v>534</v>
      </c>
      <c r="K2" s="8" t="s">
        <v>203</v>
      </c>
      <c r="L2" s="8" t="s">
        <v>204</v>
      </c>
      <c r="M2" s="8" t="s">
        <v>205</v>
      </c>
      <c r="N2" s="8" t="s">
        <v>206</v>
      </c>
      <c r="O2" s="9" t="s">
        <v>207</v>
      </c>
    </row>
    <row r="3" spans="1:15" ht="15.75" thickBot="1">
      <c r="A3" s="89" t="s">
        <v>247</v>
      </c>
      <c r="B3" s="90" t="s">
        <v>248</v>
      </c>
      <c r="C3" s="91" t="s">
        <v>249</v>
      </c>
      <c r="D3" s="92" t="s">
        <v>13</v>
      </c>
      <c r="E3" s="91" t="s">
        <v>14</v>
      </c>
      <c r="F3" s="92" t="s">
        <v>208</v>
      </c>
      <c r="G3" s="91" t="s">
        <v>250</v>
      </c>
      <c r="H3" s="92" t="s">
        <v>15</v>
      </c>
      <c r="I3" s="91" t="s">
        <v>578</v>
      </c>
      <c r="J3" s="92" t="s">
        <v>535</v>
      </c>
      <c r="K3" s="143" t="s">
        <v>200</v>
      </c>
      <c r="L3" s="118">
        <v>122.4</v>
      </c>
      <c r="M3" s="143" t="s">
        <v>187</v>
      </c>
      <c r="N3" s="118" t="s">
        <v>16</v>
      </c>
      <c r="O3" s="143" t="s">
        <v>14</v>
      </c>
    </row>
    <row r="4" spans="1:15" ht="15.75" thickBot="1">
      <c r="A4" s="93" t="s">
        <v>509</v>
      </c>
      <c r="B4" s="94" t="s">
        <v>531</v>
      </c>
      <c r="C4" s="95" t="s">
        <v>87</v>
      </c>
      <c r="D4" s="96" t="s">
        <v>555</v>
      </c>
      <c r="E4" s="95" t="s">
        <v>680</v>
      </c>
      <c r="F4" s="96" t="s">
        <v>209</v>
      </c>
      <c r="G4" s="95" t="s">
        <v>621</v>
      </c>
      <c r="H4" s="96" t="s">
        <v>9</v>
      </c>
      <c r="I4" s="95" t="s">
        <v>554</v>
      </c>
      <c r="J4" s="96" t="s">
        <v>536</v>
      </c>
      <c r="K4" s="143" t="s">
        <v>199</v>
      </c>
      <c r="L4" s="118">
        <v>30</v>
      </c>
      <c r="M4" s="143" t="s">
        <v>187</v>
      </c>
      <c r="N4" s="118" t="s">
        <v>16</v>
      </c>
      <c r="O4" s="143" t="s">
        <v>555</v>
      </c>
    </row>
    <row r="5" spans="1:15" ht="15.75" thickBot="1">
      <c r="A5" s="93" t="s">
        <v>89</v>
      </c>
      <c r="B5" s="94" t="s">
        <v>251</v>
      </c>
      <c r="C5" s="95" t="s">
        <v>87</v>
      </c>
      <c r="D5" s="96" t="s">
        <v>32</v>
      </c>
      <c r="E5" s="95" t="s">
        <v>33</v>
      </c>
      <c r="F5" s="96" t="s">
        <v>199</v>
      </c>
      <c r="G5" s="95" t="s">
        <v>252</v>
      </c>
      <c r="H5" s="96" t="s">
        <v>15</v>
      </c>
      <c r="I5" s="95" t="s">
        <v>240</v>
      </c>
      <c r="J5" s="96" t="s">
        <v>537</v>
      </c>
      <c r="K5" s="143" t="s">
        <v>199</v>
      </c>
      <c r="L5" s="118">
        <v>88</v>
      </c>
      <c r="M5" s="143" t="s">
        <v>187</v>
      </c>
      <c r="N5" s="118" t="s">
        <v>16</v>
      </c>
      <c r="O5" s="143" t="s">
        <v>33</v>
      </c>
    </row>
    <row r="6" spans="1:15" ht="15.75" thickBot="1">
      <c r="A6" s="93" t="s">
        <v>253</v>
      </c>
      <c r="B6" s="94" t="s">
        <v>80</v>
      </c>
      <c r="C6" s="95" t="s">
        <v>254</v>
      </c>
      <c r="D6" s="96" t="s">
        <v>13</v>
      </c>
      <c r="E6" s="95" t="s">
        <v>14</v>
      </c>
      <c r="F6" s="96" t="s">
        <v>208</v>
      </c>
      <c r="G6" s="95" t="s">
        <v>255</v>
      </c>
      <c r="H6" s="96" t="s">
        <v>15</v>
      </c>
      <c r="I6" s="95" t="s">
        <v>578</v>
      </c>
      <c r="J6" s="96"/>
      <c r="K6" s="143" t="s">
        <v>200</v>
      </c>
      <c r="L6" s="118">
        <v>110</v>
      </c>
      <c r="M6" s="143" t="s">
        <v>187</v>
      </c>
      <c r="N6" s="118" t="s">
        <v>16</v>
      </c>
      <c r="O6" s="143" t="s">
        <v>14</v>
      </c>
    </row>
    <row r="7" spans="1:15" ht="15.75" thickBot="1">
      <c r="A7" s="93" t="s">
        <v>257</v>
      </c>
      <c r="B7" s="94" t="s">
        <v>234</v>
      </c>
      <c r="C7" s="95" t="s">
        <v>258</v>
      </c>
      <c r="D7" s="96" t="s">
        <v>13</v>
      </c>
      <c r="E7" s="95" t="s">
        <v>14</v>
      </c>
      <c r="F7" s="96" t="s">
        <v>208</v>
      </c>
      <c r="G7" s="95" t="s">
        <v>239</v>
      </c>
      <c r="H7" s="96" t="s">
        <v>15</v>
      </c>
      <c r="I7" s="95" t="s">
        <v>578</v>
      </c>
      <c r="J7" s="96" t="s">
        <v>538</v>
      </c>
      <c r="K7" s="143" t="s">
        <v>200</v>
      </c>
      <c r="L7" s="118">
        <v>72</v>
      </c>
      <c r="M7" s="143" t="s">
        <v>187</v>
      </c>
      <c r="N7" s="118" t="s">
        <v>16</v>
      </c>
      <c r="O7" s="143" t="s">
        <v>14</v>
      </c>
    </row>
    <row r="8" spans="1:15" ht="15.75" thickBot="1">
      <c r="A8" s="93" t="s">
        <v>696</v>
      </c>
      <c r="B8" s="94" t="s">
        <v>259</v>
      </c>
      <c r="C8" s="97" t="s">
        <v>697</v>
      </c>
      <c r="D8" s="96" t="s">
        <v>13</v>
      </c>
      <c r="E8" s="97" t="s">
        <v>14</v>
      </c>
      <c r="F8" s="96" t="s">
        <v>687</v>
      </c>
      <c r="G8" s="97" t="s">
        <v>698</v>
      </c>
      <c r="H8" s="96" t="s">
        <v>15</v>
      </c>
      <c r="I8" s="97" t="s">
        <v>215</v>
      </c>
      <c r="J8" s="96" t="s">
        <v>688</v>
      </c>
      <c r="K8" s="143" t="s">
        <v>200</v>
      </c>
      <c r="L8" s="118">
        <v>180.6</v>
      </c>
      <c r="M8" s="143" t="s">
        <v>187</v>
      </c>
      <c r="N8" s="118" t="s">
        <v>16</v>
      </c>
      <c r="O8" s="143" t="s">
        <v>14</v>
      </c>
    </row>
    <row r="9" spans="1:15" ht="15.75" thickBot="1">
      <c r="A9" s="93" t="s">
        <v>699</v>
      </c>
      <c r="B9" s="94" t="s">
        <v>259</v>
      </c>
      <c r="C9" s="97" t="s">
        <v>700</v>
      </c>
      <c r="D9" s="96" t="s">
        <v>13</v>
      </c>
      <c r="E9" s="97" t="s">
        <v>14</v>
      </c>
      <c r="F9" s="96" t="s">
        <v>208</v>
      </c>
      <c r="G9" s="97" t="s">
        <v>701</v>
      </c>
      <c r="H9" s="96" t="s">
        <v>15</v>
      </c>
      <c r="I9" s="97" t="s">
        <v>578</v>
      </c>
      <c r="J9" s="96" t="s">
        <v>688</v>
      </c>
      <c r="K9" s="143" t="s">
        <v>200</v>
      </c>
      <c r="L9" s="118">
        <v>151.19999999999999</v>
      </c>
      <c r="M9" s="143" t="s">
        <v>187</v>
      </c>
      <c r="N9" s="118" t="s">
        <v>16</v>
      </c>
      <c r="O9" s="143" t="s">
        <v>14</v>
      </c>
    </row>
    <row r="10" spans="1:15" ht="15.75" thickBot="1">
      <c r="A10" s="93" t="s">
        <v>92</v>
      </c>
      <c r="B10" s="94" t="s">
        <v>260</v>
      </c>
      <c r="C10" s="97" t="s">
        <v>87</v>
      </c>
      <c r="D10" s="96" t="s">
        <v>555</v>
      </c>
      <c r="E10" s="97" t="s">
        <v>680</v>
      </c>
      <c r="F10" s="96" t="s">
        <v>209</v>
      </c>
      <c r="G10" s="97" t="s">
        <v>622</v>
      </c>
      <c r="H10" s="96" t="s">
        <v>15</v>
      </c>
      <c r="I10" s="97" t="s">
        <v>244</v>
      </c>
      <c r="J10" s="96" t="s">
        <v>539</v>
      </c>
      <c r="K10" s="143" t="s">
        <v>199</v>
      </c>
      <c r="L10" s="118">
        <v>20</v>
      </c>
      <c r="M10" s="143" t="s">
        <v>187</v>
      </c>
      <c r="N10" s="118" t="s">
        <v>16</v>
      </c>
      <c r="O10" s="143" t="s">
        <v>555</v>
      </c>
    </row>
    <row r="11" spans="1:15" ht="15.75" thickBot="1">
      <c r="A11" s="93" t="s">
        <v>93</v>
      </c>
      <c r="B11" s="94" t="s">
        <v>260</v>
      </c>
      <c r="C11" s="97" t="s">
        <v>94</v>
      </c>
      <c r="D11" s="96" t="s">
        <v>13</v>
      </c>
      <c r="E11" s="97" t="s">
        <v>14</v>
      </c>
      <c r="F11" s="96" t="s">
        <v>209</v>
      </c>
      <c r="G11" s="97" t="s">
        <v>671</v>
      </c>
      <c r="H11" s="96" t="s">
        <v>15</v>
      </c>
      <c r="I11" s="97" t="s">
        <v>328</v>
      </c>
      <c r="J11" s="96" t="s">
        <v>539</v>
      </c>
      <c r="K11" s="143" t="s">
        <v>199</v>
      </c>
      <c r="L11" s="118">
        <v>194</v>
      </c>
      <c r="M11" s="143" t="s">
        <v>187</v>
      </c>
      <c r="N11" s="118" t="s">
        <v>16</v>
      </c>
      <c r="O11" s="143" t="s">
        <v>14</v>
      </c>
    </row>
    <row r="12" spans="1:15" ht="15.75" thickBot="1">
      <c r="A12" s="93" t="s">
        <v>689</v>
      </c>
      <c r="B12" s="94" t="s">
        <v>690</v>
      </c>
      <c r="C12" s="97" t="s">
        <v>186</v>
      </c>
      <c r="D12" s="96" t="s">
        <v>34</v>
      </c>
      <c r="E12" s="97" t="s">
        <v>33</v>
      </c>
      <c r="F12" s="96" t="s">
        <v>208</v>
      </c>
      <c r="G12" s="97" t="s">
        <v>211</v>
      </c>
      <c r="H12" s="96" t="s">
        <v>15</v>
      </c>
      <c r="I12" s="97" t="s">
        <v>578</v>
      </c>
      <c r="J12" s="96"/>
      <c r="K12" s="143" t="s">
        <v>200</v>
      </c>
      <c r="L12" s="118">
        <v>100</v>
      </c>
      <c r="M12" s="143" t="s">
        <v>187</v>
      </c>
      <c r="N12" s="118" t="s">
        <v>16</v>
      </c>
      <c r="O12" s="143" t="s">
        <v>33</v>
      </c>
    </row>
    <row r="13" spans="1:15" ht="15.75" thickBot="1">
      <c r="A13" s="93" t="s">
        <v>691</v>
      </c>
      <c r="B13" s="94" t="s">
        <v>690</v>
      </c>
      <c r="C13" s="97" t="s">
        <v>186</v>
      </c>
      <c r="D13" s="96" t="s">
        <v>34</v>
      </c>
      <c r="E13" s="97" t="s">
        <v>33</v>
      </c>
      <c r="F13" s="96" t="s">
        <v>208</v>
      </c>
      <c r="G13" s="97" t="s">
        <v>231</v>
      </c>
      <c r="H13" s="96" t="s">
        <v>15</v>
      </c>
      <c r="I13" s="97" t="s">
        <v>578</v>
      </c>
      <c r="J13" s="96"/>
      <c r="K13" s="143" t="s">
        <v>200</v>
      </c>
      <c r="L13" s="118">
        <v>200</v>
      </c>
      <c r="M13" s="143" t="s">
        <v>187</v>
      </c>
      <c r="N13" s="118" t="s">
        <v>16</v>
      </c>
      <c r="O13" s="143" t="s">
        <v>33</v>
      </c>
    </row>
    <row r="14" spans="1:15" ht="15.75" thickBot="1">
      <c r="A14" s="93" t="s">
        <v>261</v>
      </c>
      <c r="B14" s="94" t="s">
        <v>718</v>
      </c>
      <c r="C14" s="97" t="s">
        <v>262</v>
      </c>
      <c r="D14" s="96" t="s">
        <v>13</v>
      </c>
      <c r="E14" s="97" t="s">
        <v>14</v>
      </c>
      <c r="F14" s="96" t="s">
        <v>209</v>
      </c>
      <c r="G14" s="97" t="s">
        <v>719</v>
      </c>
      <c r="H14" s="96" t="s">
        <v>15</v>
      </c>
      <c r="I14" s="95" t="s">
        <v>720</v>
      </c>
      <c r="J14" s="96"/>
      <c r="K14" s="143" t="s">
        <v>199</v>
      </c>
      <c r="L14" s="118">
        <v>57.6</v>
      </c>
      <c r="M14" s="143" t="s">
        <v>187</v>
      </c>
      <c r="N14" s="118" t="s">
        <v>16</v>
      </c>
      <c r="O14" s="143" t="s">
        <v>14</v>
      </c>
    </row>
    <row r="15" spans="1:15" ht="15.75" thickBot="1">
      <c r="A15" s="93" t="s">
        <v>705</v>
      </c>
      <c r="B15" s="94" t="s">
        <v>706</v>
      </c>
      <c r="C15" s="97" t="s">
        <v>186</v>
      </c>
      <c r="D15" s="96" t="s">
        <v>34</v>
      </c>
      <c r="E15" s="97" t="s">
        <v>33</v>
      </c>
      <c r="F15" s="96" t="s">
        <v>199</v>
      </c>
      <c r="G15" s="97" t="s">
        <v>707</v>
      </c>
      <c r="H15" s="96" t="s">
        <v>15</v>
      </c>
      <c r="I15" s="97" t="s">
        <v>244</v>
      </c>
      <c r="J15" s="96" t="s">
        <v>708</v>
      </c>
      <c r="K15" s="143" t="s">
        <v>199</v>
      </c>
      <c r="L15" s="118">
        <v>27.27</v>
      </c>
      <c r="M15" s="143" t="s">
        <v>187</v>
      </c>
      <c r="N15" s="118" t="s">
        <v>16</v>
      </c>
      <c r="O15" s="143" t="s">
        <v>33</v>
      </c>
    </row>
    <row r="16" spans="1:15" ht="15.75" thickBot="1">
      <c r="A16" s="93" t="s">
        <v>95</v>
      </c>
      <c r="B16" s="94" t="s">
        <v>263</v>
      </c>
      <c r="C16" s="97" t="s">
        <v>96</v>
      </c>
      <c r="D16" s="96" t="s">
        <v>13</v>
      </c>
      <c r="E16" s="97" t="s">
        <v>14</v>
      </c>
      <c r="F16" s="96" t="s">
        <v>199</v>
      </c>
      <c r="G16" s="97" t="s">
        <v>264</v>
      </c>
      <c r="H16" s="96" t="s">
        <v>15</v>
      </c>
      <c r="I16" s="97" t="s">
        <v>556</v>
      </c>
      <c r="J16" s="96" t="s">
        <v>540</v>
      </c>
      <c r="K16" s="143" t="s">
        <v>199</v>
      </c>
      <c r="L16" s="118">
        <v>79.95</v>
      </c>
      <c r="M16" s="143" t="s">
        <v>187</v>
      </c>
      <c r="N16" s="118" t="s">
        <v>16</v>
      </c>
      <c r="O16" s="143" t="s">
        <v>14</v>
      </c>
    </row>
    <row r="17" spans="1:15" ht="15.75" thickBot="1">
      <c r="A17" s="93" t="s">
        <v>683</v>
      </c>
      <c r="B17" s="94" t="s">
        <v>238</v>
      </c>
      <c r="C17" s="97" t="s">
        <v>265</v>
      </c>
      <c r="D17" s="96" t="s">
        <v>13</v>
      </c>
      <c r="E17" s="97" t="s">
        <v>14</v>
      </c>
      <c r="F17" s="96" t="s">
        <v>209</v>
      </c>
      <c r="G17" s="97" t="s">
        <v>266</v>
      </c>
      <c r="H17" s="96" t="s">
        <v>15</v>
      </c>
      <c r="I17" s="97" t="s">
        <v>692</v>
      </c>
      <c r="J17" s="96" t="s">
        <v>684</v>
      </c>
      <c r="K17" s="143" t="s">
        <v>199</v>
      </c>
      <c r="L17" s="118">
        <v>336</v>
      </c>
      <c r="M17" s="143" t="s">
        <v>187</v>
      </c>
      <c r="N17" s="118" t="s">
        <v>16</v>
      </c>
      <c r="O17" s="143" t="s">
        <v>14</v>
      </c>
    </row>
    <row r="18" spans="1:15" ht="15.75" thickBot="1">
      <c r="A18" s="93" t="s">
        <v>267</v>
      </c>
      <c r="B18" s="94" t="s">
        <v>268</v>
      </c>
      <c r="C18" s="97" t="s">
        <v>87</v>
      </c>
      <c r="D18" s="96" t="s">
        <v>13</v>
      </c>
      <c r="E18" s="97" t="s">
        <v>14</v>
      </c>
      <c r="F18" s="96" t="s">
        <v>208</v>
      </c>
      <c r="G18" s="97" t="s">
        <v>103</v>
      </c>
      <c r="H18" s="96" t="s">
        <v>188</v>
      </c>
      <c r="I18" s="97" t="s">
        <v>578</v>
      </c>
      <c r="J18" s="96"/>
      <c r="K18" s="143" t="s">
        <v>200</v>
      </c>
      <c r="L18" s="118">
        <v>9</v>
      </c>
      <c r="M18" s="143" t="s">
        <v>187</v>
      </c>
      <c r="N18" s="118" t="s">
        <v>16</v>
      </c>
      <c r="O18" s="143" t="s">
        <v>14</v>
      </c>
    </row>
    <row r="19" spans="1:15" ht="15.75" thickBot="1">
      <c r="A19" s="93" t="s">
        <v>579</v>
      </c>
      <c r="B19" s="94" t="s">
        <v>580</v>
      </c>
      <c r="C19" s="97" t="s">
        <v>186</v>
      </c>
      <c r="D19" s="96" t="s">
        <v>186</v>
      </c>
      <c r="E19" s="97" t="s">
        <v>33</v>
      </c>
      <c r="F19" s="96" t="s">
        <v>208</v>
      </c>
      <c r="G19" s="97" t="s">
        <v>581</v>
      </c>
      <c r="H19" s="96" t="s">
        <v>15</v>
      </c>
      <c r="I19" s="97" t="s">
        <v>578</v>
      </c>
      <c r="J19" s="96" t="s">
        <v>582</v>
      </c>
      <c r="K19" s="143" t="s">
        <v>200</v>
      </c>
      <c r="L19" s="118">
        <v>118</v>
      </c>
      <c r="M19" s="143" t="s">
        <v>187</v>
      </c>
      <c r="N19" s="118" t="s">
        <v>16</v>
      </c>
      <c r="O19" s="143" t="s">
        <v>33</v>
      </c>
    </row>
    <row r="20" spans="1:15" ht="15.75" thickBot="1">
      <c r="A20" s="93" t="s">
        <v>271</v>
      </c>
      <c r="B20" s="94" t="s">
        <v>228</v>
      </c>
      <c r="C20" s="97" t="s">
        <v>235</v>
      </c>
      <c r="D20" s="96" t="s">
        <v>32</v>
      </c>
      <c r="E20" s="97" t="s">
        <v>33</v>
      </c>
      <c r="F20" s="96" t="s">
        <v>208</v>
      </c>
      <c r="G20" s="97" t="s">
        <v>235</v>
      </c>
      <c r="H20" s="96" t="s">
        <v>15</v>
      </c>
      <c r="I20" s="97" t="s">
        <v>578</v>
      </c>
      <c r="J20" s="96"/>
      <c r="K20" s="143" t="s">
        <v>200</v>
      </c>
      <c r="L20" s="118">
        <v>140</v>
      </c>
      <c r="M20" s="143" t="s">
        <v>187</v>
      </c>
      <c r="N20" s="118" t="s">
        <v>16</v>
      </c>
      <c r="O20" s="143" t="s">
        <v>33</v>
      </c>
    </row>
    <row r="21" spans="1:15" ht="15.75" thickBot="1">
      <c r="A21" s="93" t="s">
        <v>272</v>
      </c>
      <c r="B21" s="94" t="s">
        <v>221</v>
      </c>
      <c r="C21" s="97" t="s">
        <v>104</v>
      </c>
      <c r="D21" s="96" t="s">
        <v>34</v>
      </c>
      <c r="E21" s="97" t="s">
        <v>33</v>
      </c>
      <c r="F21" s="96" t="s">
        <v>208</v>
      </c>
      <c r="G21" s="97" t="s">
        <v>222</v>
      </c>
      <c r="H21" s="96" t="s">
        <v>15</v>
      </c>
      <c r="I21" s="97" t="s">
        <v>578</v>
      </c>
      <c r="J21" s="96" t="s">
        <v>541</v>
      </c>
      <c r="K21" s="143" t="s">
        <v>200</v>
      </c>
      <c r="L21" s="118">
        <v>110</v>
      </c>
      <c r="M21" s="143" t="s">
        <v>187</v>
      </c>
      <c r="N21" s="118" t="s">
        <v>16</v>
      </c>
      <c r="O21" s="143" t="s">
        <v>33</v>
      </c>
    </row>
    <row r="22" spans="1:15" ht="15.75" thickBot="1">
      <c r="A22" s="93" t="s">
        <v>273</v>
      </c>
      <c r="B22" s="94" t="s">
        <v>274</v>
      </c>
      <c r="C22" s="97" t="s">
        <v>275</v>
      </c>
      <c r="D22" s="96" t="s">
        <v>13</v>
      </c>
      <c r="E22" s="97" t="s">
        <v>14</v>
      </c>
      <c r="F22" s="96" t="s">
        <v>208</v>
      </c>
      <c r="G22" s="97" t="s">
        <v>276</v>
      </c>
      <c r="H22" s="96" t="s">
        <v>15</v>
      </c>
      <c r="I22" s="97" t="s">
        <v>277</v>
      </c>
      <c r="J22" s="96" t="s">
        <v>542</v>
      </c>
      <c r="K22" s="143" t="s">
        <v>200</v>
      </c>
      <c r="L22" s="118">
        <v>1100</v>
      </c>
      <c r="M22" s="143" t="s">
        <v>187</v>
      </c>
      <c r="N22" s="118" t="s">
        <v>16</v>
      </c>
      <c r="O22" s="143" t="s">
        <v>14</v>
      </c>
    </row>
    <row r="23" spans="1:15" ht="15.75" thickBot="1">
      <c r="A23" s="93" t="s">
        <v>278</v>
      </c>
      <c r="B23" s="94" t="s">
        <v>278</v>
      </c>
      <c r="C23" s="97" t="s">
        <v>87</v>
      </c>
      <c r="D23" s="96" t="s">
        <v>32</v>
      </c>
      <c r="E23" s="97" t="s">
        <v>33</v>
      </c>
      <c r="F23" s="96" t="s">
        <v>208</v>
      </c>
      <c r="G23" s="97" t="s">
        <v>100</v>
      </c>
      <c r="H23" s="96" t="s">
        <v>188</v>
      </c>
      <c r="I23" s="97" t="s">
        <v>578</v>
      </c>
      <c r="J23" s="96"/>
      <c r="K23" s="143" t="s">
        <v>200</v>
      </c>
      <c r="L23" s="118">
        <v>12</v>
      </c>
      <c r="M23" s="143" t="s">
        <v>187</v>
      </c>
      <c r="N23" s="118" t="s">
        <v>16</v>
      </c>
      <c r="O23" s="143" t="s">
        <v>33</v>
      </c>
    </row>
    <row r="24" spans="1:15" ht="15.75" thickBot="1">
      <c r="A24" s="93" t="s">
        <v>279</v>
      </c>
      <c r="B24" s="94" t="s">
        <v>280</v>
      </c>
      <c r="C24" s="97" t="s">
        <v>281</v>
      </c>
      <c r="D24" s="96" t="s">
        <v>13</v>
      </c>
      <c r="E24" s="97" t="s">
        <v>14</v>
      </c>
      <c r="F24" s="96" t="s">
        <v>208</v>
      </c>
      <c r="G24" s="97" t="s">
        <v>282</v>
      </c>
      <c r="H24" s="96" t="s">
        <v>15</v>
      </c>
      <c r="I24" s="97" t="s">
        <v>578</v>
      </c>
      <c r="J24" s="96"/>
      <c r="K24" s="143" t="s">
        <v>200</v>
      </c>
      <c r="L24" s="118">
        <v>109.2</v>
      </c>
      <c r="M24" s="143" t="s">
        <v>187</v>
      </c>
      <c r="N24" s="118" t="s">
        <v>16</v>
      </c>
      <c r="O24" s="143" t="s">
        <v>14</v>
      </c>
    </row>
    <row r="25" spans="1:15" ht="23.25" thickBot="1">
      <c r="A25" s="93" t="s">
        <v>624</v>
      </c>
      <c r="B25" s="94" t="s">
        <v>693</v>
      </c>
      <c r="C25" s="97" t="s">
        <v>186</v>
      </c>
      <c r="D25" s="96" t="s">
        <v>32</v>
      </c>
      <c r="E25" s="97" t="s">
        <v>33</v>
      </c>
      <c r="F25" s="96" t="s">
        <v>208</v>
      </c>
      <c r="G25" s="97" t="s">
        <v>625</v>
      </c>
      <c r="H25" s="96" t="s">
        <v>15</v>
      </c>
      <c r="I25" s="97"/>
      <c r="J25" s="96" t="s">
        <v>626</v>
      </c>
      <c r="K25" s="143" t="s">
        <v>200</v>
      </c>
      <c r="L25" s="118">
        <v>130</v>
      </c>
      <c r="M25" s="143" t="s">
        <v>187</v>
      </c>
      <c r="N25" s="118" t="s">
        <v>16</v>
      </c>
      <c r="O25" s="143" t="s">
        <v>33</v>
      </c>
    </row>
    <row r="26" spans="1:15" ht="15.75" thickBot="1">
      <c r="A26" s="93" t="s">
        <v>664</v>
      </c>
      <c r="B26" s="94" t="s">
        <v>186</v>
      </c>
      <c r="C26" s="97" t="s">
        <v>227</v>
      </c>
      <c r="D26" s="96" t="s">
        <v>32</v>
      </c>
      <c r="E26" s="97" t="s">
        <v>33</v>
      </c>
      <c r="F26" s="96" t="s">
        <v>208</v>
      </c>
      <c r="G26" s="97" t="s">
        <v>227</v>
      </c>
      <c r="H26" s="96" t="s">
        <v>15</v>
      </c>
      <c r="I26" s="97" t="s">
        <v>578</v>
      </c>
      <c r="J26" s="96" t="s">
        <v>678</v>
      </c>
      <c r="K26" s="143" t="s">
        <v>200</v>
      </c>
      <c r="L26" s="118">
        <v>22</v>
      </c>
      <c r="M26" s="143" t="s">
        <v>187</v>
      </c>
      <c r="N26" s="118" t="s">
        <v>16</v>
      </c>
      <c r="O26" s="143" t="s">
        <v>33</v>
      </c>
    </row>
    <row r="27" spans="1:15" ht="15.75" thickBot="1">
      <c r="A27" s="93" t="s">
        <v>665</v>
      </c>
      <c r="B27" s="94" t="s">
        <v>186</v>
      </c>
      <c r="C27" s="97" t="s">
        <v>87</v>
      </c>
      <c r="D27" s="96" t="s">
        <v>555</v>
      </c>
      <c r="E27" s="97" t="s">
        <v>680</v>
      </c>
      <c r="F27" s="96" t="s">
        <v>208</v>
      </c>
      <c r="G27" s="97" t="s">
        <v>100</v>
      </c>
      <c r="H27" s="96" t="s">
        <v>15</v>
      </c>
      <c r="I27" s="97" t="s">
        <v>578</v>
      </c>
      <c r="J27" s="96" t="s">
        <v>678</v>
      </c>
      <c r="K27" s="143" t="s">
        <v>200</v>
      </c>
      <c r="L27" s="118">
        <v>12</v>
      </c>
      <c r="M27" s="143" t="s">
        <v>187</v>
      </c>
      <c r="N27" s="118" t="s">
        <v>16</v>
      </c>
      <c r="O27" s="143" t="s">
        <v>555</v>
      </c>
    </row>
    <row r="28" spans="1:15" ht="15.75" thickBot="1">
      <c r="A28" s="93" t="s">
        <v>283</v>
      </c>
      <c r="B28" s="94" t="s">
        <v>284</v>
      </c>
      <c r="C28" s="97" t="s">
        <v>285</v>
      </c>
      <c r="D28" s="96" t="s">
        <v>13</v>
      </c>
      <c r="E28" s="97" t="s">
        <v>14</v>
      </c>
      <c r="F28" s="96" t="s">
        <v>208</v>
      </c>
      <c r="G28" s="97" t="s">
        <v>286</v>
      </c>
      <c r="H28" s="96" t="s">
        <v>15</v>
      </c>
      <c r="I28" s="97" t="s">
        <v>578</v>
      </c>
      <c r="J28" s="96" t="s">
        <v>678</v>
      </c>
      <c r="K28" s="143" t="s">
        <v>200</v>
      </c>
      <c r="L28" s="118">
        <v>76.8</v>
      </c>
      <c r="M28" s="143" t="s">
        <v>187</v>
      </c>
      <c r="N28" s="118" t="s">
        <v>16</v>
      </c>
      <c r="O28" s="143" t="s">
        <v>14</v>
      </c>
    </row>
    <row r="29" spans="1:15" ht="15.75" thickBot="1">
      <c r="A29" s="93" t="s">
        <v>287</v>
      </c>
      <c r="B29" s="94" t="s">
        <v>241</v>
      </c>
      <c r="C29" s="97" t="s">
        <v>87</v>
      </c>
      <c r="D29" s="96" t="s">
        <v>32</v>
      </c>
      <c r="E29" s="97" t="s">
        <v>33</v>
      </c>
      <c r="F29" s="96" t="s">
        <v>208</v>
      </c>
      <c r="G29" s="97" t="s">
        <v>218</v>
      </c>
      <c r="H29" s="96" t="s">
        <v>15</v>
      </c>
      <c r="I29" s="97" t="s">
        <v>578</v>
      </c>
      <c r="J29" s="96"/>
      <c r="K29" s="143" t="s">
        <v>200</v>
      </c>
      <c r="L29" s="118">
        <v>90</v>
      </c>
      <c r="M29" s="143" t="s">
        <v>187</v>
      </c>
      <c r="N29" s="118" t="s">
        <v>16</v>
      </c>
      <c r="O29" s="143" t="s">
        <v>33</v>
      </c>
    </row>
    <row r="30" spans="1:15" ht="15.75" thickBot="1">
      <c r="A30" s="93" t="s">
        <v>288</v>
      </c>
      <c r="B30" s="94" t="s">
        <v>221</v>
      </c>
      <c r="C30" s="97" t="s">
        <v>104</v>
      </c>
      <c r="D30" s="96" t="s">
        <v>34</v>
      </c>
      <c r="E30" s="97" t="s">
        <v>33</v>
      </c>
      <c r="F30" s="96" t="s">
        <v>209</v>
      </c>
      <c r="G30" s="97" t="s">
        <v>218</v>
      </c>
      <c r="H30" s="96" t="s">
        <v>15</v>
      </c>
      <c r="I30" s="97" t="s">
        <v>554</v>
      </c>
      <c r="J30" s="96"/>
      <c r="K30" s="143" t="s">
        <v>199</v>
      </c>
      <c r="L30" s="118">
        <v>90</v>
      </c>
      <c r="M30" s="143" t="s">
        <v>187</v>
      </c>
      <c r="N30" s="118" t="s">
        <v>16</v>
      </c>
      <c r="O30" s="143" t="s">
        <v>33</v>
      </c>
    </row>
    <row r="31" spans="1:15" ht="15.75" thickBot="1">
      <c r="A31" s="93" t="s">
        <v>289</v>
      </c>
      <c r="B31" s="94" t="s">
        <v>234</v>
      </c>
      <c r="C31" s="97" t="s">
        <v>87</v>
      </c>
      <c r="D31" s="96" t="s">
        <v>32</v>
      </c>
      <c r="E31" s="97" t="s">
        <v>33</v>
      </c>
      <c r="F31" s="96" t="s">
        <v>208</v>
      </c>
      <c r="G31" s="97" t="s">
        <v>290</v>
      </c>
      <c r="H31" s="96" t="s">
        <v>15</v>
      </c>
      <c r="I31" s="97" t="s">
        <v>578</v>
      </c>
      <c r="J31" s="96" t="s">
        <v>543</v>
      </c>
      <c r="K31" s="143" t="s">
        <v>200</v>
      </c>
      <c r="L31" s="118">
        <v>37.1</v>
      </c>
      <c r="M31" s="143" t="s">
        <v>187</v>
      </c>
      <c r="N31" s="118" t="s">
        <v>16</v>
      </c>
      <c r="O31" s="143" t="s">
        <v>33</v>
      </c>
    </row>
    <row r="32" spans="1:15" ht="15.75" thickBot="1">
      <c r="A32" s="93" t="s">
        <v>627</v>
      </c>
      <c r="B32" s="94" t="s">
        <v>291</v>
      </c>
      <c r="C32" s="97" t="s">
        <v>292</v>
      </c>
      <c r="D32" s="96" t="s">
        <v>34</v>
      </c>
      <c r="E32" s="97" t="s">
        <v>33</v>
      </c>
      <c r="F32" s="96" t="s">
        <v>209</v>
      </c>
      <c r="G32" s="97" t="s">
        <v>231</v>
      </c>
      <c r="H32" s="96" t="s">
        <v>15</v>
      </c>
      <c r="I32" s="97" t="s">
        <v>556</v>
      </c>
      <c r="J32" s="96"/>
      <c r="K32" s="143" t="s">
        <v>199</v>
      </c>
      <c r="L32" s="118">
        <v>200</v>
      </c>
      <c r="M32" s="143" t="s">
        <v>187</v>
      </c>
      <c r="N32" s="118" t="s">
        <v>16</v>
      </c>
      <c r="O32" s="143" t="s">
        <v>33</v>
      </c>
    </row>
    <row r="33" spans="1:15" ht="15.75" thickBot="1">
      <c r="A33" s="93" t="s">
        <v>628</v>
      </c>
      <c r="B33" s="94" t="s">
        <v>291</v>
      </c>
      <c r="C33" s="97" t="s">
        <v>629</v>
      </c>
      <c r="D33" s="96" t="s">
        <v>34</v>
      </c>
      <c r="E33" s="97" t="s">
        <v>33</v>
      </c>
      <c r="F33" s="96" t="s">
        <v>208</v>
      </c>
      <c r="G33" s="97" t="s">
        <v>630</v>
      </c>
      <c r="H33" s="96" t="s">
        <v>15</v>
      </c>
      <c r="I33" s="97" t="s">
        <v>578</v>
      </c>
      <c r="J33" s="96"/>
      <c r="K33" s="143" t="s">
        <v>200</v>
      </c>
      <c r="L33" s="118">
        <v>150</v>
      </c>
      <c r="M33" s="143" t="s">
        <v>187</v>
      </c>
      <c r="N33" s="118" t="s">
        <v>16</v>
      </c>
      <c r="O33" s="143" t="s">
        <v>33</v>
      </c>
    </row>
    <row r="34" spans="1:15" ht="15.75" thickBot="1">
      <c r="A34" s="93" t="s">
        <v>293</v>
      </c>
      <c r="B34" s="94" t="s">
        <v>655</v>
      </c>
      <c r="C34" s="97" t="s">
        <v>294</v>
      </c>
      <c r="D34" s="96" t="s">
        <v>13</v>
      </c>
      <c r="E34" s="97" t="s">
        <v>14</v>
      </c>
      <c r="F34" s="96" t="s">
        <v>209</v>
      </c>
      <c r="G34" s="97" t="s">
        <v>672</v>
      </c>
      <c r="H34" s="96" t="s">
        <v>15</v>
      </c>
      <c r="I34" s="97" t="s">
        <v>243</v>
      </c>
      <c r="J34" s="96"/>
      <c r="K34" s="143" t="s">
        <v>199</v>
      </c>
      <c r="L34" s="118">
        <v>83.6</v>
      </c>
      <c r="M34" s="143" t="s">
        <v>187</v>
      </c>
      <c r="N34" s="118" t="s">
        <v>16</v>
      </c>
      <c r="O34" s="143" t="s">
        <v>14</v>
      </c>
    </row>
    <row r="35" spans="1:15" ht="15.75" thickBot="1">
      <c r="A35" s="93" t="s">
        <v>295</v>
      </c>
      <c r="B35" s="94" t="s">
        <v>655</v>
      </c>
      <c r="C35" s="97" t="s">
        <v>296</v>
      </c>
      <c r="D35" s="96" t="s">
        <v>13</v>
      </c>
      <c r="E35" s="97" t="s">
        <v>14</v>
      </c>
      <c r="F35" s="96" t="s">
        <v>209</v>
      </c>
      <c r="G35" s="97" t="s">
        <v>656</v>
      </c>
      <c r="H35" s="96" t="s">
        <v>15</v>
      </c>
      <c r="I35" s="97" t="s">
        <v>327</v>
      </c>
      <c r="J35" s="96" t="s">
        <v>657</v>
      </c>
      <c r="K35" s="143" t="s">
        <v>199</v>
      </c>
      <c r="L35" s="118">
        <v>144.4</v>
      </c>
      <c r="M35" s="143" t="s">
        <v>187</v>
      </c>
      <c r="N35" s="118" t="s">
        <v>16</v>
      </c>
      <c r="O35" s="143" t="s">
        <v>14</v>
      </c>
    </row>
    <row r="36" spans="1:15" ht="15.75" thickBot="1">
      <c r="A36" s="93" t="s">
        <v>583</v>
      </c>
      <c r="B36" s="94" t="s">
        <v>597</v>
      </c>
      <c r="C36" s="97" t="s">
        <v>186</v>
      </c>
      <c r="D36" s="96" t="s">
        <v>27</v>
      </c>
      <c r="E36" s="97" t="s">
        <v>598</v>
      </c>
      <c r="F36" s="96" t="s">
        <v>566</v>
      </c>
      <c r="G36" s="97" t="s">
        <v>584</v>
      </c>
      <c r="H36" s="96" t="s">
        <v>9</v>
      </c>
      <c r="I36" s="97" t="s">
        <v>599</v>
      </c>
      <c r="J36" s="96"/>
      <c r="K36" s="143" t="s">
        <v>566</v>
      </c>
      <c r="L36" s="118">
        <v>80</v>
      </c>
      <c r="M36" s="143" t="s">
        <v>187</v>
      </c>
      <c r="N36" s="118" t="s">
        <v>16</v>
      </c>
      <c r="O36" s="143" t="s">
        <v>193</v>
      </c>
    </row>
    <row r="37" spans="1:15" ht="15.75" thickBot="1">
      <c r="A37" s="93" t="s">
        <v>532</v>
      </c>
      <c r="B37" s="94" t="s">
        <v>533</v>
      </c>
      <c r="C37" s="97" t="s">
        <v>87</v>
      </c>
      <c r="D37" s="96" t="s">
        <v>32</v>
      </c>
      <c r="E37" s="97" t="s">
        <v>33</v>
      </c>
      <c r="F37" s="96" t="s">
        <v>208</v>
      </c>
      <c r="G37" s="97" t="s">
        <v>225</v>
      </c>
      <c r="H37" s="96" t="s">
        <v>15</v>
      </c>
      <c r="I37" s="97" t="s">
        <v>578</v>
      </c>
      <c r="J37" s="96"/>
      <c r="K37" s="143" t="s">
        <v>200</v>
      </c>
      <c r="L37" s="118">
        <v>250</v>
      </c>
      <c r="M37" s="143" t="s">
        <v>187</v>
      </c>
      <c r="N37" s="118" t="s">
        <v>16</v>
      </c>
      <c r="O37" s="143" t="s">
        <v>33</v>
      </c>
    </row>
    <row r="38" spans="1:15" ht="15.75" thickBot="1">
      <c r="A38" s="93" t="s">
        <v>297</v>
      </c>
      <c r="B38" s="94" t="s">
        <v>298</v>
      </c>
      <c r="C38" s="97" t="s">
        <v>299</v>
      </c>
      <c r="D38" s="96" t="s">
        <v>34</v>
      </c>
      <c r="E38" s="97" t="s">
        <v>33</v>
      </c>
      <c r="F38" s="96" t="s">
        <v>208</v>
      </c>
      <c r="G38" s="97" t="s">
        <v>300</v>
      </c>
      <c r="H38" s="96" t="s">
        <v>15</v>
      </c>
      <c r="I38" s="97" t="s">
        <v>578</v>
      </c>
      <c r="J38" s="96"/>
      <c r="K38" s="143" t="s">
        <v>200</v>
      </c>
      <c r="L38" s="118">
        <v>9.6</v>
      </c>
      <c r="M38" s="143" t="s">
        <v>187</v>
      </c>
      <c r="N38" s="118" t="s">
        <v>16</v>
      </c>
      <c r="O38" s="143" t="s">
        <v>33</v>
      </c>
    </row>
    <row r="39" spans="1:15" ht="15.75" thickBot="1">
      <c r="A39" s="93" t="s">
        <v>301</v>
      </c>
      <c r="B39" s="94" t="s">
        <v>302</v>
      </c>
      <c r="C39" s="97" t="s">
        <v>87</v>
      </c>
      <c r="D39" s="96" t="s">
        <v>32</v>
      </c>
      <c r="E39" s="97" t="s">
        <v>33</v>
      </c>
      <c r="F39" s="96" t="s">
        <v>208</v>
      </c>
      <c r="G39" s="97" t="s">
        <v>217</v>
      </c>
      <c r="H39" s="96" t="s">
        <v>15</v>
      </c>
      <c r="I39" s="97" t="s">
        <v>578</v>
      </c>
      <c r="J39" s="96"/>
      <c r="K39" s="143" t="s">
        <v>200</v>
      </c>
      <c r="L39" s="118">
        <v>40</v>
      </c>
      <c r="M39" s="143" t="s">
        <v>187</v>
      </c>
      <c r="N39" s="118" t="s">
        <v>16</v>
      </c>
      <c r="O39" s="143" t="s">
        <v>33</v>
      </c>
    </row>
    <row r="40" spans="1:15" ht="15.75" thickBot="1">
      <c r="A40" s="93" t="s">
        <v>303</v>
      </c>
      <c r="B40" s="94" t="s">
        <v>233</v>
      </c>
      <c r="C40" s="97" t="s">
        <v>304</v>
      </c>
      <c r="D40" s="96" t="s">
        <v>13</v>
      </c>
      <c r="E40" s="97" t="s">
        <v>14</v>
      </c>
      <c r="F40" s="96" t="s">
        <v>199</v>
      </c>
      <c r="G40" s="97" t="s">
        <v>305</v>
      </c>
      <c r="H40" s="96" t="s">
        <v>15</v>
      </c>
      <c r="I40" s="97" t="s">
        <v>670</v>
      </c>
      <c r="J40" s="96" t="s">
        <v>660</v>
      </c>
      <c r="K40" s="143" t="s">
        <v>199</v>
      </c>
      <c r="L40" s="118">
        <v>320</v>
      </c>
      <c r="M40" s="143" t="s">
        <v>187</v>
      </c>
      <c r="N40" s="118" t="s">
        <v>16</v>
      </c>
      <c r="O40" s="143" t="s">
        <v>14</v>
      </c>
    </row>
    <row r="41" spans="1:15" ht="15.75" thickBot="1">
      <c r="A41" s="93" t="s">
        <v>306</v>
      </c>
      <c r="B41" s="94" t="s">
        <v>229</v>
      </c>
      <c r="C41" s="97" t="s">
        <v>307</v>
      </c>
      <c r="D41" s="96" t="s">
        <v>186</v>
      </c>
      <c r="E41" s="97" t="s">
        <v>186</v>
      </c>
      <c r="F41" s="96" t="s">
        <v>208</v>
      </c>
      <c r="G41" s="97" t="s">
        <v>308</v>
      </c>
      <c r="H41" s="96" t="s">
        <v>9</v>
      </c>
      <c r="I41" s="97" t="s">
        <v>578</v>
      </c>
      <c r="J41" s="96"/>
      <c r="K41" s="143" t="s">
        <v>200</v>
      </c>
      <c r="L41" s="118">
        <v>165</v>
      </c>
      <c r="M41" s="143" t="s">
        <v>187</v>
      </c>
      <c r="N41" s="118" t="s">
        <v>16</v>
      </c>
      <c r="O41" s="143" t="s">
        <v>20</v>
      </c>
    </row>
    <row r="42" spans="1:15" ht="15.75" thickBot="1">
      <c r="A42" s="93" t="s">
        <v>309</v>
      </c>
      <c r="B42" s="94" t="s">
        <v>256</v>
      </c>
      <c r="C42" s="97" t="s">
        <v>246</v>
      </c>
      <c r="D42" s="96" t="s">
        <v>13</v>
      </c>
      <c r="E42" s="97" t="s">
        <v>14</v>
      </c>
      <c r="F42" s="96" t="s">
        <v>687</v>
      </c>
      <c r="G42" s="97" t="s">
        <v>310</v>
      </c>
      <c r="H42" s="96" t="s">
        <v>15</v>
      </c>
      <c r="I42" s="97" t="s">
        <v>578</v>
      </c>
      <c r="J42" s="96" t="s">
        <v>702</v>
      </c>
      <c r="K42" s="143" t="s">
        <v>200</v>
      </c>
      <c r="L42" s="118">
        <v>157.5</v>
      </c>
      <c r="M42" s="143" t="s">
        <v>187</v>
      </c>
      <c r="N42" s="118" t="s">
        <v>16</v>
      </c>
      <c r="O42" s="143" t="s">
        <v>14</v>
      </c>
    </row>
    <row r="43" spans="1:15" ht="15.75" thickBot="1">
      <c r="A43" s="93" t="s">
        <v>311</v>
      </c>
      <c r="B43" s="94" t="s">
        <v>312</v>
      </c>
      <c r="C43" s="97" t="s">
        <v>223</v>
      </c>
      <c r="D43" s="96" t="s">
        <v>13</v>
      </c>
      <c r="E43" s="97" t="s">
        <v>14</v>
      </c>
      <c r="F43" s="96" t="s">
        <v>208</v>
      </c>
      <c r="G43" s="97" t="s">
        <v>220</v>
      </c>
      <c r="H43" s="96" t="s">
        <v>15</v>
      </c>
      <c r="I43" s="97" t="s">
        <v>578</v>
      </c>
      <c r="J43" s="96" t="s">
        <v>544</v>
      </c>
      <c r="K43" s="143" t="s">
        <v>200</v>
      </c>
      <c r="L43" s="118">
        <v>300</v>
      </c>
      <c r="M43" s="143" t="s">
        <v>187</v>
      </c>
      <c r="N43" s="118" t="s">
        <v>16</v>
      </c>
      <c r="O43" s="143" t="s">
        <v>14</v>
      </c>
    </row>
    <row r="44" spans="1:15" ht="15.75" thickBot="1">
      <c r="A44" s="93" t="s">
        <v>101</v>
      </c>
      <c r="B44" s="94" t="s">
        <v>256</v>
      </c>
      <c r="C44" s="97" t="s">
        <v>313</v>
      </c>
      <c r="D44" s="96" t="s">
        <v>13</v>
      </c>
      <c r="E44" s="97" t="s">
        <v>14</v>
      </c>
      <c r="F44" s="96" t="s">
        <v>199</v>
      </c>
      <c r="G44" s="97" t="s">
        <v>314</v>
      </c>
      <c r="H44" s="96" t="s">
        <v>15</v>
      </c>
      <c r="I44" s="97" t="s">
        <v>557</v>
      </c>
      <c r="J44" s="96"/>
      <c r="K44" s="143" t="s">
        <v>199</v>
      </c>
      <c r="L44" s="118">
        <v>132</v>
      </c>
      <c r="M44" s="143" t="s">
        <v>187</v>
      </c>
      <c r="N44" s="118" t="s">
        <v>16</v>
      </c>
      <c r="O44" s="143" t="s">
        <v>14</v>
      </c>
    </row>
    <row r="45" spans="1:15" ht="15.75" thickBot="1">
      <c r="A45" s="93" t="s">
        <v>315</v>
      </c>
      <c r="B45" s="94" t="s">
        <v>216</v>
      </c>
      <c r="C45" s="97" t="s">
        <v>87</v>
      </c>
      <c r="D45" s="96" t="s">
        <v>32</v>
      </c>
      <c r="E45" s="97" t="s">
        <v>33</v>
      </c>
      <c r="F45" s="96" t="s">
        <v>208</v>
      </c>
      <c r="G45" s="97" t="s">
        <v>231</v>
      </c>
      <c r="H45" s="96" t="s">
        <v>15</v>
      </c>
      <c r="I45" s="97" t="s">
        <v>578</v>
      </c>
      <c r="J45" s="96"/>
      <c r="K45" s="143" t="s">
        <v>200</v>
      </c>
      <c r="L45" s="118">
        <v>200</v>
      </c>
      <c r="M45" s="143" t="s">
        <v>187</v>
      </c>
      <c r="N45" s="118" t="s">
        <v>16</v>
      </c>
      <c r="O45" s="143" t="s">
        <v>33</v>
      </c>
    </row>
    <row r="46" spans="1:15" ht="15.75" thickBot="1">
      <c r="A46" s="93" t="s">
        <v>316</v>
      </c>
      <c r="B46" s="94" t="s">
        <v>317</v>
      </c>
      <c r="C46" s="97" t="s">
        <v>318</v>
      </c>
      <c r="D46" s="96" t="s">
        <v>13</v>
      </c>
      <c r="E46" s="97" t="s">
        <v>14</v>
      </c>
      <c r="F46" s="96" t="s">
        <v>199</v>
      </c>
      <c r="G46" s="97" t="s">
        <v>319</v>
      </c>
      <c r="H46" s="96" t="s">
        <v>15</v>
      </c>
      <c r="I46" s="97" t="s">
        <v>556</v>
      </c>
      <c r="J46" s="96" t="s">
        <v>545</v>
      </c>
      <c r="K46" s="143" t="s">
        <v>199</v>
      </c>
      <c r="L46" s="118">
        <v>225.7</v>
      </c>
      <c r="M46" s="143" t="s">
        <v>187</v>
      </c>
      <c r="N46" s="118" t="s">
        <v>16</v>
      </c>
      <c r="O46" s="143" t="s">
        <v>14</v>
      </c>
    </row>
    <row r="47" spans="1:15" ht="15.75" thickBot="1">
      <c r="A47" s="93" t="s">
        <v>320</v>
      </c>
      <c r="B47" s="94" t="s">
        <v>317</v>
      </c>
      <c r="C47" s="97" t="s">
        <v>321</v>
      </c>
      <c r="D47" s="96" t="s">
        <v>13</v>
      </c>
      <c r="E47" s="97" t="s">
        <v>14</v>
      </c>
      <c r="F47" s="96" t="s">
        <v>687</v>
      </c>
      <c r="G47" s="97" t="s">
        <v>710</v>
      </c>
      <c r="H47" s="96" t="s">
        <v>15</v>
      </c>
      <c r="I47" s="97" t="s">
        <v>578</v>
      </c>
      <c r="J47" s="96" t="s">
        <v>711</v>
      </c>
      <c r="K47" s="143" t="s">
        <v>200</v>
      </c>
      <c r="L47" s="118">
        <v>209</v>
      </c>
      <c r="M47" s="143" t="s">
        <v>187</v>
      </c>
      <c r="N47" s="118" t="s">
        <v>16</v>
      </c>
      <c r="O47" s="143" t="s">
        <v>14</v>
      </c>
    </row>
    <row r="48" spans="1:15" ht="15.75" thickBot="1">
      <c r="A48" s="93" t="s">
        <v>585</v>
      </c>
      <c r="B48" s="94" t="s">
        <v>586</v>
      </c>
      <c r="C48" s="97" t="s">
        <v>186</v>
      </c>
      <c r="D48" s="96" t="s">
        <v>32</v>
      </c>
      <c r="E48" s="97" t="s">
        <v>33</v>
      </c>
      <c r="F48" s="96" t="s">
        <v>208</v>
      </c>
      <c r="G48" s="97" t="s">
        <v>587</v>
      </c>
      <c r="H48" s="96" t="s">
        <v>15</v>
      </c>
      <c r="I48" s="97" t="s">
        <v>578</v>
      </c>
      <c r="J48" s="96" t="s">
        <v>588</v>
      </c>
      <c r="K48" s="143" t="s">
        <v>200</v>
      </c>
      <c r="L48" s="118">
        <v>60</v>
      </c>
      <c r="M48" s="143" t="s">
        <v>187</v>
      </c>
      <c r="N48" s="118" t="s">
        <v>16</v>
      </c>
      <c r="O48" s="143" t="s">
        <v>33</v>
      </c>
    </row>
    <row r="49" spans="1:15" ht="15.75" thickBot="1">
      <c r="A49" s="93" t="s">
        <v>322</v>
      </c>
      <c r="B49" s="94" t="s">
        <v>226</v>
      </c>
      <c r="C49" s="97" t="s">
        <v>99</v>
      </c>
      <c r="D49" s="96" t="s">
        <v>13</v>
      </c>
      <c r="E49" s="97" t="s">
        <v>14</v>
      </c>
      <c r="F49" s="96" t="s">
        <v>208</v>
      </c>
      <c r="G49" s="97" t="s">
        <v>212</v>
      </c>
      <c r="H49" s="96" t="s">
        <v>15</v>
      </c>
      <c r="I49" s="97" t="s">
        <v>323</v>
      </c>
      <c r="J49" s="96" t="s">
        <v>546</v>
      </c>
      <c r="K49" s="143" t="s">
        <v>200</v>
      </c>
      <c r="L49" s="118">
        <v>50</v>
      </c>
      <c r="M49" s="143" t="s">
        <v>187</v>
      </c>
      <c r="N49" s="118" t="s">
        <v>16</v>
      </c>
      <c r="O49" s="143" t="s">
        <v>14</v>
      </c>
    </row>
    <row r="50" spans="1:15" ht="15.75" thickBot="1">
      <c r="A50" s="93" t="s">
        <v>324</v>
      </c>
      <c r="B50" s="94" t="s">
        <v>325</v>
      </c>
      <c r="C50" s="97" t="s">
        <v>88</v>
      </c>
      <c r="D50" s="96" t="s">
        <v>13</v>
      </c>
      <c r="E50" s="97" t="s">
        <v>14</v>
      </c>
      <c r="F50" s="96" t="s">
        <v>210</v>
      </c>
      <c r="G50" s="97" t="s">
        <v>326</v>
      </c>
      <c r="H50" s="96" t="s">
        <v>188</v>
      </c>
      <c r="I50" s="97" t="s">
        <v>327</v>
      </c>
      <c r="J50" s="96" t="s">
        <v>547</v>
      </c>
      <c r="K50" s="143" t="s">
        <v>200</v>
      </c>
      <c r="L50" s="118">
        <v>7.2</v>
      </c>
      <c r="M50" s="143" t="s">
        <v>187</v>
      </c>
      <c r="N50" s="118" t="s">
        <v>16</v>
      </c>
      <c r="O50" s="143" t="s">
        <v>14</v>
      </c>
    </row>
    <row r="51" spans="1:15" ht="15.75" thickBot="1">
      <c r="A51" s="93" t="s">
        <v>639</v>
      </c>
      <c r="B51" s="94" t="s">
        <v>236</v>
      </c>
      <c r="C51" s="97" t="s">
        <v>104</v>
      </c>
      <c r="D51" s="96" t="s">
        <v>34</v>
      </c>
      <c r="E51" s="97" t="s">
        <v>33</v>
      </c>
      <c r="F51" s="96" t="s">
        <v>208</v>
      </c>
      <c r="G51" s="97" t="s">
        <v>225</v>
      </c>
      <c r="H51" s="96" t="s">
        <v>15</v>
      </c>
      <c r="I51" s="97" t="s">
        <v>578</v>
      </c>
      <c r="J51" s="96"/>
      <c r="K51" s="143" t="s">
        <v>200</v>
      </c>
      <c r="L51" s="118">
        <v>250</v>
      </c>
      <c r="M51" s="143" t="s">
        <v>187</v>
      </c>
      <c r="N51" s="118" t="s">
        <v>16</v>
      </c>
      <c r="O51" s="143" t="s">
        <v>33</v>
      </c>
    </row>
    <row r="52" spans="1:15" ht="15.75" thickBot="1">
      <c r="A52" s="93" t="s">
        <v>640</v>
      </c>
      <c r="B52" s="94" t="s">
        <v>236</v>
      </c>
      <c r="C52" s="97" t="s">
        <v>186</v>
      </c>
      <c r="D52" s="96" t="s">
        <v>555</v>
      </c>
      <c r="E52" s="97" t="s">
        <v>680</v>
      </c>
      <c r="F52" s="96" t="s">
        <v>208</v>
      </c>
      <c r="G52" s="97" t="s">
        <v>641</v>
      </c>
      <c r="H52" s="96" t="s">
        <v>9</v>
      </c>
      <c r="I52" s="97"/>
      <c r="J52" s="96" t="s">
        <v>642</v>
      </c>
      <c r="K52" s="143" t="s">
        <v>200</v>
      </c>
      <c r="L52" s="118">
        <v>80</v>
      </c>
      <c r="M52" s="143" t="s">
        <v>187</v>
      </c>
      <c r="N52" s="118" t="s">
        <v>16</v>
      </c>
      <c r="O52" s="143" t="s">
        <v>555</v>
      </c>
    </row>
    <row r="53" spans="1:15" ht="15.75" thickBot="1">
      <c r="A53" s="93" t="s">
        <v>663</v>
      </c>
      <c r="B53" s="94" t="s">
        <v>213</v>
      </c>
      <c r="C53" s="97" t="s">
        <v>104</v>
      </c>
      <c r="D53" s="96" t="s">
        <v>32</v>
      </c>
      <c r="E53" s="97" t="s">
        <v>33</v>
      </c>
      <c r="F53" s="96" t="s">
        <v>199</v>
      </c>
      <c r="G53" s="97" t="s">
        <v>211</v>
      </c>
      <c r="H53" s="96" t="s">
        <v>15</v>
      </c>
      <c r="I53" s="97" t="s">
        <v>328</v>
      </c>
      <c r="J53" s="96" t="s">
        <v>661</v>
      </c>
      <c r="K53" s="143" t="s">
        <v>199</v>
      </c>
      <c r="L53" s="118">
        <v>100</v>
      </c>
      <c r="M53" s="143" t="s">
        <v>187</v>
      </c>
      <c r="N53" s="118" t="s">
        <v>16</v>
      </c>
      <c r="O53" s="143" t="s">
        <v>33</v>
      </c>
    </row>
    <row r="54" spans="1:15" ht="15.75" thickBot="1">
      <c r="A54" s="93" t="s">
        <v>329</v>
      </c>
      <c r="B54" s="94" t="s">
        <v>241</v>
      </c>
      <c r="C54" s="97" t="s">
        <v>87</v>
      </c>
      <c r="D54" s="96" t="s">
        <v>32</v>
      </c>
      <c r="E54" s="97" t="s">
        <v>33</v>
      </c>
      <c r="F54" s="96" t="s">
        <v>208</v>
      </c>
      <c r="G54" s="97" t="s">
        <v>102</v>
      </c>
      <c r="H54" s="96" t="s">
        <v>188</v>
      </c>
      <c r="I54" s="97" t="s">
        <v>578</v>
      </c>
      <c r="J54" s="96"/>
      <c r="K54" s="143" t="s">
        <v>200</v>
      </c>
      <c r="L54" s="118">
        <v>10</v>
      </c>
      <c r="M54" s="143" t="s">
        <v>187</v>
      </c>
      <c r="N54" s="118" t="s">
        <v>16</v>
      </c>
      <c r="O54" s="143" t="s">
        <v>33</v>
      </c>
    </row>
    <row r="55" spans="1:15" ht="15.75" thickBot="1">
      <c r="A55" s="93" t="s">
        <v>330</v>
      </c>
      <c r="B55" s="94" t="s">
        <v>216</v>
      </c>
      <c r="C55" s="97" t="s">
        <v>331</v>
      </c>
      <c r="D55" s="96" t="s">
        <v>13</v>
      </c>
      <c r="E55" s="97" t="s">
        <v>14</v>
      </c>
      <c r="F55" s="96" t="s">
        <v>208</v>
      </c>
      <c r="G55" s="97" t="s">
        <v>332</v>
      </c>
      <c r="H55" s="96" t="s">
        <v>15</v>
      </c>
      <c r="I55" s="97" t="s">
        <v>578</v>
      </c>
      <c r="J55" s="96"/>
      <c r="K55" s="143" t="s">
        <v>200</v>
      </c>
      <c r="L55" s="118">
        <v>198</v>
      </c>
      <c r="M55" s="143" t="s">
        <v>187</v>
      </c>
      <c r="N55" s="118" t="s">
        <v>16</v>
      </c>
      <c r="O55" s="143" t="s">
        <v>14</v>
      </c>
    </row>
    <row r="56" spans="1:15" ht="15.75" thickBot="1">
      <c r="A56" s="93" t="s">
        <v>333</v>
      </c>
      <c r="B56" s="94" t="s">
        <v>334</v>
      </c>
      <c r="C56" s="97" t="s">
        <v>87</v>
      </c>
      <c r="D56" s="96" t="s">
        <v>335</v>
      </c>
      <c r="E56" s="97" t="s">
        <v>24</v>
      </c>
      <c r="F56" s="96" t="s">
        <v>208</v>
      </c>
      <c r="G56" s="97" t="s">
        <v>336</v>
      </c>
      <c r="H56" s="96" t="s">
        <v>188</v>
      </c>
      <c r="I56" s="97" t="s">
        <v>578</v>
      </c>
      <c r="J56" s="96"/>
      <c r="K56" s="143" t="s">
        <v>200</v>
      </c>
      <c r="L56" s="118">
        <v>34</v>
      </c>
      <c r="M56" s="143" t="s">
        <v>187</v>
      </c>
      <c r="N56" s="118" t="s">
        <v>16</v>
      </c>
      <c r="O56" s="143" t="s">
        <v>24</v>
      </c>
    </row>
    <row r="57" spans="1:15" ht="15.75" thickBot="1">
      <c r="A57" s="93" t="s">
        <v>337</v>
      </c>
      <c r="B57" s="94" t="s">
        <v>245</v>
      </c>
      <c r="C57" s="97" t="s">
        <v>91</v>
      </c>
      <c r="D57" s="96" t="s">
        <v>34</v>
      </c>
      <c r="E57" s="97" t="s">
        <v>33</v>
      </c>
      <c r="F57" s="96" t="s">
        <v>208</v>
      </c>
      <c r="G57" s="97" t="s">
        <v>338</v>
      </c>
      <c r="H57" s="96" t="s">
        <v>15</v>
      </c>
      <c r="I57" s="97" t="s">
        <v>237</v>
      </c>
      <c r="J57" s="96" t="s">
        <v>561</v>
      </c>
      <c r="K57" s="143" t="s">
        <v>200</v>
      </c>
      <c r="L57" s="118">
        <v>250</v>
      </c>
      <c r="M57" s="143" t="s">
        <v>187</v>
      </c>
      <c r="N57" s="118" t="s">
        <v>16</v>
      </c>
      <c r="O57" s="143" t="s">
        <v>33</v>
      </c>
    </row>
    <row r="58" spans="1:15" ht="15.75" thickBot="1">
      <c r="A58" s="93" t="s">
        <v>589</v>
      </c>
      <c r="B58" s="94" t="s">
        <v>590</v>
      </c>
      <c r="C58" s="97" t="s">
        <v>186</v>
      </c>
      <c r="D58" s="96" t="s">
        <v>186</v>
      </c>
      <c r="E58" s="97" t="s">
        <v>14</v>
      </c>
      <c r="F58" s="96" t="s">
        <v>208</v>
      </c>
      <c r="G58" s="97" t="s">
        <v>217</v>
      </c>
      <c r="H58" s="96" t="s">
        <v>15</v>
      </c>
      <c r="I58" s="97" t="s">
        <v>578</v>
      </c>
      <c r="J58" s="96" t="s">
        <v>591</v>
      </c>
      <c r="K58" s="143" t="s">
        <v>200</v>
      </c>
      <c r="L58" s="118">
        <v>40</v>
      </c>
      <c r="M58" s="143" t="s">
        <v>187</v>
      </c>
      <c r="N58" s="118" t="s">
        <v>16</v>
      </c>
      <c r="O58" s="143" t="s">
        <v>14</v>
      </c>
    </row>
    <row r="59" spans="1:15" ht="15.75" thickBot="1">
      <c r="A59" s="93" t="s">
        <v>339</v>
      </c>
      <c r="B59" s="94" t="s">
        <v>280</v>
      </c>
      <c r="C59" s="97" t="s">
        <v>340</v>
      </c>
      <c r="D59" s="96" t="s">
        <v>13</v>
      </c>
      <c r="E59" s="97" t="s">
        <v>14</v>
      </c>
      <c r="F59" s="96" t="s">
        <v>208</v>
      </c>
      <c r="G59" s="97" t="s">
        <v>341</v>
      </c>
      <c r="H59" s="96" t="s">
        <v>15</v>
      </c>
      <c r="I59" s="97" t="s">
        <v>578</v>
      </c>
      <c r="J59" s="96"/>
      <c r="K59" s="143" t="s">
        <v>200</v>
      </c>
      <c r="L59" s="118">
        <v>235.2</v>
      </c>
      <c r="M59" s="143" t="s">
        <v>187</v>
      </c>
      <c r="N59" s="118" t="s">
        <v>16</v>
      </c>
      <c r="O59" s="143" t="s">
        <v>14</v>
      </c>
    </row>
    <row r="60" spans="1:15" ht="15.75" thickBot="1">
      <c r="A60" s="93" t="s">
        <v>342</v>
      </c>
      <c r="B60" s="94" t="s">
        <v>213</v>
      </c>
      <c r="C60" s="97" t="s">
        <v>104</v>
      </c>
      <c r="D60" s="96" t="s">
        <v>32</v>
      </c>
      <c r="E60" s="97" t="s">
        <v>33</v>
      </c>
      <c r="F60" s="96" t="s">
        <v>208</v>
      </c>
      <c r="G60" s="97" t="s">
        <v>211</v>
      </c>
      <c r="H60" s="96" t="s">
        <v>15</v>
      </c>
      <c r="I60" s="97" t="s">
        <v>578</v>
      </c>
      <c r="J60" s="96"/>
      <c r="K60" s="143" t="s">
        <v>200</v>
      </c>
      <c r="L60" s="118">
        <v>100</v>
      </c>
      <c r="M60" s="143" t="s">
        <v>187</v>
      </c>
      <c r="N60" s="118" t="s">
        <v>16</v>
      </c>
      <c r="O60" s="143" t="s">
        <v>33</v>
      </c>
    </row>
    <row r="61" spans="1:15" ht="15.75" thickBot="1">
      <c r="A61" s="93" t="s">
        <v>343</v>
      </c>
      <c r="B61" s="94" t="s">
        <v>325</v>
      </c>
      <c r="C61" s="97" t="s">
        <v>88</v>
      </c>
      <c r="D61" s="96" t="s">
        <v>13</v>
      </c>
      <c r="E61" s="97" t="s">
        <v>14</v>
      </c>
      <c r="F61" s="96" t="s">
        <v>210</v>
      </c>
      <c r="G61" s="97" t="s">
        <v>90</v>
      </c>
      <c r="H61" s="96" t="s">
        <v>188</v>
      </c>
      <c r="I61" s="97" t="s">
        <v>327</v>
      </c>
      <c r="J61" s="96" t="s">
        <v>548</v>
      </c>
      <c r="K61" s="143" t="s">
        <v>200</v>
      </c>
      <c r="L61" s="118">
        <v>4</v>
      </c>
      <c r="M61" s="143" t="s">
        <v>187</v>
      </c>
      <c r="N61" s="118" t="s">
        <v>16</v>
      </c>
      <c r="O61" s="143" t="s">
        <v>14</v>
      </c>
    </row>
    <row r="62" spans="1:15" ht="15.75" thickBot="1">
      <c r="A62" s="93" t="s">
        <v>344</v>
      </c>
      <c r="B62" s="94" t="s">
        <v>345</v>
      </c>
      <c r="C62" s="97" t="s">
        <v>87</v>
      </c>
      <c r="D62" s="96" t="s">
        <v>346</v>
      </c>
      <c r="E62" s="97" t="s">
        <v>14</v>
      </c>
      <c r="F62" s="96" t="s">
        <v>208</v>
      </c>
      <c r="G62" s="97" t="s">
        <v>230</v>
      </c>
      <c r="H62" s="96" t="s">
        <v>15</v>
      </c>
      <c r="I62" s="97" t="s">
        <v>578</v>
      </c>
      <c r="J62" s="96"/>
      <c r="K62" s="143" t="s">
        <v>200</v>
      </c>
      <c r="L62" s="118">
        <v>2000</v>
      </c>
      <c r="M62" s="143" t="s">
        <v>187</v>
      </c>
      <c r="N62" s="118" t="s">
        <v>16</v>
      </c>
      <c r="O62" s="143" t="s">
        <v>14</v>
      </c>
    </row>
    <row r="63" spans="1:15" ht="15.75" thickBot="1">
      <c r="A63" s="93" t="s">
        <v>106</v>
      </c>
      <c r="B63" s="94" t="s">
        <v>233</v>
      </c>
      <c r="C63" s="97" t="s">
        <v>107</v>
      </c>
      <c r="D63" s="96" t="s">
        <v>13</v>
      </c>
      <c r="E63" s="97" t="s">
        <v>14</v>
      </c>
      <c r="F63" s="96" t="s">
        <v>199</v>
      </c>
      <c r="G63" s="97" t="s">
        <v>347</v>
      </c>
      <c r="H63" s="96" t="s">
        <v>15</v>
      </c>
      <c r="I63" s="97" t="s">
        <v>189</v>
      </c>
      <c r="J63" s="96"/>
      <c r="K63" s="143" t="s">
        <v>199</v>
      </c>
      <c r="L63" s="118">
        <v>532</v>
      </c>
      <c r="M63" s="143" t="s">
        <v>187</v>
      </c>
      <c r="N63" s="118" t="s">
        <v>16</v>
      </c>
      <c r="O63" s="143" t="s">
        <v>14</v>
      </c>
    </row>
    <row r="64" spans="1:15" ht="15.75" thickBot="1">
      <c r="A64" s="93" t="s">
        <v>348</v>
      </c>
      <c r="B64" s="94" t="s">
        <v>224</v>
      </c>
      <c r="C64" s="97" t="s">
        <v>105</v>
      </c>
      <c r="D64" s="96" t="s">
        <v>20</v>
      </c>
      <c r="E64" s="97" t="s">
        <v>21</v>
      </c>
      <c r="F64" s="96" t="s">
        <v>208</v>
      </c>
      <c r="G64" s="97" t="s">
        <v>349</v>
      </c>
      <c r="H64" s="96" t="s">
        <v>9</v>
      </c>
      <c r="I64" s="97" t="s">
        <v>578</v>
      </c>
      <c r="J64" s="96"/>
      <c r="K64" s="117" t="s">
        <v>200</v>
      </c>
      <c r="L64" s="118">
        <v>600</v>
      </c>
      <c r="M64" s="117" t="s">
        <v>187</v>
      </c>
      <c r="N64" s="118" t="s">
        <v>16</v>
      </c>
      <c r="O64" s="117" t="s">
        <v>20</v>
      </c>
    </row>
    <row r="65" spans="1:15" ht="15.75" thickBot="1">
      <c r="A65" s="93" t="s">
        <v>350</v>
      </c>
      <c r="B65" s="94" t="s">
        <v>325</v>
      </c>
      <c r="C65" s="97" t="s">
        <v>88</v>
      </c>
      <c r="D65" s="96" t="s">
        <v>13</v>
      </c>
      <c r="E65" s="97" t="s">
        <v>14</v>
      </c>
      <c r="F65" s="96" t="s">
        <v>210</v>
      </c>
      <c r="G65" s="97" t="s">
        <v>326</v>
      </c>
      <c r="H65" s="96" t="s">
        <v>188</v>
      </c>
      <c r="I65" s="97" t="s">
        <v>240</v>
      </c>
      <c r="J65" s="96" t="s">
        <v>549</v>
      </c>
      <c r="K65" s="117" t="s">
        <v>200</v>
      </c>
      <c r="L65" s="118">
        <v>7.2</v>
      </c>
      <c r="M65" s="117" t="s">
        <v>187</v>
      </c>
      <c r="N65" s="118" t="s">
        <v>16</v>
      </c>
      <c r="O65" s="117" t="s">
        <v>14</v>
      </c>
    </row>
    <row r="66" spans="1:15" ht="15.75" thickBot="1">
      <c r="A66" s="93" t="s">
        <v>351</v>
      </c>
      <c r="B66" s="94" t="s">
        <v>352</v>
      </c>
      <c r="C66" s="97" t="s">
        <v>353</v>
      </c>
      <c r="D66" s="96" t="s">
        <v>34</v>
      </c>
      <c r="E66" s="97" t="s">
        <v>33</v>
      </c>
      <c r="F66" s="96" t="s">
        <v>208</v>
      </c>
      <c r="G66" s="97" t="s">
        <v>227</v>
      </c>
      <c r="H66" s="96" t="s">
        <v>188</v>
      </c>
      <c r="I66" s="97" t="s">
        <v>578</v>
      </c>
      <c r="J66" s="96"/>
      <c r="K66" s="117" t="s">
        <v>200</v>
      </c>
      <c r="L66" s="118">
        <v>22</v>
      </c>
      <c r="M66" s="117" t="s">
        <v>187</v>
      </c>
      <c r="N66" s="118" t="s">
        <v>16</v>
      </c>
      <c r="O66" s="117" t="s">
        <v>33</v>
      </c>
    </row>
    <row r="67" spans="1:15" ht="15.75" thickBot="1">
      <c r="A67" s="93" t="s">
        <v>354</v>
      </c>
      <c r="B67" s="94" t="s">
        <v>274</v>
      </c>
      <c r="C67" s="97" t="s">
        <v>219</v>
      </c>
      <c r="D67" s="96" t="s">
        <v>13</v>
      </c>
      <c r="E67" s="97" t="s">
        <v>14</v>
      </c>
      <c r="F67" s="96" t="s">
        <v>208</v>
      </c>
      <c r="G67" s="97" t="s">
        <v>212</v>
      </c>
      <c r="H67" s="96" t="s">
        <v>15</v>
      </c>
      <c r="I67" s="97" t="s">
        <v>578</v>
      </c>
      <c r="J67" s="96"/>
      <c r="K67" s="117" t="s">
        <v>200</v>
      </c>
      <c r="L67" s="118">
        <v>50</v>
      </c>
      <c r="M67" s="117" t="s">
        <v>187</v>
      </c>
      <c r="N67" s="118" t="s">
        <v>16</v>
      </c>
      <c r="O67" s="117" t="s">
        <v>14</v>
      </c>
    </row>
    <row r="68" spans="1:15" ht="15.75" thickBot="1">
      <c r="A68" s="93" t="s">
        <v>108</v>
      </c>
      <c r="B68" s="94" t="s">
        <v>355</v>
      </c>
      <c r="C68" s="97" t="s">
        <v>109</v>
      </c>
      <c r="D68" s="96" t="s">
        <v>32</v>
      </c>
      <c r="E68" s="97" t="s">
        <v>33</v>
      </c>
      <c r="F68" s="96" t="s">
        <v>199</v>
      </c>
      <c r="G68" s="97" t="s">
        <v>356</v>
      </c>
      <c r="H68" s="96" t="s">
        <v>15</v>
      </c>
      <c r="I68" s="97" t="s">
        <v>214</v>
      </c>
      <c r="J68" s="96" t="s">
        <v>550</v>
      </c>
      <c r="K68" s="117" t="s">
        <v>199</v>
      </c>
      <c r="L68" s="118">
        <v>87.75</v>
      </c>
      <c r="M68" s="117" t="s">
        <v>187</v>
      </c>
      <c r="N68" s="118" t="s">
        <v>16</v>
      </c>
      <c r="O68" s="117" t="s">
        <v>33</v>
      </c>
    </row>
    <row r="69" spans="1:15" ht="15.75" thickBot="1">
      <c r="A69" s="93" t="s">
        <v>357</v>
      </c>
      <c r="B69" s="94" t="s">
        <v>358</v>
      </c>
      <c r="C69" s="97" t="s">
        <v>359</v>
      </c>
      <c r="D69" s="96" t="s">
        <v>13</v>
      </c>
      <c r="E69" s="97" t="s">
        <v>14</v>
      </c>
      <c r="F69" s="96" t="s">
        <v>208</v>
      </c>
      <c r="G69" s="97" t="s">
        <v>360</v>
      </c>
      <c r="H69" s="96" t="s">
        <v>15</v>
      </c>
      <c r="I69" s="97" t="s">
        <v>578</v>
      </c>
      <c r="J69" s="96"/>
      <c r="K69" s="117" t="s">
        <v>200</v>
      </c>
      <c r="L69" s="118">
        <v>285</v>
      </c>
      <c r="M69" s="117" t="s">
        <v>187</v>
      </c>
      <c r="N69" s="118" t="s">
        <v>16</v>
      </c>
      <c r="O69" s="117" t="s">
        <v>14</v>
      </c>
    </row>
    <row r="70" spans="1:15" ht="15.75" thickBot="1">
      <c r="A70" s="93" t="s">
        <v>592</v>
      </c>
      <c r="B70" s="94" t="s">
        <v>593</v>
      </c>
      <c r="C70" s="97" t="s">
        <v>186</v>
      </c>
      <c r="D70" s="96" t="s">
        <v>34</v>
      </c>
      <c r="E70" s="97" t="s">
        <v>33</v>
      </c>
      <c r="F70" s="96" t="s">
        <v>208</v>
      </c>
      <c r="G70" s="97" t="s">
        <v>219</v>
      </c>
      <c r="H70" s="96" t="s">
        <v>15</v>
      </c>
      <c r="I70" s="97" t="s">
        <v>578</v>
      </c>
      <c r="J70" s="96" t="s">
        <v>594</v>
      </c>
      <c r="K70" s="117" t="s">
        <v>200</v>
      </c>
      <c r="L70" s="118">
        <v>15</v>
      </c>
      <c r="M70" s="117" t="s">
        <v>187</v>
      </c>
      <c r="N70" s="118" t="s">
        <v>16</v>
      </c>
      <c r="O70" s="117" t="s">
        <v>33</v>
      </c>
    </row>
    <row r="71" spans="1:15" ht="15.75" thickBot="1">
      <c r="A71" s="93" t="s">
        <v>592</v>
      </c>
      <c r="B71" s="94" t="s">
        <v>666</v>
      </c>
      <c r="C71" s="97" t="s">
        <v>87</v>
      </c>
      <c r="D71" s="96" t="s">
        <v>34</v>
      </c>
      <c r="E71" s="97" t="s">
        <v>33</v>
      </c>
      <c r="F71" s="96" t="s">
        <v>208</v>
      </c>
      <c r="G71" s="97" t="s">
        <v>694</v>
      </c>
      <c r="H71" s="96" t="s">
        <v>15</v>
      </c>
      <c r="I71" s="97" t="s">
        <v>232</v>
      </c>
      <c r="J71" s="96" t="s">
        <v>679</v>
      </c>
      <c r="K71" s="117" t="s">
        <v>200</v>
      </c>
      <c r="L71" s="118">
        <v>85</v>
      </c>
      <c r="M71" s="117" t="s">
        <v>187</v>
      </c>
      <c r="N71" s="118" t="s">
        <v>16</v>
      </c>
      <c r="O71" s="117" t="s">
        <v>33</v>
      </c>
    </row>
    <row r="72" spans="1:15" ht="15.75" thickBot="1">
      <c r="A72" s="93" t="s">
        <v>361</v>
      </c>
      <c r="B72" s="94" t="s">
        <v>284</v>
      </c>
      <c r="C72" s="97" t="s">
        <v>242</v>
      </c>
      <c r="D72" s="96" t="s">
        <v>13</v>
      </c>
      <c r="E72" s="97" t="s">
        <v>14</v>
      </c>
      <c r="F72" s="96" t="s">
        <v>208</v>
      </c>
      <c r="G72" s="97" t="s">
        <v>600</v>
      </c>
      <c r="H72" s="96" t="s">
        <v>15</v>
      </c>
      <c r="I72" s="97" t="s">
        <v>327</v>
      </c>
      <c r="J72" s="96"/>
      <c r="K72" s="117" t="s">
        <v>200</v>
      </c>
      <c r="L72" s="118">
        <v>68</v>
      </c>
      <c r="M72" s="117" t="s">
        <v>187</v>
      </c>
      <c r="N72" s="118" t="s">
        <v>16</v>
      </c>
      <c r="O72" s="117" t="s">
        <v>14</v>
      </c>
    </row>
    <row r="73" spans="1:15" ht="15.75" thickBot="1">
      <c r="A73" s="93" t="s">
        <v>362</v>
      </c>
      <c r="B73" s="94" t="s">
        <v>363</v>
      </c>
      <c r="C73" s="97" t="s">
        <v>104</v>
      </c>
      <c r="D73" s="96" t="s">
        <v>34</v>
      </c>
      <c r="E73" s="97" t="s">
        <v>33</v>
      </c>
      <c r="F73" s="96" t="s">
        <v>209</v>
      </c>
      <c r="G73" s="97" t="s">
        <v>364</v>
      </c>
      <c r="H73" s="96" t="s">
        <v>15</v>
      </c>
      <c r="I73" s="97" t="s">
        <v>556</v>
      </c>
      <c r="J73" s="96" t="s">
        <v>551</v>
      </c>
      <c r="K73" s="117" t="s">
        <v>199</v>
      </c>
      <c r="L73" s="118">
        <v>81</v>
      </c>
      <c r="M73" s="117" t="s">
        <v>187</v>
      </c>
      <c r="N73" s="118" t="s">
        <v>16</v>
      </c>
      <c r="O73" s="117" t="s">
        <v>33</v>
      </c>
    </row>
    <row r="74" spans="1:15" s="50" customFormat="1" ht="15.75" thickBot="1">
      <c r="A74" s="93" t="s">
        <v>365</v>
      </c>
      <c r="B74" s="94" t="s">
        <v>325</v>
      </c>
      <c r="C74" s="97" t="s">
        <v>88</v>
      </c>
      <c r="D74" s="96" t="s">
        <v>13</v>
      </c>
      <c r="E74" s="97" t="s">
        <v>14</v>
      </c>
      <c r="F74" s="96" t="s">
        <v>210</v>
      </c>
      <c r="G74" s="97" t="s">
        <v>326</v>
      </c>
      <c r="H74" s="96" t="s">
        <v>188</v>
      </c>
      <c r="I74" s="97" t="s">
        <v>214</v>
      </c>
      <c r="J74" s="96" t="s">
        <v>552</v>
      </c>
      <c r="K74" s="117" t="s">
        <v>200</v>
      </c>
      <c r="L74" s="118">
        <v>7.2</v>
      </c>
      <c r="M74" s="117" t="s">
        <v>187</v>
      </c>
      <c r="N74" s="118" t="s">
        <v>16</v>
      </c>
      <c r="O74" s="117" t="s">
        <v>14</v>
      </c>
    </row>
    <row r="75" spans="1:15">
      <c r="A75" s="175"/>
      <c r="B75" s="175"/>
      <c r="C75" s="175"/>
      <c r="D75" s="175"/>
      <c r="E75" s="175"/>
      <c r="F75" s="175"/>
      <c r="G75" s="175"/>
      <c r="H75" s="175"/>
      <c r="I75" s="175"/>
      <c r="J75" s="175"/>
      <c r="K75" s="175"/>
      <c r="L75" s="175"/>
      <c r="M75" s="175"/>
      <c r="N75" s="175"/>
      <c r="O75" s="175"/>
    </row>
    <row r="76" spans="1:15">
      <c r="A76" s="209" t="s">
        <v>677</v>
      </c>
      <c r="B76" s="210"/>
      <c r="C76" s="210"/>
      <c r="D76" s="210"/>
      <c r="E76" s="210"/>
      <c r="F76" s="210"/>
      <c r="G76" s="210"/>
      <c r="H76" s="210"/>
      <c r="I76" s="210"/>
      <c r="J76" s="210"/>
      <c r="K76" s="50"/>
      <c r="L76" s="50"/>
      <c r="M76" s="50"/>
      <c r="N76" s="50"/>
      <c r="O76" s="50"/>
    </row>
  </sheetData>
  <mergeCells count="1">
    <mergeCell ref="A76:J76"/>
  </mergeCells>
  <pageMargins left="0.7" right="0.7" top="0.75" bottom="0.75" header="0.3" footer="0.3"/>
  <pageSetup paperSize="9" orientation="portrait"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9CD7C-3116-4722-9EA3-2CBA4DA62AA8}">
  <dimension ref="B1:M47"/>
  <sheetViews>
    <sheetView workbookViewId="0"/>
  </sheetViews>
  <sheetFormatPr defaultColWidth="9.140625" defaultRowHeight="15"/>
  <cols>
    <col min="1" max="1" width="2.140625" style="125" customWidth="1"/>
    <col min="2" max="2" width="23.140625" style="125" customWidth="1"/>
    <col min="3" max="3" width="11.140625" style="125" bestFit="1" customWidth="1"/>
    <col min="4" max="11" width="10.140625" style="125" customWidth="1"/>
    <col min="12" max="12" width="9.140625" style="125"/>
    <col min="13" max="13" width="11.42578125" style="125" customWidth="1"/>
    <col min="14" max="16384" width="9.140625" style="125"/>
  </cols>
  <sheetData>
    <row r="1" spans="2:11" ht="19.5">
      <c r="B1" s="124" t="s">
        <v>562</v>
      </c>
    </row>
    <row r="2" spans="2:11" ht="36.75" customHeight="1">
      <c r="B2" s="216" t="s">
        <v>601</v>
      </c>
      <c r="C2" s="216"/>
      <c r="D2" s="216"/>
      <c r="E2" s="216"/>
      <c r="F2" s="216"/>
      <c r="G2" s="216"/>
      <c r="H2" s="216"/>
      <c r="I2" s="216"/>
      <c r="J2" s="216"/>
      <c r="K2" s="216"/>
    </row>
    <row r="3" spans="2:11" ht="35.25" customHeight="1">
      <c r="B3" s="216" t="s">
        <v>602</v>
      </c>
      <c r="C3" s="216"/>
      <c r="D3" s="216"/>
      <c r="E3" s="216"/>
      <c r="F3" s="216"/>
      <c r="G3" s="216"/>
      <c r="H3" s="216"/>
      <c r="I3" s="216"/>
      <c r="J3" s="216"/>
      <c r="K3" s="216"/>
    </row>
    <row r="4" spans="2:11" ht="14.25" customHeight="1">
      <c r="B4" s="220" t="s">
        <v>603</v>
      </c>
      <c r="C4" s="220"/>
      <c r="D4" s="220"/>
      <c r="E4" s="220"/>
      <c r="F4" s="220"/>
      <c r="G4" s="220"/>
      <c r="H4" s="220"/>
      <c r="I4" s="220"/>
      <c r="J4" s="220"/>
      <c r="K4" s="220"/>
    </row>
    <row r="5" spans="2:11" ht="39" customHeight="1">
      <c r="B5" s="221" t="s">
        <v>604</v>
      </c>
      <c r="C5" s="221"/>
      <c r="D5" s="221"/>
      <c r="E5" s="221"/>
      <c r="F5" s="221"/>
      <c r="G5" s="221"/>
      <c r="H5" s="221"/>
      <c r="I5" s="221"/>
      <c r="J5" s="221"/>
      <c r="K5" s="221"/>
    </row>
    <row r="6" spans="2:11" ht="13.5" customHeight="1">
      <c r="B6" s="126"/>
      <c r="C6" s="126"/>
      <c r="D6" s="126"/>
      <c r="E6" s="126"/>
      <c r="F6" s="126"/>
      <c r="G6" s="126"/>
      <c r="H6" s="126"/>
      <c r="I6" s="126"/>
      <c r="J6" s="126"/>
      <c r="K6" s="126"/>
    </row>
    <row r="7" spans="2:11" ht="49.5" customHeight="1">
      <c r="B7" s="220" t="s">
        <v>605</v>
      </c>
      <c r="C7" s="220"/>
      <c r="D7" s="220"/>
      <c r="E7" s="220"/>
      <c r="F7" s="220"/>
      <c r="G7" s="220"/>
      <c r="H7" s="220"/>
      <c r="I7" s="220"/>
      <c r="J7" s="220"/>
      <c r="K7" s="220"/>
    </row>
    <row r="8" spans="2:11" ht="13.5" customHeight="1">
      <c r="B8" s="126"/>
      <c r="C8" s="126"/>
      <c r="D8" s="126"/>
      <c r="E8" s="126"/>
      <c r="F8" s="126"/>
      <c r="G8" s="126"/>
      <c r="H8" s="126"/>
      <c r="I8" s="126"/>
      <c r="J8" s="126"/>
      <c r="K8" s="126"/>
    </row>
    <row r="9" spans="2:11">
      <c r="B9" s="127" t="s">
        <v>433</v>
      </c>
    </row>
    <row r="10" spans="2:11" ht="28.5" customHeight="1">
      <c r="B10" s="216" t="s">
        <v>434</v>
      </c>
      <c r="C10" s="216"/>
      <c r="D10" s="216"/>
      <c r="E10" s="216"/>
      <c r="F10" s="216"/>
      <c r="G10" s="216"/>
      <c r="H10" s="216"/>
      <c r="I10" s="216"/>
      <c r="J10" s="216"/>
      <c r="K10" s="216"/>
    </row>
    <row r="11" spans="2:11" ht="39" customHeight="1">
      <c r="B11" s="216" t="s">
        <v>435</v>
      </c>
      <c r="C11" s="216"/>
      <c r="D11" s="216"/>
      <c r="E11" s="216"/>
      <c r="F11" s="216"/>
      <c r="G11" s="216"/>
      <c r="H11" s="216"/>
      <c r="I11" s="216"/>
      <c r="J11" s="216"/>
      <c r="K11" s="216"/>
    </row>
    <row r="12" spans="2:11" ht="15.75" customHeight="1">
      <c r="B12" s="128" t="s">
        <v>436</v>
      </c>
    </row>
    <row r="13" spans="2:11" ht="27" customHeight="1">
      <c r="B13" s="217" t="s">
        <v>437</v>
      </c>
      <c r="C13" s="218"/>
      <c r="D13" s="218"/>
      <c r="E13" s="218"/>
      <c r="F13" s="218"/>
      <c r="G13" s="218"/>
      <c r="H13" s="218"/>
      <c r="I13" s="218"/>
      <c r="J13" s="218"/>
      <c r="K13" s="218"/>
    </row>
    <row r="14" spans="2:11" ht="49.5" customHeight="1">
      <c r="B14" s="218" t="s">
        <v>438</v>
      </c>
      <c r="C14" s="218"/>
      <c r="D14" s="218"/>
      <c r="E14" s="218"/>
      <c r="F14" s="218"/>
      <c r="G14" s="218"/>
      <c r="H14" s="218"/>
      <c r="I14" s="218"/>
      <c r="J14" s="218"/>
      <c r="K14" s="218"/>
    </row>
    <row r="15" spans="2:11">
      <c r="B15" s="129"/>
    </row>
    <row r="16" spans="2:11">
      <c r="B16" s="130" t="s">
        <v>439</v>
      </c>
    </row>
    <row r="17" spans="2:12" ht="15.75" thickBot="1">
      <c r="B17" s="131" t="s">
        <v>440</v>
      </c>
      <c r="C17" s="132" t="s">
        <v>441</v>
      </c>
      <c r="D17" s="132" t="s">
        <v>442</v>
      </c>
    </row>
    <row r="18" spans="2:12" ht="16.5" thickTop="1" thickBot="1">
      <c r="B18" s="133" t="s">
        <v>443</v>
      </c>
      <c r="C18" s="134">
        <v>37</v>
      </c>
      <c r="D18" s="134">
        <v>15</v>
      </c>
    </row>
    <row r="19" spans="2:12" ht="15.75" thickBot="1">
      <c r="B19" s="133" t="s">
        <v>444</v>
      </c>
      <c r="C19" s="134">
        <v>42</v>
      </c>
      <c r="D19" s="134">
        <v>9</v>
      </c>
    </row>
    <row r="20" spans="2:12" ht="15.75" thickBot="1">
      <c r="B20" s="133" t="s">
        <v>445</v>
      </c>
      <c r="C20" s="134">
        <v>41</v>
      </c>
      <c r="D20" s="134">
        <v>8</v>
      </c>
    </row>
    <row r="21" spans="2:12" ht="15.75" thickBot="1">
      <c r="B21" s="133" t="s">
        <v>446</v>
      </c>
      <c r="C21" s="134">
        <v>43</v>
      </c>
      <c r="D21" s="134">
        <v>11</v>
      </c>
    </row>
    <row r="22" spans="2:12" ht="15.75" thickBot="1">
      <c r="B22" s="133" t="s">
        <v>447</v>
      </c>
      <c r="C22" s="134">
        <v>7.7</v>
      </c>
      <c r="D22" s="134">
        <v>1.2</v>
      </c>
    </row>
    <row r="23" spans="2:12">
      <c r="B23" s="135"/>
    </row>
    <row r="24" spans="2:12">
      <c r="B24" s="127" t="s">
        <v>448</v>
      </c>
    </row>
    <row r="25" spans="2:12" ht="25.5" customHeight="1">
      <c r="B25" s="216" t="s">
        <v>449</v>
      </c>
      <c r="C25" s="216"/>
      <c r="D25" s="216"/>
      <c r="E25" s="216"/>
      <c r="F25" s="216"/>
      <c r="G25" s="216"/>
      <c r="H25" s="216"/>
      <c r="I25" s="216"/>
      <c r="J25" s="216"/>
      <c r="K25" s="216"/>
    </row>
    <row r="26" spans="2:12">
      <c r="B26" s="128"/>
    </row>
    <row r="27" spans="2:12" ht="19.5">
      <c r="B27" s="136" t="s">
        <v>450</v>
      </c>
    </row>
    <row r="28" spans="2:12">
      <c r="B28" s="128" t="s">
        <v>451</v>
      </c>
    </row>
    <row r="29" spans="2:12" s="137" customFormat="1" ht="27.75" customHeight="1">
      <c r="B29" s="216" t="s">
        <v>606</v>
      </c>
      <c r="C29" s="216"/>
      <c r="D29" s="216"/>
      <c r="E29" s="216"/>
      <c r="F29" s="216"/>
      <c r="G29" s="216"/>
      <c r="H29" s="216"/>
      <c r="I29" s="216"/>
      <c r="J29" s="216"/>
      <c r="K29" s="216"/>
    </row>
    <row r="30" spans="2:12">
      <c r="B30" s="128" t="s">
        <v>607</v>
      </c>
    </row>
    <row r="31" spans="2:12">
      <c r="B31" s="129" t="s">
        <v>608</v>
      </c>
    </row>
    <row r="32" spans="2:12" ht="17.25" customHeight="1">
      <c r="B32" s="138"/>
      <c r="C32" s="219" t="s">
        <v>565</v>
      </c>
      <c r="D32" s="219"/>
      <c r="E32" s="219"/>
      <c r="F32" s="219"/>
      <c r="G32" s="219"/>
      <c r="H32" s="219"/>
      <c r="I32" s="219"/>
      <c r="J32" s="219"/>
      <c r="K32" s="219"/>
      <c r="L32" s="219"/>
    </row>
    <row r="33" spans="2:13" ht="30" customHeight="1">
      <c r="B33" s="129"/>
      <c r="C33" s="219" t="s">
        <v>609</v>
      </c>
      <c r="D33" s="219"/>
      <c r="E33" s="219"/>
      <c r="F33" s="219"/>
      <c r="G33" s="219"/>
      <c r="H33" s="219"/>
      <c r="I33" s="219"/>
      <c r="J33" s="219"/>
      <c r="K33" s="219"/>
      <c r="L33" s="219"/>
    </row>
    <row r="34" spans="2:13">
      <c r="B34" s="129" t="s">
        <v>563</v>
      </c>
    </row>
    <row r="35" spans="2:13" s="129" customFormat="1" ht="39.75" customHeight="1">
      <c r="C35" s="219" t="s">
        <v>610</v>
      </c>
      <c r="D35" s="219"/>
      <c r="E35" s="219"/>
      <c r="F35" s="219"/>
      <c r="G35" s="219"/>
      <c r="H35" s="219"/>
      <c r="I35" s="219"/>
      <c r="J35" s="219"/>
      <c r="K35" s="219"/>
      <c r="L35" s="219"/>
      <c r="M35" s="125"/>
    </row>
    <row r="36" spans="2:13" s="129" customFormat="1" ht="41.25" customHeight="1">
      <c r="C36" s="219" t="s">
        <v>564</v>
      </c>
      <c r="D36" s="219"/>
      <c r="E36" s="219"/>
      <c r="F36" s="219"/>
      <c r="G36" s="219"/>
      <c r="H36" s="219"/>
      <c r="I36" s="219"/>
      <c r="J36" s="219"/>
      <c r="K36" s="219"/>
      <c r="L36" s="219"/>
      <c r="M36" s="125"/>
    </row>
    <row r="37" spans="2:13" s="129" customFormat="1" ht="74.25" customHeight="1">
      <c r="C37" s="219" t="s">
        <v>611</v>
      </c>
      <c r="D37" s="219"/>
      <c r="E37" s="219"/>
      <c r="F37" s="219"/>
      <c r="G37" s="219"/>
      <c r="H37" s="219"/>
      <c r="I37" s="219"/>
      <c r="J37" s="219"/>
      <c r="K37" s="219"/>
      <c r="L37" s="219"/>
      <c r="M37" s="125"/>
    </row>
    <row r="38" spans="2:13" s="129" customFormat="1" ht="39" customHeight="1">
      <c r="C38" s="219" t="s">
        <v>612</v>
      </c>
      <c r="D38" s="219"/>
      <c r="E38" s="219"/>
      <c r="F38" s="219"/>
      <c r="G38" s="219"/>
      <c r="H38" s="219"/>
      <c r="I38" s="219"/>
      <c r="J38" s="219"/>
      <c r="K38" s="219"/>
      <c r="L38" s="219"/>
      <c r="M38" s="125"/>
    </row>
    <row r="39" spans="2:13" s="137" customFormat="1">
      <c r="B39" s="128"/>
    </row>
    <row r="40" spans="2:13" s="137" customFormat="1">
      <c r="B40" s="139" t="s">
        <v>452</v>
      </c>
    </row>
    <row r="41" spans="2:13" s="137" customFormat="1" ht="15.75" thickBot="1">
      <c r="B41" s="131" t="s">
        <v>453</v>
      </c>
      <c r="C41" s="214" t="s">
        <v>454</v>
      </c>
      <c r="D41" s="215"/>
      <c r="E41" s="215"/>
      <c r="F41" s="215"/>
      <c r="G41" s="215"/>
      <c r="H41" s="215"/>
      <c r="I41" s="215"/>
      <c r="J41" s="215"/>
    </row>
    <row r="42" spans="2:13" s="137" customFormat="1" ht="27.75" customHeight="1" thickTop="1" thickBot="1">
      <c r="B42" s="133" t="s">
        <v>455</v>
      </c>
      <c r="C42" s="211" t="s">
        <v>456</v>
      </c>
      <c r="D42" s="212"/>
      <c r="E42" s="212"/>
      <c r="F42" s="212"/>
      <c r="G42" s="212"/>
      <c r="H42" s="212"/>
      <c r="I42" s="212"/>
      <c r="J42" s="212"/>
    </row>
    <row r="43" spans="2:13" s="137" customFormat="1" ht="42.75" customHeight="1" thickBot="1">
      <c r="B43" s="133" t="s">
        <v>457</v>
      </c>
      <c r="C43" s="211" t="s">
        <v>458</v>
      </c>
      <c r="D43" s="212"/>
      <c r="E43" s="212"/>
      <c r="F43" s="212"/>
      <c r="G43" s="212"/>
      <c r="H43" s="212"/>
      <c r="I43" s="212"/>
      <c r="J43" s="212"/>
    </row>
    <row r="44" spans="2:13" s="137" customFormat="1" ht="46.5" customHeight="1" thickBot="1">
      <c r="B44" s="133" t="s">
        <v>613</v>
      </c>
      <c r="C44" s="211" t="s">
        <v>614</v>
      </c>
      <c r="D44" s="212"/>
      <c r="E44" s="212"/>
      <c r="F44" s="212"/>
      <c r="G44" s="212"/>
      <c r="H44" s="212"/>
      <c r="I44" s="212"/>
      <c r="J44" s="212"/>
    </row>
    <row r="45" spans="2:13" s="137" customFormat="1" ht="25.5" customHeight="1" thickBot="1">
      <c r="B45" s="133" t="s">
        <v>459</v>
      </c>
      <c r="C45" s="211" t="s">
        <v>460</v>
      </c>
      <c r="D45" s="212"/>
      <c r="E45" s="212"/>
      <c r="F45" s="212"/>
      <c r="G45" s="212"/>
      <c r="H45" s="212"/>
      <c r="I45" s="212"/>
      <c r="J45" s="212"/>
    </row>
    <row r="46" spans="2:13" s="137" customFormat="1" ht="23.25" customHeight="1" thickBot="1">
      <c r="B46" s="133" t="s">
        <v>615</v>
      </c>
      <c r="C46" s="211" t="s">
        <v>616</v>
      </c>
      <c r="D46" s="213"/>
      <c r="E46" s="213"/>
      <c r="F46" s="213"/>
      <c r="G46" s="213"/>
      <c r="H46" s="213"/>
      <c r="I46" s="213"/>
      <c r="J46" s="213"/>
    </row>
    <row r="47" spans="2:13" s="137" customFormat="1" ht="15.75" thickBot="1">
      <c r="B47" s="140"/>
    </row>
  </sheetData>
  <mergeCells count="23">
    <mergeCell ref="B10:K10"/>
    <mergeCell ref="B2:K2"/>
    <mergeCell ref="B3:K3"/>
    <mergeCell ref="B4:K4"/>
    <mergeCell ref="B5:K5"/>
    <mergeCell ref="B7:K7"/>
    <mergeCell ref="C41:J41"/>
    <mergeCell ref="B11:K11"/>
    <mergeCell ref="B13:K13"/>
    <mergeCell ref="B14:K14"/>
    <mergeCell ref="B25:K25"/>
    <mergeCell ref="B29:K29"/>
    <mergeCell ref="C32:L32"/>
    <mergeCell ref="C33:L33"/>
    <mergeCell ref="C35:L35"/>
    <mergeCell ref="C36:L36"/>
    <mergeCell ref="C37:L37"/>
    <mergeCell ref="C38:L38"/>
    <mergeCell ref="C42:J42"/>
    <mergeCell ref="C43:J43"/>
    <mergeCell ref="C44:J44"/>
    <mergeCell ref="C45:J45"/>
    <mergeCell ref="C46:J46"/>
  </mergeCell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a14523ce-dede-483e-883a-2d83261080bd">NETWORKDEV-2134468847-14101</_dlc_DocId>
    <_dlc_DocIdUrl xmlns="a14523ce-dede-483e-883a-2d83261080bd">
      <Url>http://sharedocs/sites/nd/BusinessAsUsual/_layouts/15/DocIdRedir.aspx?ID=NETWORKDEV-2134468847-14101</Url>
      <Description>NETWORKDEV-2134468847-14101</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79E6C2BF3D7A64D87BF5B300ABBB426" ma:contentTypeVersion="0" ma:contentTypeDescription="Create a new document." ma:contentTypeScope="" ma:versionID="19f501622ec9cf6ee844a83e62ca8981">
  <xsd:schema xmlns:xsd="http://www.w3.org/2001/XMLSchema" xmlns:xs="http://www.w3.org/2001/XMLSchema" xmlns:p="http://schemas.microsoft.com/office/2006/metadata/properties" xmlns:ns2="a14523ce-dede-483e-883a-2d83261080bd" targetNamespace="http://schemas.microsoft.com/office/2006/metadata/properties" ma:root="true" ma:fieldsID="7609b2132cc27c2e027996f255529d92" ns2:_="">
    <xsd:import namespace="a14523ce-dede-483e-883a-2d83261080bd"/>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4523ce-dede-483e-883a-2d83261080b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xml>��< ? x m l   v e r s i o n = " 1 . 0 "   e n c o d i n g = " u t f - 1 6 " ? > < D a t a M a s h u p   s q m i d = " c d 5 1 e 4 2 6 - 4 e 3 1 - 4 1 1 d - b c 8 0 - 9 d a d 8 4 d 2 a 4 6 b "   x m l n s = " h t t p : / / s c h e m a s . m i c r o s o f t . c o m / D a t a M a s h u p " > A A A A A B c D A A B Q S w M E F A A C A A g A A 3 Q 1 T p 1 J h 1 q n A A A A + Q A A A B I A H A B D b 2 5 m a W c v U G F j a 2 F n Z S 5 4 b W w g o h g A K K A U A A A A A A A A A A A A A A A A A A A A A A A A A A A A h Y / R C o I w G I V f R X b v N i d G y O 8 k u k 0 I o u h 2 z K U j n e F m 8 9 2 6 6 J F 6 h Y S y u u v y H L 4 D 3 3 n c 7 p C P b R N c V W 9 1 Z z I U Y Y o C Z W R X a l N l a H C n c I l y D l s h z 6 J S w Q Q b m 4 5 W Z 6 h 2 7 p I S 4 r 3 H P s Z d X x F G a U S O x W Y n a 9 W K U B v r h J E K f V b l / x X i c H j J c I a T B U 4 o i 3 E U U Q Z k 7 q H Q 5 s u w S R l T I D 8 l r I f G D b 3 i y o S r P Z A 5 A n n f 4 E 9 Q S w M E F A A C A A g A A 3 Q 1 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N 0 N U 4 o i k e 4 D g A A A B E A A A A T A B w A R m 9 y b X V s Y X M v U 2 V j d G l v b j E u b S C i G A A o o B Q A A A A A A A A A A A A A A A A A A A A A A A A A A A A r T k 0 u y c z P U w i G 0 I b W A F B L A Q I t A B Q A A g A I A A N 0 N U 6 d S Y d a p w A A A P k A A A A S A A A A A A A A A A A A A A A A A A A A A A B D b 2 5 m a W c v U G F j a 2 F n Z S 5 4 b W x Q S w E C L Q A U A A I A C A A D d D V O D 8 r p q 6 Q A A A D p A A A A E w A A A A A A A A A A A A A A A A D z A A A A W 0 N v b n R l b n R f V H l w Z X N d L n h t b F B L A Q I t A B Q A A g A I A A N 0 N U 4 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k 4 n k Q u D S E T p 7 O 2 A 5 u T Z P 3 A A A A A A I A A A A A A A N m A A D A A A A A E A A A A G 1 u V t D i X 3 d x m g q + i C c s U o Y A A A A A B I A A A K A A A A A Q A A A A z d 0 q E Y p z 4 b Z W F O n W m b C t 3 F A A A A C B 3 m B Q Z / r F 6 I P i V Q S V k X k W 1 1 O o g q l q 1 Z S S I Q m Q 5 1 K z E b 7 d R p w C c b 2 b P t X Q 2 U U E p 8 x J h W g + i B L 4 u D t o o A Y W W X j Q R R L 8 h 7 3 2 f Y K 9 I N J d J x V z s x Q A A A C h N z e c z c p / i z k v j l J a s q G q f 4 6 9 4 g = = < / D a t a M a s h u p > 
</file>

<file path=customXml/itemProps1.xml><?xml version="1.0" encoding="utf-8"?>
<ds:datastoreItem xmlns:ds="http://schemas.openxmlformats.org/officeDocument/2006/customXml" ds:itemID="{EBD94897-61E5-4FE6-9764-56E3CC88E3D1}">
  <ds:schemaRefs>
    <ds:schemaRef ds:uri="http://schemas.microsoft.com/sharepoint/v3/contenttype/forms"/>
  </ds:schemaRefs>
</ds:datastoreItem>
</file>

<file path=customXml/itemProps2.xml><?xml version="1.0" encoding="utf-8"?>
<ds:datastoreItem xmlns:ds="http://schemas.openxmlformats.org/officeDocument/2006/customXml" ds:itemID="{B7FE11E1-8D16-4D5B-B0D1-FFEA7C30BC84}">
  <ds:schemaRefs>
    <ds:schemaRef ds:uri="http://schemas.microsoft.com/office/2006/metadata/properties"/>
    <ds:schemaRef ds:uri="http://purl.org/dc/terms/"/>
    <ds:schemaRef ds:uri="http://schemas.openxmlformats.org/package/2006/metadata/core-properties"/>
    <ds:schemaRef ds:uri="a14523ce-dede-483e-883a-2d83261080bd"/>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customXml/itemProps3.xml><?xml version="1.0" encoding="utf-8"?>
<ds:datastoreItem xmlns:ds="http://schemas.openxmlformats.org/officeDocument/2006/customXml" ds:itemID="{A9745280-5274-4C88-9C89-8B99D93BA0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4523ce-dede-483e-883a-2d83261080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82D13E0-6F3D-4278-88A8-311567A0E6B0}">
  <ds:schemaRefs>
    <ds:schemaRef ds:uri="http://schemas.microsoft.com/sharepoint/events"/>
  </ds:schemaRefs>
</ds:datastoreItem>
</file>

<file path=customXml/itemProps5.xml><?xml version="1.0" encoding="utf-8"?>
<ds:datastoreItem xmlns:ds="http://schemas.openxmlformats.org/officeDocument/2006/customXml" ds:itemID="{8973B987-353D-40B0-8435-48042FAE65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Victoria Summary</vt:lpstr>
      <vt:lpstr>Change Log</vt:lpstr>
      <vt:lpstr>Existing S &amp; SS Generation</vt:lpstr>
      <vt:lpstr>Summer Scheduled Capacities</vt:lpstr>
      <vt:lpstr>Winter Scheduled Capacities</vt:lpstr>
      <vt:lpstr>Existing NS Generation</vt:lpstr>
      <vt:lpstr>New Developments</vt:lpstr>
      <vt:lpstr>Background 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Generation_Information_TAS_autogen_CONFIDENTIAL.xlsx</dc:creator>
  <cp:lastModifiedBy>Dongxiao Wang</cp:lastModifiedBy>
  <dcterms:created xsi:type="dcterms:W3CDTF">2014-03-07T16:08:25Z</dcterms:created>
  <dcterms:modified xsi:type="dcterms:W3CDTF">2019-01-21T03:32:46Z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0x010100A79E6C2BF3D7A64D87BF5B300ABBB426</vt:lpwstr>
  </property>
  <property fmtid="{D5CDD505-2E9C-101B-9397-08002B2CF9AE}" pid="3" name="AEMODocumentTypeTaxHTField0">
    <vt:lpwstr>Operational Record|859762f2-4462-42eb-9744-c955c7e2c540</vt:lpwstr>
  </property>
  <property fmtid="{D5CDD505-2E9C-101B-9397-08002B2CF9AE}" pid="4" name="TaxCatchAll">
    <vt:lpwstr>3;#Operational Record|859762f2-4462-42eb-9744-c955c7e2c540</vt:lpwstr>
  </property>
  <property fmtid="{D5CDD505-2E9C-101B-9397-08002B2CF9AE}" pid="5" name="_dlc_DocIdItemGuid">
    <vt:lpwstr>a7622389-2c86-47f2-b56f-ca31a1eb587d</vt:lpwstr>
  </property>
  <property fmtid="{D5CDD505-2E9C-101B-9397-08002B2CF9AE}" pid="6" name="AEMODocumentType">
    <vt:lpwstr>3;#Operational Record|859762f2-4462-42eb-9744-c955c7e2c540</vt:lpwstr>
  </property>
</Properties>
</file>